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fourhands.sharepoint.com/sites/E-CommerceSales2/Shared Documents/General/Assortment Add Requests/Stowe Living/"/>
    </mc:Choice>
  </mc:AlternateContent>
  <xr:revisionPtr revIDLastSave="0" documentId="8_{FAC2D0A1-FEC8-470C-AFE7-4AEF79FFB688}" xr6:coauthVersionLast="47" xr6:coauthVersionMax="47" xr10:uidLastSave="{00000000-0000-0000-0000-000000000000}"/>
  <bookViews>
    <workbookView xWindow="-120" yWindow="-120" windowWidth="29040" windowHeight="15720" xr2:uid="{3272C6C6-3B23-49C4-919B-6BC686FEB5A9}"/>
  </bookViews>
  <sheets>
    <sheet name="Four Hands" sheetId="1" r:id="rId1"/>
  </sheets>
  <calcPr calcId="0"/>
</workbook>
</file>

<file path=xl/calcChain.xml><?xml version="1.0" encoding="utf-8"?>
<calcChain xmlns="http://schemas.openxmlformats.org/spreadsheetml/2006/main">
  <c r="B2" i="1" l="1"/>
  <c r="G2" i="1"/>
  <c r="H2" i="1"/>
  <c r="I2" i="1"/>
  <c r="J2" i="1"/>
  <c r="BA2" i="1"/>
  <c r="BB2" i="1"/>
  <c r="BD2" i="1"/>
  <c r="BF2" i="1"/>
  <c r="BG2" i="1"/>
  <c r="BH2" i="1"/>
  <c r="BI2" i="1"/>
  <c r="BY2" i="1"/>
  <c r="BZ2" i="1"/>
  <c r="B3" i="1"/>
  <c r="G3" i="1"/>
  <c r="H3" i="1"/>
  <c r="I3" i="1"/>
  <c r="J3" i="1"/>
  <c r="BA3" i="1"/>
  <c r="BB3" i="1"/>
  <c r="BD3" i="1"/>
  <c r="BF3" i="1"/>
  <c r="BG3" i="1"/>
  <c r="BH3" i="1"/>
  <c r="BI3" i="1"/>
  <c r="BY3" i="1"/>
  <c r="BZ3" i="1"/>
  <c r="B4" i="1"/>
  <c r="G4" i="1"/>
  <c r="H4" i="1"/>
  <c r="I4" i="1"/>
  <c r="J4" i="1"/>
  <c r="BA4" i="1"/>
  <c r="BB4" i="1"/>
  <c r="BD4" i="1"/>
  <c r="BF4" i="1"/>
  <c r="BG4" i="1"/>
  <c r="BH4" i="1"/>
  <c r="BI4" i="1"/>
  <c r="BY4" i="1"/>
  <c r="BZ4" i="1"/>
  <c r="B5" i="1"/>
  <c r="G5" i="1"/>
  <c r="H5" i="1"/>
  <c r="I5" i="1"/>
  <c r="J5" i="1"/>
  <c r="BA5" i="1"/>
  <c r="BB5" i="1"/>
  <c r="BD5" i="1"/>
  <c r="BF5" i="1"/>
  <c r="BG5" i="1"/>
  <c r="BH5" i="1"/>
  <c r="BI5" i="1"/>
  <c r="BY5" i="1"/>
  <c r="BZ5" i="1"/>
  <c r="B6" i="1"/>
  <c r="G6" i="1"/>
  <c r="H6" i="1"/>
  <c r="I6" i="1"/>
  <c r="J6" i="1"/>
  <c r="BA6" i="1"/>
  <c r="BB6" i="1"/>
  <c r="BD6" i="1"/>
  <c r="BF6" i="1"/>
  <c r="BG6" i="1"/>
  <c r="BH6" i="1"/>
  <c r="BI6" i="1"/>
  <c r="BY6" i="1"/>
  <c r="BZ6" i="1"/>
  <c r="B7" i="1"/>
  <c r="G7" i="1"/>
  <c r="H7" i="1"/>
  <c r="I7" i="1"/>
  <c r="J7" i="1"/>
  <c r="BA7" i="1"/>
  <c r="BB7" i="1"/>
  <c r="BD7" i="1"/>
  <c r="BF7" i="1"/>
  <c r="BG7" i="1"/>
  <c r="BH7" i="1"/>
  <c r="BI7" i="1"/>
  <c r="BY7" i="1"/>
  <c r="BZ7" i="1"/>
  <c r="B8" i="1"/>
  <c r="G8" i="1"/>
  <c r="H8" i="1"/>
  <c r="I8" i="1"/>
  <c r="J8" i="1"/>
  <c r="BA8" i="1"/>
  <c r="BB8" i="1"/>
  <c r="BD8" i="1"/>
  <c r="BF8" i="1"/>
  <c r="BG8" i="1"/>
  <c r="BH8" i="1"/>
  <c r="BI8" i="1"/>
  <c r="BY8" i="1"/>
  <c r="BZ8" i="1"/>
  <c r="B9" i="1"/>
  <c r="G9" i="1"/>
  <c r="H9" i="1"/>
  <c r="I9" i="1"/>
  <c r="J9" i="1"/>
  <c r="BA9" i="1"/>
  <c r="BB9" i="1"/>
  <c r="BD9" i="1"/>
  <c r="BF9" i="1"/>
  <c r="BG9" i="1"/>
  <c r="BH9" i="1"/>
  <c r="BI9" i="1"/>
  <c r="BY9" i="1"/>
  <c r="BZ9" i="1"/>
  <c r="B10" i="1"/>
  <c r="G10" i="1"/>
  <c r="H10" i="1"/>
  <c r="I10" i="1"/>
  <c r="J10" i="1"/>
  <c r="BA10" i="1"/>
  <c r="BB10" i="1"/>
  <c r="BD10" i="1"/>
  <c r="BF10" i="1"/>
  <c r="BG10" i="1"/>
  <c r="BH10" i="1"/>
  <c r="BI10" i="1"/>
  <c r="BY10" i="1"/>
  <c r="BZ10" i="1"/>
  <c r="B11" i="1"/>
  <c r="G11" i="1"/>
  <c r="H11" i="1"/>
  <c r="I11" i="1"/>
  <c r="J11" i="1"/>
  <c r="BA11" i="1"/>
  <c r="BB11" i="1"/>
  <c r="BD11" i="1"/>
  <c r="BF11" i="1"/>
  <c r="BG11" i="1"/>
  <c r="BH11" i="1"/>
  <c r="BI11" i="1"/>
  <c r="BY11" i="1"/>
  <c r="BZ11" i="1"/>
  <c r="B12" i="1"/>
  <c r="G12" i="1"/>
  <c r="H12" i="1"/>
  <c r="I12" i="1"/>
  <c r="J12" i="1"/>
  <c r="BA12" i="1"/>
  <c r="BB12" i="1"/>
  <c r="BD12" i="1"/>
  <c r="BF12" i="1"/>
  <c r="BG12" i="1"/>
  <c r="BH12" i="1"/>
  <c r="BI12" i="1"/>
  <c r="BY12" i="1"/>
  <c r="BZ12" i="1"/>
  <c r="B13" i="1"/>
  <c r="G13" i="1"/>
  <c r="H13" i="1"/>
  <c r="I13" i="1"/>
  <c r="J13" i="1"/>
  <c r="BA13" i="1"/>
  <c r="BB13" i="1"/>
  <c r="BD13" i="1"/>
  <c r="BF13" i="1"/>
  <c r="BG13" i="1"/>
  <c r="BH13" i="1"/>
  <c r="BI13" i="1"/>
  <c r="BY13" i="1"/>
  <c r="BZ13" i="1"/>
  <c r="B14" i="1"/>
  <c r="G14" i="1"/>
  <c r="H14" i="1"/>
  <c r="I14" i="1"/>
  <c r="J14" i="1"/>
  <c r="BA14" i="1"/>
  <c r="BB14" i="1"/>
  <c r="BD14" i="1"/>
  <c r="BF14" i="1"/>
  <c r="BG14" i="1"/>
  <c r="BH14" i="1"/>
  <c r="BI14" i="1"/>
  <c r="BY14" i="1"/>
  <c r="BZ14" i="1"/>
  <c r="B15" i="1"/>
  <c r="G15" i="1"/>
  <c r="H15" i="1"/>
  <c r="I15" i="1"/>
  <c r="J15" i="1"/>
  <c r="BA15" i="1"/>
  <c r="BB15" i="1"/>
  <c r="BD15" i="1"/>
  <c r="BF15" i="1"/>
  <c r="BG15" i="1"/>
  <c r="BH15" i="1"/>
  <c r="BI15" i="1"/>
  <c r="BY15" i="1"/>
  <c r="BZ15" i="1"/>
  <c r="B16" i="1"/>
  <c r="G16" i="1"/>
  <c r="H16" i="1"/>
  <c r="I16" i="1"/>
  <c r="J16" i="1"/>
  <c r="BA16" i="1"/>
  <c r="BB16" i="1"/>
  <c r="BD16" i="1"/>
  <c r="BF16" i="1"/>
  <c r="BG16" i="1"/>
  <c r="BH16" i="1"/>
  <c r="BI16" i="1"/>
  <c r="BY16" i="1"/>
  <c r="BZ16" i="1"/>
  <c r="B17" i="1"/>
  <c r="G17" i="1"/>
  <c r="H17" i="1"/>
  <c r="I17" i="1"/>
  <c r="J17" i="1"/>
  <c r="BA17" i="1"/>
  <c r="BB17" i="1"/>
  <c r="BD17" i="1"/>
  <c r="BF17" i="1"/>
  <c r="BG17" i="1"/>
  <c r="BH17" i="1"/>
  <c r="BI17" i="1"/>
  <c r="BY17" i="1"/>
  <c r="BZ17" i="1"/>
  <c r="B18" i="1"/>
  <c r="G18" i="1"/>
  <c r="H18" i="1"/>
  <c r="I18" i="1"/>
  <c r="J18" i="1"/>
  <c r="BA18" i="1"/>
  <c r="BB18" i="1"/>
  <c r="BD18" i="1"/>
  <c r="BF18" i="1"/>
  <c r="BG18" i="1"/>
  <c r="BH18" i="1"/>
  <c r="BI18" i="1"/>
  <c r="BY18" i="1"/>
  <c r="BZ18" i="1"/>
  <c r="B19" i="1"/>
  <c r="G19" i="1"/>
  <c r="H19" i="1"/>
  <c r="I19" i="1"/>
  <c r="J19" i="1"/>
  <c r="BA19" i="1"/>
  <c r="BB19" i="1"/>
  <c r="BD19" i="1"/>
  <c r="BF19" i="1"/>
  <c r="BG19" i="1"/>
  <c r="BH19" i="1"/>
  <c r="BI19" i="1"/>
  <c r="BY19" i="1"/>
  <c r="BZ19" i="1"/>
  <c r="B20" i="1"/>
  <c r="G20" i="1"/>
  <c r="H20" i="1"/>
  <c r="I20" i="1"/>
  <c r="J20" i="1"/>
  <c r="BA20" i="1"/>
  <c r="BB20" i="1"/>
  <c r="BD20" i="1"/>
  <c r="BF20" i="1"/>
  <c r="BG20" i="1"/>
  <c r="BH20" i="1"/>
  <c r="BI20" i="1"/>
  <c r="BY20" i="1"/>
  <c r="BZ20" i="1"/>
  <c r="B21" i="1"/>
  <c r="G21" i="1"/>
  <c r="H21" i="1"/>
  <c r="I21" i="1"/>
  <c r="J21" i="1"/>
  <c r="BA21" i="1"/>
  <c r="BB21" i="1"/>
  <c r="BD21" i="1"/>
  <c r="BF21" i="1"/>
  <c r="BG21" i="1"/>
  <c r="BH21" i="1"/>
  <c r="BI21" i="1"/>
  <c r="BY21" i="1"/>
  <c r="BZ21" i="1"/>
  <c r="B22" i="1"/>
  <c r="G22" i="1"/>
  <c r="H22" i="1"/>
  <c r="I22" i="1"/>
  <c r="J22" i="1"/>
  <c r="BA22" i="1"/>
  <c r="BB22" i="1"/>
  <c r="BD22" i="1"/>
  <c r="BF22" i="1"/>
  <c r="BG22" i="1"/>
  <c r="BH22" i="1"/>
  <c r="BI22" i="1"/>
  <c r="BY22" i="1"/>
  <c r="BZ22" i="1"/>
  <c r="B23" i="1"/>
  <c r="G23" i="1"/>
  <c r="H23" i="1"/>
  <c r="I23" i="1"/>
  <c r="J23" i="1"/>
  <c r="BA23" i="1"/>
  <c r="BB23" i="1"/>
  <c r="BD23" i="1"/>
  <c r="BF23" i="1"/>
  <c r="BG23" i="1"/>
  <c r="BH23" i="1"/>
  <c r="BI23" i="1"/>
  <c r="BY23" i="1"/>
  <c r="BZ23" i="1"/>
  <c r="B24" i="1"/>
  <c r="G24" i="1"/>
  <c r="H24" i="1"/>
  <c r="I24" i="1"/>
  <c r="J24" i="1"/>
  <c r="BA24" i="1"/>
  <c r="BB24" i="1"/>
  <c r="BD24" i="1"/>
  <c r="BF24" i="1"/>
  <c r="BG24" i="1"/>
  <c r="BH24" i="1"/>
  <c r="BI24" i="1"/>
  <c r="BY24" i="1"/>
  <c r="BZ24" i="1"/>
  <c r="B25" i="1"/>
  <c r="G25" i="1"/>
  <c r="H25" i="1"/>
  <c r="I25" i="1"/>
  <c r="J25" i="1"/>
  <c r="BA25" i="1"/>
  <c r="BB25" i="1"/>
  <c r="BD25" i="1"/>
  <c r="BF25" i="1"/>
  <c r="BG25" i="1"/>
  <c r="BH25" i="1"/>
  <c r="BI25" i="1"/>
  <c r="BK25" i="1"/>
  <c r="BL25" i="1"/>
  <c r="BM25" i="1"/>
  <c r="BN25" i="1"/>
  <c r="BY25" i="1"/>
  <c r="BZ25" i="1"/>
  <c r="B26" i="1"/>
  <c r="G26" i="1"/>
  <c r="H26" i="1"/>
  <c r="I26" i="1"/>
  <c r="J26" i="1"/>
  <c r="BA26" i="1"/>
  <c r="BB26" i="1"/>
  <c r="BD26" i="1"/>
  <c r="BF26" i="1"/>
  <c r="BG26" i="1"/>
  <c r="BH26" i="1"/>
  <c r="BI26" i="1"/>
  <c r="BY26" i="1"/>
  <c r="BZ26" i="1"/>
  <c r="B27" i="1"/>
  <c r="G27" i="1"/>
  <c r="H27" i="1"/>
  <c r="I27" i="1"/>
  <c r="J27" i="1"/>
  <c r="BA27" i="1"/>
  <c r="BB27" i="1"/>
  <c r="BD27" i="1"/>
  <c r="BF27" i="1"/>
  <c r="BG27" i="1"/>
  <c r="BH27" i="1"/>
  <c r="BI27" i="1"/>
  <c r="BY27" i="1"/>
  <c r="BZ27" i="1"/>
  <c r="B28" i="1"/>
  <c r="G28" i="1"/>
  <c r="H28" i="1"/>
  <c r="I28" i="1"/>
  <c r="J28" i="1"/>
  <c r="BA28" i="1"/>
  <c r="BB28" i="1"/>
  <c r="BD28" i="1"/>
  <c r="BF28" i="1"/>
  <c r="BG28" i="1"/>
  <c r="BH28" i="1"/>
  <c r="BI28" i="1"/>
  <c r="BY28" i="1"/>
  <c r="BZ28" i="1"/>
  <c r="B29" i="1"/>
  <c r="G29" i="1"/>
  <c r="H29" i="1"/>
  <c r="I29" i="1"/>
  <c r="J29" i="1"/>
  <c r="BA29" i="1"/>
  <c r="BB29" i="1"/>
  <c r="BD29" i="1"/>
  <c r="BF29" i="1"/>
  <c r="BG29" i="1"/>
  <c r="BH29" i="1"/>
  <c r="BI29" i="1"/>
  <c r="BY29" i="1"/>
  <c r="BZ29" i="1"/>
  <c r="B30" i="1"/>
  <c r="G30" i="1"/>
  <c r="H30" i="1"/>
  <c r="I30" i="1"/>
  <c r="J30" i="1"/>
  <c r="BA30" i="1"/>
  <c r="BB30" i="1"/>
  <c r="BD30" i="1"/>
  <c r="BF30" i="1"/>
  <c r="BG30" i="1"/>
  <c r="BH30" i="1"/>
  <c r="BI30" i="1"/>
  <c r="BK30" i="1"/>
  <c r="BL30" i="1"/>
  <c r="BM30" i="1"/>
  <c r="BN30" i="1"/>
  <c r="BY30" i="1"/>
  <c r="BZ30" i="1"/>
  <c r="B31" i="1"/>
  <c r="G31" i="1"/>
  <c r="H31" i="1"/>
  <c r="I31" i="1"/>
  <c r="J31" i="1"/>
  <c r="BA31" i="1"/>
  <c r="BB31" i="1"/>
  <c r="BD31" i="1"/>
  <c r="BF31" i="1"/>
  <c r="BG31" i="1"/>
  <c r="BH31" i="1"/>
  <c r="BI31" i="1"/>
  <c r="BK31" i="1"/>
  <c r="BL31" i="1"/>
  <c r="BM31" i="1"/>
  <c r="BN31" i="1"/>
  <c r="BY31" i="1"/>
  <c r="BZ31" i="1"/>
  <c r="B32" i="1"/>
  <c r="G32" i="1"/>
  <c r="H32" i="1"/>
  <c r="I32" i="1"/>
  <c r="J32" i="1"/>
  <c r="BA32" i="1"/>
  <c r="BB32" i="1"/>
  <c r="BD32" i="1"/>
  <c r="BF32" i="1"/>
  <c r="BG32" i="1"/>
  <c r="BH32" i="1"/>
  <c r="BI32" i="1"/>
  <c r="BY32" i="1"/>
  <c r="BZ32" i="1"/>
  <c r="B33" i="1"/>
  <c r="G33" i="1"/>
  <c r="H33" i="1"/>
  <c r="I33" i="1"/>
  <c r="J33" i="1"/>
  <c r="BA33" i="1"/>
  <c r="BB33" i="1"/>
  <c r="BD33" i="1"/>
  <c r="BF33" i="1"/>
  <c r="BG33" i="1"/>
  <c r="BH33" i="1"/>
  <c r="BI33" i="1"/>
  <c r="BY33" i="1"/>
  <c r="BZ33" i="1"/>
  <c r="B34" i="1"/>
  <c r="G34" i="1"/>
  <c r="H34" i="1"/>
  <c r="I34" i="1"/>
  <c r="J34" i="1"/>
  <c r="BA34" i="1"/>
  <c r="BB34" i="1"/>
  <c r="BD34" i="1"/>
  <c r="BF34" i="1"/>
  <c r="BG34" i="1"/>
  <c r="BH34" i="1"/>
  <c r="BI34" i="1"/>
  <c r="BK34" i="1"/>
  <c r="BL34" i="1"/>
  <c r="BM34" i="1"/>
  <c r="BN34" i="1"/>
  <c r="BY34" i="1"/>
  <c r="BZ34" i="1"/>
  <c r="B35" i="1"/>
  <c r="G35" i="1"/>
  <c r="H35" i="1"/>
  <c r="I35" i="1"/>
  <c r="J35" i="1"/>
  <c r="BA35" i="1"/>
  <c r="BB35" i="1"/>
  <c r="BD35" i="1"/>
  <c r="BF35" i="1"/>
  <c r="BG35" i="1"/>
  <c r="BH35" i="1"/>
  <c r="BI35" i="1"/>
  <c r="BK35" i="1"/>
  <c r="BL35" i="1"/>
  <c r="BM35" i="1"/>
  <c r="BN35" i="1"/>
  <c r="BY35" i="1"/>
  <c r="BZ35" i="1"/>
  <c r="B36" i="1"/>
  <c r="G36" i="1"/>
  <c r="H36" i="1"/>
  <c r="I36" i="1"/>
  <c r="J36" i="1"/>
  <c r="BA36" i="1"/>
  <c r="BB36" i="1"/>
  <c r="BD36" i="1"/>
  <c r="BF36" i="1"/>
  <c r="BG36" i="1"/>
  <c r="BH36" i="1"/>
  <c r="BI36" i="1"/>
  <c r="BK36" i="1"/>
  <c r="BL36" i="1"/>
  <c r="BM36" i="1"/>
  <c r="BN36" i="1"/>
  <c r="BY36" i="1"/>
  <c r="BZ36" i="1"/>
  <c r="B37" i="1"/>
  <c r="G37" i="1"/>
  <c r="H37" i="1"/>
  <c r="I37" i="1"/>
  <c r="J37" i="1"/>
  <c r="BA37" i="1"/>
  <c r="BB37" i="1"/>
  <c r="BD37" i="1"/>
  <c r="BF37" i="1"/>
  <c r="BG37" i="1"/>
  <c r="BH37" i="1"/>
  <c r="BI37" i="1"/>
  <c r="BY37" i="1"/>
  <c r="BZ37" i="1"/>
  <c r="B38" i="1"/>
  <c r="G38" i="1"/>
  <c r="H38" i="1"/>
  <c r="I38" i="1"/>
  <c r="J38" i="1"/>
  <c r="BA38" i="1"/>
  <c r="BB38" i="1"/>
  <c r="BD38" i="1"/>
  <c r="BF38" i="1"/>
  <c r="BG38" i="1"/>
  <c r="BH38" i="1"/>
  <c r="BI38" i="1"/>
  <c r="BY38" i="1"/>
  <c r="BZ38" i="1"/>
  <c r="B39" i="1"/>
  <c r="G39" i="1"/>
  <c r="H39" i="1"/>
  <c r="I39" i="1"/>
  <c r="J39" i="1"/>
  <c r="BA39" i="1"/>
  <c r="BB39" i="1"/>
  <c r="BD39" i="1"/>
  <c r="BF39" i="1"/>
  <c r="BG39" i="1"/>
  <c r="BH39" i="1"/>
  <c r="BI39" i="1"/>
  <c r="BY39" i="1"/>
  <c r="BZ39" i="1"/>
  <c r="B40" i="1"/>
  <c r="G40" i="1"/>
  <c r="H40" i="1"/>
  <c r="I40" i="1"/>
  <c r="J40" i="1"/>
  <c r="BA40" i="1"/>
  <c r="BB40" i="1"/>
  <c r="BD40" i="1"/>
  <c r="BF40" i="1"/>
  <c r="BG40" i="1"/>
  <c r="BH40" i="1"/>
  <c r="BI40" i="1"/>
  <c r="BY40" i="1"/>
  <c r="BZ40" i="1"/>
  <c r="B41" i="1"/>
  <c r="G41" i="1"/>
  <c r="H41" i="1"/>
  <c r="I41" i="1"/>
  <c r="J41" i="1"/>
  <c r="BA41" i="1"/>
  <c r="BB41" i="1"/>
  <c r="BD41" i="1"/>
  <c r="BF41" i="1"/>
  <c r="BG41" i="1"/>
  <c r="BH41" i="1"/>
  <c r="BI41" i="1"/>
  <c r="BY41" i="1"/>
  <c r="BZ41" i="1"/>
  <c r="B42" i="1"/>
  <c r="G42" i="1"/>
  <c r="H42" i="1"/>
  <c r="I42" i="1"/>
  <c r="J42" i="1"/>
  <c r="BA42" i="1"/>
  <c r="BB42" i="1"/>
  <c r="BD42" i="1"/>
  <c r="BF42" i="1"/>
  <c r="BG42" i="1"/>
  <c r="BH42" i="1"/>
  <c r="BI42" i="1"/>
  <c r="BY42" i="1"/>
  <c r="BZ42" i="1"/>
  <c r="B43" i="1"/>
  <c r="G43" i="1"/>
  <c r="H43" i="1"/>
  <c r="I43" i="1"/>
  <c r="J43" i="1"/>
  <c r="BA43" i="1"/>
  <c r="BB43" i="1"/>
  <c r="BD43" i="1"/>
  <c r="BF43" i="1"/>
  <c r="BG43" i="1"/>
  <c r="BH43" i="1"/>
  <c r="BI43" i="1"/>
  <c r="BY43" i="1"/>
  <c r="BZ43" i="1"/>
  <c r="B44" i="1"/>
  <c r="G44" i="1"/>
  <c r="H44" i="1"/>
  <c r="I44" i="1"/>
  <c r="J44" i="1"/>
  <c r="BA44" i="1"/>
  <c r="BB44" i="1"/>
  <c r="BD44" i="1"/>
  <c r="BF44" i="1"/>
  <c r="BG44" i="1"/>
  <c r="BH44" i="1"/>
  <c r="BI44" i="1"/>
  <c r="BY44" i="1"/>
  <c r="BZ44" i="1"/>
  <c r="B45" i="1"/>
  <c r="G45" i="1"/>
  <c r="H45" i="1"/>
  <c r="I45" i="1"/>
  <c r="J45" i="1"/>
  <c r="BA45" i="1"/>
  <c r="BB45" i="1"/>
  <c r="BD45" i="1"/>
  <c r="BF45" i="1"/>
  <c r="BG45" i="1"/>
  <c r="BH45" i="1"/>
  <c r="BI45" i="1"/>
  <c r="BK45" i="1"/>
  <c r="BL45" i="1"/>
  <c r="BM45" i="1"/>
  <c r="BN45" i="1"/>
  <c r="BY45" i="1"/>
  <c r="BZ45" i="1"/>
  <c r="B46" i="1"/>
  <c r="G46" i="1"/>
  <c r="H46" i="1"/>
  <c r="I46" i="1"/>
  <c r="J46" i="1"/>
  <c r="BA46" i="1"/>
  <c r="BB46" i="1"/>
  <c r="BD46" i="1"/>
  <c r="BF46" i="1"/>
  <c r="BG46" i="1"/>
  <c r="BH46" i="1"/>
  <c r="BI46" i="1"/>
  <c r="BK46" i="1"/>
  <c r="BL46" i="1"/>
  <c r="BM46" i="1"/>
  <c r="BN46" i="1"/>
  <c r="BY46" i="1"/>
  <c r="BZ46" i="1"/>
  <c r="B47" i="1"/>
  <c r="G47" i="1"/>
  <c r="H47" i="1"/>
  <c r="I47" i="1"/>
  <c r="J47" i="1"/>
  <c r="BA47" i="1"/>
  <c r="BB47" i="1"/>
  <c r="BD47" i="1"/>
  <c r="BF47" i="1"/>
  <c r="BG47" i="1"/>
  <c r="BH47" i="1"/>
  <c r="BI47" i="1"/>
  <c r="BK47" i="1"/>
  <c r="BL47" i="1"/>
  <c r="BM47" i="1"/>
  <c r="BN47" i="1"/>
  <c r="BY47" i="1"/>
  <c r="BZ47" i="1"/>
  <c r="B48" i="1"/>
  <c r="G48" i="1"/>
  <c r="H48" i="1"/>
  <c r="I48" i="1"/>
  <c r="J48" i="1"/>
  <c r="BA48" i="1"/>
  <c r="BB48" i="1"/>
  <c r="BD48" i="1"/>
  <c r="BF48" i="1"/>
  <c r="BG48" i="1"/>
  <c r="BH48" i="1"/>
  <c r="BI48" i="1"/>
  <c r="BY48" i="1"/>
  <c r="BZ48" i="1"/>
  <c r="B49" i="1"/>
  <c r="G49" i="1"/>
  <c r="H49" i="1"/>
  <c r="I49" i="1"/>
  <c r="J49" i="1"/>
  <c r="BA49" i="1"/>
  <c r="BB49" i="1"/>
  <c r="BD49" i="1"/>
  <c r="BF49" i="1"/>
  <c r="BG49" i="1"/>
  <c r="BH49" i="1"/>
  <c r="BI49" i="1"/>
  <c r="BY49" i="1"/>
  <c r="BZ49" i="1"/>
  <c r="B50" i="1"/>
  <c r="G50" i="1"/>
  <c r="H50" i="1"/>
  <c r="I50" i="1"/>
  <c r="J50" i="1"/>
  <c r="BA50" i="1"/>
  <c r="BB50" i="1"/>
  <c r="BD50" i="1"/>
  <c r="BF50" i="1"/>
  <c r="BG50" i="1"/>
  <c r="BH50" i="1"/>
  <c r="BI50" i="1"/>
  <c r="BY50" i="1"/>
  <c r="BZ50" i="1"/>
  <c r="B51" i="1"/>
  <c r="G51" i="1"/>
  <c r="H51" i="1"/>
  <c r="I51" i="1"/>
  <c r="J51" i="1"/>
  <c r="BA51" i="1"/>
  <c r="BB51" i="1"/>
  <c r="BD51" i="1"/>
  <c r="BF51" i="1"/>
  <c r="BG51" i="1"/>
  <c r="BH51" i="1"/>
  <c r="BI51" i="1"/>
  <c r="BY51" i="1"/>
  <c r="BZ51" i="1"/>
  <c r="B52" i="1"/>
  <c r="G52" i="1"/>
  <c r="H52" i="1"/>
  <c r="I52" i="1"/>
  <c r="J52" i="1"/>
  <c r="BA52" i="1"/>
  <c r="BB52" i="1"/>
  <c r="BD52" i="1"/>
  <c r="BF52" i="1"/>
  <c r="BG52" i="1"/>
  <c r="BH52" i="1"/>
  <c r="BI52" i="1"/>
  <c r="BY52" i="1"/>
  <c r="BZ52" i="1"/>
  <c r="B53" i="1"/>
  <c r="G53" i="1"/>
  <c r="H53" i="1"/>
  <c r="I53" i="1"/>
  <c r="J53" i="1"/>
  <c r="BA53" i="1"/>
  <c r="BB53" i="1"/>
  <c r="BD53" i="1"/>
  <c r="BF53" i="1"/>
  <c r="BG53" i="1"/>
  <c r="BH53" i="1"/>
  <c r="BI53" i="1"/>
  <c r="BY53" i="1"/>
  <c r="BZ53" i="1"/>
  <c r="B54" i="1"/>
  <c r="G54" i="1"/>
  <c r="H54" i="1"/>
  <c r="I54" i="1"/>
  <c r="J54" i="1"/>
  <c r="BA54" i="1"/>
  <c r="BB54" i="1"/>
  <c r="BD54" i="1"/>
  <c r="BF54" i="1"/>
  <c r="BG54" i="1"/>
  <c r="BH54" i="1"/>
  <c r="BI54" i="1"/>
  <c r="BY54" i="1"/>
  <c r="BZ54" i="1"/>
  <c r="B55" i="1"/>
  <c r="G55" i="1"/>
  <c r="H55" i="1"/>
  <c r="I55" i="1"/>
  <c r="J55" i="1"/>
  <c r="BA55" i="1"/>
  <c r="BB55" i="1"/>
  <c r="BD55" i="1"/>
  <c r="BF55" i="1"/>
  <c r="BG55" i="1"/>
  <c r="BH55" i="1"/>
  <c r="BI55" i="1"/>
  <c r="BY55" i="1"/>
  <c r="BZ55" i="1"/>
  <c r="B56" i="1"/>
  <c r="G56" i="1"/>
  <c r="H56" i="1"/>
  <c r="I56" i="1"/>
  <c r="J56" i="1"/>
  <c r="BA56" i="1"/>
  <c r="BB56" i="1"/>
  <c r="BD56" i="1"/>
  <c r="BF56" i="1"/>
  <c r="BG56" i="1"/>
  <c r="BH56" i="1"/>
  <c r="BI56" i="1"/>
  <c r="BY56" i="1"/>
  <c r="BZ56" i="1"/>
  <c r="B57" i="1"/>
  <c r="G57" i="1"/>
  <c r="H57" i="1"/>
  <c r="I57" i="1"/>
  <c r="J57" i="1"/>
  <c r="BA57" i="1"/>
  <c r="BB57" i="1"/>
  <c r="BD57" i="1"/>
  <c r="BF57" i="1"/>
  <c r="BG57" i="1"/>
  <c r="BH57" i="1"/>
  <c r="BI57" i="1"/>
  <c r="BY57" i="1"/>
  <c r="BZ57" i="1"/>
  <c r="B58" i="1"/>
  <c r="G58" i="1"/>
  <c r="H58" i="1"/>
  <c r="I58" i="1"/>
  <c r="J58" i="1"/>
  <c r="BA58" i="1"/>
  <c r="BB58" i="1"/>
  <c r="BD58" i="1"/>
  <c r="BF58" i="1"/>
  <c r="BG58" i="1"/>
  <c r="BH58" i="1"/>
  <c r="BI58" i="1"/>
  <c r="BY58" i="1"/>
  <c r="BZ58" i="1"/>
  <c r="B59" i="1"/>
  <c r="G59" i="1"/>
  <c r="H59" i="1"/>
  <c r="I59" i="1"/>
  <c r="J59" i="1"/>
  <c r="BA59" i="1"/>
  <c r="BB59" i="1"/>
  <c r="BD59" i="1"/>
  <c r="BF59" i="1"/>
  <c r="BG59" i="1"/>
  <c r="BH59" i="1"/>
  <c r="BI59" i="1"/>
  <c r="BY59" i="1"/>
  <c r="BZ59" i="1"/>
  <c r="B60" i="1"/>
  <c r="G60" i="1"/>
  <c r="H60" i="1"/>
  <c r="I60" i="1"/>
  <c r="J60" i="1"/>
  <c r="BA60" i="1"/>
  <c r="BB60" i="1"/>
  <c r="BD60" i="1"/>
  <c r="BF60" i="1"/>
  <c r="BG60" i="1"/>
  <c r="BH60" i="1"/>
  <c r="BI60" i="1"/>
  <c r="BY60" i="1"/>
  <c r="BZ60" i="1"/>
  <c r="B61" i="1"/>
  <c r="G61" i="1"/>
  <c r="H61" i="1"/>
  <c r="I61" i="1"/>
  <c r="J61" i="1"/>
  <c r="BA61" i="1"/>
  <c r="BB61" i="1"/>
  <c r="BD61" i="1"/>
  <c r="BF61" i="1"/>
  <c r="BG61" i="1"/>
  <c r="BH61" i="1"/>
  <c r="BI61" i="1"/>
  <c r="BY61" i="1"/>
  <c r="BZ61" i="1"/>
  <c r="B62" i="1"/>
  <c r="G62" i="1"/>
  <c r="H62" i="1"/>
  <c r="I62" i="1"/>
  <c r="J62" i="1"/>
  <c r="BA62" i="1"/>
  <c r="BB62" i="1"/>
  <c r="BD62" i="1"/>
  <c r="BF62" i="1"/>
  <c r="BG62" i="1"/>
  <c r="BH62" i="1"/>
  <c r="BI62" i="1"/>
  <c r="BY62" i="1"/>
  <c r="BZ62" i="1"/>
  <c r="B63" i="1"/>
  <c r="G63" i="1"/>
  <c r="H63" i="1"/>
  <c r="I63" i="1"/>
  <c r="J63" i="1"/>
  <c r="BA63" i="1"/>
  <c r="BB63" i="1"/>
  <c r="BD63" i="1"/>
  <c r="BF63" i="1"/>
  <c r="BG63" i="1"/>
  <c r="BH63" i="1"/>
  <c r="BI63" i="1"/>
  <c r="BY63" i="1"/>
  <c r="BZ63" i="1"/>
  <c r="B64" i="1"/>
  <c r="G64" i="1"/>
  <c r="H64" i="1"/>
  <c r="I64" i="1"/>
  <c r="J64" i="1"/>
  <c r="BA64" i="1"/>
  <c r="BB64" i="1"/>
  <c r="BD64" i="1"/>
  <c r="BF64" i="1"/>
  <c r="BG64" i="1"/>
  <c r="BH64" i="1"/>
  <c r="BI64" i="1"/>
  <c r="BY64" i="1"/>
  <c r="BZ64" i="1"/>
  <c r="B65" i="1"/>
  <c r="G65" i="1"/>
  <c r="H65" i="1"/>
  <c r="I65" i="1"/>
  <c r="J65" i="1"/>
  <c r="BA65" i="1"/>
  <c r="BB65" i="1"/>
  <c r="BD65" i="1"/>
  <c r="BF65" i="1"/>
  <c r="BG65" i="1"/>
  <c r="BH65" i="1"/>
  <c r="BI65" i="1"/>
  <c r="BY65" i="1"/>
  <c r="BZ65" i="1"/>
  <c r="B66" i="1"/>
  <c r="G66" i="1"/>
  <c r="H66" i="1"/>
  <c r="I66" i="1"/>
  <c r="J66" i="1"/>
  <c r="BA66" i="1"/>
  <c r="BB66" i="1"/>
  <c r="BD66" i="1"/>
  <c r="BF66" i="1"/>
  <c r="BG66" i="1"/>
  <c r="BH66" i="1"/>
  <c r="BI66" i="1"/>
  <c r="BY66" i="1"/>
  <c r="BZ66" i="1"/>
  <c r="B67" i="1"/>
  <c r="G67" i="1"/>
  <c r="H67" i="1"/>
  <c r="I67" i="1"/>
  <c r="J67" i="1"/>
  <c r="BA67" i="1"/>
  <c r="BB67" i="1"/>
  <c r="BD67" i="1"/>
  <c r="BF67" i="1"/>
  <c r="BG67" i="1"/>
  <c r="BH67" i="1"/>
  <c r="BI67" i="1"/>
  <c r="BY67" i="1"/>
  <c r="BZ67" i="1"/>
  <c r="B68" i="1"/>
  <c r="G68" i="1"/>
  <c r="H68" i="1"/>
  <c r="I68" i="1"/>
  <c r="J68" i="1"/>
  <c r="BA68" i="1"/>
  <c r="BB68" i="1"/>
  <c r="BD68" i="1"/>
  <c r="BF68" i="1"/>
  <c r="BG68" i="1"/>
  <c r="BH68" i="1"/>
  <c r="BI68" i="1"/>
  <c r="BY68" i="1"/>
  <c r="BZ68" i="1"/>
  <c r="B69" i="1"/>
  <c r="G69" i="1"/>
  <c r="H69" i="1"/>
  <c r="I69" i="1"/>
  <c r="J69" i="1"/>
  <c r="BA69" i="1"/>
  <c r="BB69" i="1"/>
  <c r="BD69" i="1"/>
  <c r="BF69" i="1"/>
  <c r="BG69" i="1"/>
  <c r="BH69" i="1"/>
  <c r="BI69" i="1"/>
  <c r="BY69" i="1"/>
  <c r="BZ69" i="1"/>
  <c r="B70" i="1"/>
  <c r="G70" i="1"/>
  <c r="H70" i="1"/>
  <c r="I70" i="1"/>
  <c r="J70" i="1"/>
  <c r="BA70" i="1"/>
  <c r="BB70" i="1"/>
  <c r="BD70" i="1"/>
  <c r="BF70" i="1"/>
  <c r="BG70" i="1"/>
  <c r="BH70" i="1"/>
  <c r="BI70" i="1"/>
  <c r="BY70" i="1"/>
  <c r="BZ70" i="1"/>
  <c r="B71" i="1"/>
  <c r="G71" i="1"/>
  <c r="H71" i="1"/>
  <c r="I71" i="1"/>
  <c r="J71" i="1"/>
  <c r="BA71" i="1"/>
  <c r="BB71" i="1"/>
  <c r="BD71" i="1"/>
  <c r="BF71" i="1"/>
  <c r="BG71" i="1"/>
  <c r="BH71" i="1"/>
  <c r="BI71" i="1"/>
  <c r="BY71" i="1"/>
  <c r="BZ71" i="1"/>
  <c r="B72" i="1"/>
  <c r="G72" i="1"/>
  <c r="H72" i="1"/>
  <c r="I72" i="1"/>
  <c r="J72" i="1"/>
  <c r="BA72" i="1"/>
  <c r="BB72" i="1"/>
  <c r="BD72" i="1"/>
  <c r="BF72" i="1"/>
  <c r="BG72" i="1"/>
  <c r="BH72" i="1"/>
  <c r="BI72" i="1"/>
  <c r="BY72" i="1"/>
  <c r="BZ72" i="1"/>
  <c r="B73" i="1"/>
  <c r="G73" i="1"/>
  <c r="H73" i="1"/>
  <c r="I73" i="1"/>
  <c r="J73" i="1"/>
  <c r="BA73" i="1"/>
  <c r="BB73" i="1"/>
  <c r="BD73" i="1"/>
  <c r="BF73" i="1"/>
  <c r="BG73" i="1"/>
  <c r="BH73" i="1"/>
  <c r="BI73" i="1"/>
  <c r="BY73" i="1"/>
  <c r="BZ73" i="1"/>
  <c r="B74" i="1"/>
  <c r="G74" i="1"/>
  <c r="H74" i="1"/>
  <c r="I74" i="1"/>
  <c r="J74" i="1"/>
  <c r="BA74" i="1"/>
  <c r="BB74" i="1"/>
  <c r="BD74" i="1"/>
  <c r="BF74" i="1"/>
  <c r="BG74" i="1"/>
  <c r="BH74" i="1"/>
  <c r="BI74" i="1"/>
  <c r="BY74" i="1"/>
  <c r="BZ74" i="1"/>
  <c r="B75" i="1"/>
  <c r="G75" i="1"/>
  <c r="H75" i="1"/>
  <c r="I75" i="1"/>
  <c r="J75" i="1"/>
  <c r="BA75" i="1"/>
  <c r="BB75" i="1"/>
  <c r="BD75" i="1"/>
  <c r="BF75" i="1"/>
  <c r="BG75" i="1"/>
  <c r="BH75" i="1"/>
  <c r="BI75" i="1"/>
  <c r="BK75" i="1"/>
  <c r="BL75" i="1"/>
  <c r="BM75" i="1"/>
  <c r="BN75" i="1"/>
  <c r="BY75" i="1"/>
  <c r="BZ75" i="1"/>
  <c r="B76" i="1"/>
  <c r="G76" i="1"/>
  <c r="H76" i="1"/>
  <c r="I76" i="1"/>
  <c r="J76" i="1"/>
  <c r="BA76" i="1"/>
  <c r="BB76" i="1"/>
  <c r="BD76" i="1"/>
  <c r="BF76" i="1"/>
  <c r="BG76" i="1"/>
  <c r="BH76" i="1"/>
  <c r="BI76" i="1"/>
  <c r="BY76" i="1"/>
  <c r="BZ76" i="1"/>
  <c r="B77" i="1"/>
  <c r="G77" i="1"/>
  <c r="H77" i="1"/>
  <c r="I77" i="1"/>
  <c r="J77" i="1"/>
  <c r="BA77" i="1"/>
  <c r="BB77" i="1"/>
  <c r="BD77" i="1"/>
  <c r="BF77" i="1"/>
  <c r="BG77" i="1"/>
  <c r="BH77" i="1"/>
  <c r="BI77" i="1"/>
  <c r="BK77" i="1"/>
  <c r="BL77" i="1"/>
  <c r="BM77" i="1"/>
  <c r="BN77" i="1"/>
  <c r="BY77" i="1"/>
  <c r="BZ77" i="1"/>
  <c r="B78" i="1"/>
  <c r="G78" i="1"/>
  <c r="H78" i="1"/>
  <c r="I78" i="1"/>
  <c r="J78" i="1"/>
  <c r="BA78" i="1"/>
  <c r="BB78" i="1"/>
  <c r="BD78" i="1"/>
  <c r="BF78" i="1"/>
  <c r="BG78" i="1"/>
  <c r="BH78" i="1"/>
  <c r="BI78" i="1"/>
  <c r="BK78" i="1"/>
  <c r="BL78" i="1"/>
  <c r="BM78" i="1"/>
  <c r="BN78" i="1"/>
  <c r="BY78" i="1"/>
  <c r="BZ78" i="1"/>
  <c r="B79" i="1"/>
  <c r="G79" i="1"/>
  <c r="H79" i="1"/>
  <c r="I79" i="1"/>
  <c r="J79" i="1"/>
  <c r="BA79" i="1"/>
  <c r="BB79" i="1"/>
  <c r="BD79" i="1"/>
  <c r="BF79" i="1"/>
  <c r="BG79" i="1"/>
  <c r="BH79" i="1"/>
  <c r="BI79" i="1"/>
  <c r="BY79" i="1"/>
  <c r="BZ79" i="1"/>
  <c r="B80" i="1"/>
  <c r="G80" i="1"/>
  <c r="H80" i="1"/>
  <c r="I80" i="1"/>
  <c r="J80" i="1"/>
  <c r="BA80" i="1"/>
  <c r="BB80" i="1"/>
  <c r="BD80" i="1"/>
  <c r="BF80" i="1"/>
  <c r="BG80" i="1"/>
  <c r="BH80" i="1"/>
  <c r="BI80" i="1"/>
  <c r="BY80" i="1"/>
  <c r="BZ80" i="1"/>
  <c r="B81" i="1"/>
  <c r="G81" i="1"/>
  <c r="H81" i="1"/>
  <c r="I81" i="1"/>
  <c r="J81" i="1"/>
  <c r="BA81" i="1"/>
  <c r="BB81" i="1"/>
  <c r="BD81" i="1"/>
  <c r="BF81" i="1"/>
  <c r="BG81" i="1"/>
  <c r="BH81" i="1"/>
  <c r="BI81" i="1"/>
  <c r="BY81" i="1"/>
  <c r="BZ81" i="1"/>
  <c r="B82" i="1"/>
  <c r="G82" i="1"/>
  <c r="H82" i="1"/>
  <c r="I82" i="1"/>
  <c r="J82" i="1"/>
  <c r="BA82" i="1"/>
  <c r="BB82" i="1"/>
  <c r="BD82" i="1"/>
  <c r="BF82" i="1"/>
  <c r="BG82" i="1"/>
  <c r="BH82" i="1"/>
  <c r="BI82" i="1"/>
  <c r="BY82" i="1"/>
  <c r="BZ82" i="1"/>
  <c r="B83" i="1"/>
  <c r="G83" i="1"/>
  <c r="H83" i="1"/>
  <c r="I83" i="1"/>
  <c r="J83" i="1"/>
  <c r="BA83" i="1"/>
  <c r="BB83" i="1"/>
  <c r="BD83" i="1"/>
  <c r="BF83" i="1"/>
  <c r="BG83" i="1"/>
  <c r="BH83" i="1"/>
  <c r="BI83" i="1"/>
  <c r="BK83" i="1"/>
  <c r="BL83" i="1"/>
  <c r="BM83" i="1"/>
  <c r="BN83" i="1"/>
  <c r="BP83" i="1"/>
  <c r="BQ83" i="1"/>
  <c r="BR83" i="1"/>
  <c r="BS83" i="1"/>
  <c r="BY83" i="1"/>
  <c r="BZ83" i="1"/>
  <c r="B84" i="1"/>
  <c r="G84" i="1"/>
  <c r="H84" i="1"/>
  <c r="I84" i="1"/>
  <c r="J84" i="1"/>
  <c r="BA84" i="1"/>
  <c r="BB84" i="1"/>
  <c r="BD84" i="1"/>
  <c r="BF84" i="1"/>
  <c r="BG84" i="1"/>
  <c r="BH84" i="1"/>
  <c r="BI84" i="1"/>
  <c r="BK84" i="1"/>
  <c r="BL84" i="1"/>
  <c r="BM84" i="1"/>
  <c r="BN84" i="1"/>
  <c r="BP84" i="1"/>
  <c r="BQ84" i="1"/>
  <c r="BR84" i="1"/>
  <c r="BS84" i="1"/>
  <c r="BY84" i="1"/>
  <c r="BZ84" i="1"/>
  <c r="B85" i="1"/>
  <c r="G85" i="1"/>
  <c r="H85" i="1"/>
  <c r="I85" i="1"/>
  <c r="J85" i="1"/>
  <c r="BA85" i="1"/>
  <c r="BB85" i="1"/>
  <c r="BD85" i="1"/>
  <c r="BF85" i="1"/>
  <c r="BG85" i="1"/>
  <c r="BH85" i="1"/>
  <c r="BI85" i="1"/>
  <c r="BK85" i="1"/>
  <c r="BL85" i="1"/>
  <c r="BM85" i="1"/>
  <c r="BN85" i="1"/>
  <c r="BP85" i="1"/>
  <c r="BQ85" i="1"/>
  <c r="BR85" i="1"/>
  <c r="BS85" i="1"/>
  <c r="BY85" i="1"/>
  <c r="BZ85" i="1"/>
  <c r="B86" i="1"/>
  <c r="G86" i="1"/>
  <c r="H86" i="1"/>
  <c r="I86" i="1"/>
  <c r="J86" i="1"/>
  <c r="BA86" i="1"/>
  <c r="BB86" i="1"/>
  <c r="BD86" i="1"/>
  <c r="BF86" i="1"/>
  <c r="BG86" i="1"/>
  <c r="BH86" i="1"/>
  <c r="BI86" i="1"/>
  <c r="BK86" i="1"/>
  <c r="BL86" i="1"/>
  <c r="BM86" i="1"/>
  <c r="BN86" i="1"/>
  <c r="BP86" i="1"/>
  <c r="BQ86" i="1"/>
  <c r="BR86" i="1"/>
  <c r="BS86" i="1"/>
  <c r="BY86" i="1"/>
  <c r="BZ86" i="1"/>
  <c r="B87" i="1"/>
  <c r="G87" i="1"/>
  <c r="H87" i="1"/>
  <c r="I87" i="1"/>
  <c r="J87" i="1"/>
  <c r="BA87" i="1"/>
  <c r="BB87" i="1"/>
  <c r="BD87" i="1"/>
  <c r="BF87" i="1"/>
  <c r="BG87" i="1"/>
  <c r="BH87" i="1"/>
  <c r="BI87" i="1"/>
  <c r="BY87" i="1"/>
  <c r="BZ87" i="1"/>
  <c r="B88" i="1"/>
  <c r="G88" i="1"/>
  <c r="H88" i="1"/>
  <c r="I88" i="1"/>
  <c r="J88" i="1"/>
  <c r="BA88" i="1"/>
  <c r="BB88" i="1"/>
  <c r="BD88" i="1"/>
  <c r="BF88" i="1"/>
  <c r="BG88" i="1"/>
  <c r="BH88" i="1"/>
  <c r="BI88" i="1"/>
  <c r="BY88" i="1"/>
  <c r="BZ88" i="1"/>
  <c r="B89" i="1"/>
  <c r="G89" i="1"/>
  <c r="H89" i="1"/>
  <c r="I89" i="1"/>
  <c r="J89" i="1"/>
  <c r="BA89" i="1"/>
  <c r="BB89" i="1"/>
  <c r="BD89" i="1"/>
  <c r="BF89" i="1"/>
  <c r="BG89" i="1"/>
  <c r="BH89" i="1"/>
  <c r="BI89" i="1"/>
  <c r="BY89" i="1"/>
  <c r="BZ89" i="1"/>
  <c r="B90" i="1"/>
  <c r="G90" i="1"/>
  <c r="H90" i="1"/>
  <c r="I90" i="1"/>
  <c r="J90" i="1"/>
  <c r="BA90" i="1"/>
  <c r="BB90" i="1"/>
  <c r="BD90" i="1"/>
  <c r="BF90" i="1"/>
  <c r="BG90" i="1"/>
  <c r="BH90" i="1"/>
  <c r="BI90" i="1"/>
  <c r="BY90" i="1"/>
  <c r="BZ90" i="1"/>
  <c r="B91" i="1"/>
  <c r="G91" i="1"/>
  <c r="H91" i="1"/>
  <c r="I91" i="1"/>
  <c r="J91" i="1"/>
  <c r="BA91" i="1"/>
  <c r="BB91" i="1"/>
  <c r="BD91" i="1"/>
  <c r="BF91" i="1"/>
  <c r="BG91" i="1"/>
  <c r="BH91" i="1"/>
  <c r="BI91" i="1"/>
  <c r="BY91" i="1"/>
  <c r="BZ91" i="1"/>
  <c r="B92" i="1"/>
  <c r="G92" i="1"/>
  <c r="H92" i="1"/>
  <c r="I92" i="1"/>
  <c r="J92" i="1"/>
  <c r="BA92" i="1"/>
  <c r="BB92" i="1"/>
  <c r="BD92" i="1"/>
  <c r="BF92" i="1"/>
  <c r="BG92" i="1"/>
  <c r="BH92" i="1"/>
  <c r="BI92" i="1"/>
  <c r="BY92" i="1"/>
  <c r="BZ92" i="1"/>
  <c r="B93" i="1"/>
  <c r="G93" i="1"/>
  <c r="H93" i="1"/>
  <c r="I93" i="1"/>
  <c r="J93" i="1"/>
  <c r="BA93" i="1"/>
  <c r="BB93" i="1"/>
  <c r="BD93" i="1"/>
  <c r="BF93" i="1"/>
  <c r="BG93" i="1"/>
  <c r="BH93" i="1"/>
  <c r="BI93" i="1"/>
  <c r="BY93" i="1"/>
  <c r="BZ93" i="1"/>
  <c r="B94" i="1"/>
  <c r="G94" i="1"/>
  <c r="H94" i="1"/>
  <c r="I94" i="1"/>
  <c r="J94" i="1"/>
  <c r="BA94" i="1"/>
  <c r="BB94" i="1"/>
  <c r="BD94" i="1"/>
  <c r="BF94" i="1"/>
  <c r="BG94" i="1"/>
  <c r="BH94" i="1"/>
  <c r="BI94" i="1"/>
  <c r="BY94" i="1"/>
  <c r="BZ94" i="1"/>
  <c r="B95" i="1"/>
  <c r="G95" i="1"/>
  <c r="H95" i="1"/>
  <c r="I95" i="1"/>
  <c r="J95" i="1"/>
  <c r="BA95" i="1"/>
  <c r="BB95" i="1"/>
  <c r="BD95" i="1"/>
  <c r="BF95" i="1"/>
  <c r="BG95" i="1"/>
  <c r="BH95" i="1"/>
  <c r="BI95" i="1"/>
  <c r="BY95" i="1"/>
  <c r="BZ95" i="1"/>
  <c r="B96" i="1"/>
  <c r="G96" i="1"/>
  <c r="H96" i="1"/>
  <c r="I96" i="1"/>
  <c r="J96" i="1"/>
  <c r="BA96" i="1"/>
  <c r="BB96" i="1"/>
  <c r="BD96" i="1"/>
  <c r="BF96" i="1"/>
  <c r="BG96" i="1"/>
  <c r="BH96" i="1"/>
  <c r="BI96" i="1"/>
  <c r="BY96" i="1"/>
  <c r="BZ96" i="1"/>
  <c r="B97" i="1"/>
  <c r="G97" i="1"/>
  <c r="H97" i="1"/>
  <c r="I97" i="1"/>
  <c r="J97" i="1"/>
  <c r="BA97" i="1"/>
  <c r="BB97" i="1"/>
  <c r="BD97" i="1"/>
  <c r="BF97" i="1"/>
  <c r="BG97" i="1"/>
  <c r="BH97" i="1"/>
  <c r="BI97" i="1"/>
  <c r="BY97" i="1"/>
  <c r="BZ97" i="1"/>
  <c r="B98" i="1"/>
  <c r="G98" i="1"/>
  <c r="H98" i="1"/>
  <c r="I98" i="1"/>
  <c r="J98" i="1"/>
  <c r="BA98" i="1"/>
  <c r="BB98" i="1"/>
  <c r="BD98" i="1"/>
  <c r="BF98" i="1"/>
  <c r="BG98" i="1"/>
  <c r="BH98" i="1"/>
  <c r="BI98" i="1"/>
  <c r="BY98" i="1"/>
  <c r="BZ98" i="1"/>
  <c r="B99" i="1"/>
  <c r="G99" i="1"/>
  <c r="H99" i="1"/>
  <c r="I99" i="1"/>
  <c r="J99" i="1"/>
  <c r="BA99" i="1"/>
  <c r="BB99" i="1"/>
  <c r="BD99" i="1"/>
  <c r="BF99" i="1"/>
  <c r="BG99" i="1"/>
  <c r="BH99" i="1"/>
  <c r="BI99" i="1"/>
  <c r="BY99" i="1"/>
  <c r="BZ99" i="1"/>
  <c r="B100" i="1"/>
  <c r="G100" i="1"/>
  <c r="H100" i="1"/>
  <c r="I100" i="1"/>
  <c r="J100" i="1"/>
  <c r="BA100" i="1"/>
  <c r="BB100" i="1"/>
  <c r="BD100" i="1"/>
  <c r="BF100" i="1"/>
  <c r="BG100" i="1"/>
  <c r="BH100" i="1"/>
  <c r="BI100" i="1"/>
  <c r="BY100" i="1"/>
  <c r="BZ100" i="1"/>
  <c r="B101" i="1"/>
  <c r="G101" i="1"/>
  <c r="H101" i="1"/>
  <c r="I101" i="1"/>
  <c r="J101" i="1"/>
  <c r="BA101" i="1"/>
  <c r="BB101" i="1"/>
  <c r="BD101" i="1"/>
  <c r="BF101" i="1"/>
  <c r="BG101" i="1"/>
  <c r="BH101" i="1"/>
  <c r="BI101" i="1"/>
  <c r="BY101" i="1"/>
  <c r="BZ101" i="1"/>
  <c r="B102" i="1"/>
  <c r="G102" i="1"/>
  <c r="H102" i="1"/>
  <c r="I102" i="1"/>
  <c r="J102" i="1"/>
  <c r="BA102" i="1"/>
  <c r="BB102" i="1"/>
  <c r="BD102" i="1"/>
  <c r="BF102" i="1"/>
  <c r="BG102" i="1"/>
  <c r="BH102" i="1"/>
  <c r="BI102" i="1"/>
  <c r="BY102" i="1"/>
  <c r="BZ102" i="1"/>
  <c r="B103" i="1"/>
  <c r="G103" i="1"/>
  <c r="H103" i="1"/>
  <c r="I103" i="1"/>
  <c r="J103" i="1"/>
  <c r="BA103" i="1"/>
  <c r="BB103" i="1"/>
  <c r="BD103" i="1"/>
  <c r="BF103" i="1"/>
  <c r="BG103" i="1"/>
  <c r="BH103" i="1"/>
  <c r="BI103" i="1"/>
  <c r="BY103" i="1"/>
  <c r="BZ103" i="1"/>
  <c r="B104" i="1"/>
  <c r="G104" i="1"/>
  <c r="H104" i="1"/>
  <c r="I104" i="1"/>
  <c r="J104" i="1"/>
  <c r="BA104" i="1"/>
  <c r="BB104" i="1"/>
  <c r="BD104" i="1"/>
  <c r="BF104" i="1"/>
  <c r="BG104" i="1"/>
  <c r="BH104" i="1"/>
  <c r="BI104" i="1"/>
  <c r="BY104" i="1"/>
  <c r="BZ104" i="1"/>
  <c r="B105" i="1"/>
  <c r="G105" i="1"/>
  <c r="H105" i="1"/>
  <c r="I105" i="1"/>
  <c r="J105" i="1"/>
  <c r="BA105" i="1"/>
  <c r="BB105" i="1"/>
  <c r="BD105" i="1"/>
  <c r="BF105" i="1"/>
  <c r="BG105" i="1"/>
  <c r="BH105" i="1"/>
  <c r="BI105" i="1"/>
  <c r="BY105" i="1"/>
  <c r="BZ105" i="1"/>
  <c r="B106" i="1"/>
  <c r="G106" i="1"/>
  <c r="H106" i="1"/>
  <c r="I106" i="1"/>
  <c r="J106" i="1"/>
  <c r="BA106" i="1"/>
  <c r="BB106" i="1"/>
  <c r="BD106" i="1"/>
  <c r="BF106" i="1"/>
  <c r="BG106" i="1"/>
  <c r="BH106" i="1"/>
  <c r="BI106" i="1"/>
  <c r="BY106" i="1"/>
  <c r="BZ106" i="1"/>
  <c r="B107" i="1"/>
  <c r="G107" i="1"/>
  <c r="H107" i="1"/>
  <c r="I107" i="1"/>
  <c r="J107" i="1"/>
  <c r="BA107" i="1"/>
  <c r="BB107" i="1"/>
  <c r="BD107" i="1"/>
  <c r="BF107" i="1"/>
  <c r="BG107" i="1"/>
  <c r="BH107" i="1"/>
  <c r="BI107" i="1"/>
  <c r="BY107" i="1"/>
  <c r="BZ107" i="1"/>
  <c r="B108" i="1"/>
  <c r="G108" i="1"/>
  <c r="H108" i="1"/>
  <c r="I108" i="1"/>
  <c r="J108" i="1"/>
  <c r="BA108" i="1"/>
  <c r="BB108" i="1"/>
  <c r="BD108" i="1"/>
  <c r="BF108" i="1"/>
  <c r="BG108" i="1"/>
  <c r="BH108" i="1"/>
  <c r="BI108" i="1"/>
  <c r="BY108" i="1"/>
  <c r="BZ108" i="1"/>
  <c r="B109" i="1"/>
  <c r="G109" i="1"/>
  <c r="H109" i="1"/>
  <c r="I109" i="1"/>
  <c r="J109" i="1"/>
  <c r="BA109" i="1"/>
  <c r="BB109" i="1"/>
  <c r="BD109" i="1"/>
  <c r="BF109" i="1"/>
  <c r="BG109" i="1"/>
  <c r="BH109" i="1"/>
  <c r="BI109" i="1"/>
  <c r="BY109" i="1"/>
  <c r="BZ109" i="1"/>
  <c r="B110" i="1"/>
  <c r="G110" i="1"/>
  <c r="H110" i="1"/>
  <c r="I110" i="1"/>
  <c r="J110" i="1"/>
  <c r="BA110" i="1"/>
  <c r="BB110" i="1"/>
  <c r="BD110" i="1"/>
  <c r="BF110" i="1"/>
  <c r="BG110" i="1"/>
  <c r="BH110" i="1"/>
  <c r="BI110" i="1"/>
  <c r="BY110" i="1"/>
  <c r="BZ110" i="1"/>
  <c r="B111" i="1"/>
  <c r="G111" i="1"/>
  <c r="H111" i="1"/>
  <c r="I111" i="1"/>
  <c r="J111" i="1"/>
  <c r="BA111" i="1"/>
  <c r="BB111" i="1"/>
  <c r="BD111" i="1"/>
  <c r="BF111" i="1"/>
  <c r="BG111" i="1"/>
  <c r="BH111" i="1"/>
  <c r="BI111" i="1"/>
  <c r="BY111" i="1"/>
  <c r="BZ111" i="1"/>
  <c r="B112" i="1"/>
  <c r="G112" i="1"/>
  <c r="H112" i="1"/>
  <c r="I112" i="1"/>
  <c r="J112" i="1"/>
  <c r="BA112" i="1"/>
  <c r="BB112" i="1"/>
  <c r="BD112" i="1"/>
  <c r="BF112" i="1"/>
  <c r="BG112" i="1"/>
  <c r="BH112" i="1"/>
  <c r="BI112" i="1"/>
  <c r="BY112" i="1"/>
  <c r="BZ112" i="1"/>
  <c r="B113" i="1"/>
  <c r="G113" i="1"/>
  <c r="H113" i="1"/>
  <c r="I113" i="1"/>
  <c r="J113" i="1"/>
  <c r="BA113" i="1"/>
  <c r="BB113" i="1"/>
  <c r="BD113" i="1"/>
  <c r="BF113" i="1"/>
  <c r="BG113" i="1"/>
  <c r="BH113" i="1"/>
  <c r="BI113" i="1"/>
  <c r="BY113" i="1"/>
  <c r="BZ113" i="1"/>
  <c r="B114" i="1"/>
  <c r="G114" i="1"/>
  <c r="H114" i="1"/>
  <c r="I114" i="1"/>
  <c r="J114" i="1"/>
  <c r="BA114" i="1"/>
  <c r="BB114" i="1"/>
  <c r="BD114" i="1"/>
  <c r="BF114" i="1"/>
  <c r="BG114" i="1"/>
  <c r="BH114" i="1"/>
  <c r="BI114" i="1"/>
  <c r="BY114" i="1"/>
  <c r="BZ114" i="1"/>
  <c r="B115" i="1"/>
  <c r="G115" i="1"/>
  <c r="H115" i="1"/>
  <c r="I115" i="1"/>
  <c r="J115" i="1"/>
  <c r="BA115" i="1"/>
  <c r="BB115" i="1"/>
  <c r="BD115" i="1"/>
  <c r="BF115" i="1"/>
  <c r="BG115" i="1"/>
  <c r="BH115" i="1"/>
  <c r="BI115" i="1"/>
  <c r="BY115" i="1"/>
  <c r="BZ115" i="1"/>
  <c r="B116" i="1"/>
  <c r="G116" i="1"/>
  <c r="H116" i="1"/>
  <c r="I116" i="1"/>
  <c r="J116" i="1"/>
  <c r="BA116" i="1"/>
  <c r="BB116" i="1"/>
  <c r="BD116" i="1"/>
  <c r="BF116" i="1"/>
  <c r="BG116" i="1"/>
  <c r="BH116" i="1"/>
  <c r="BI116" i="1"/>
  <c r="BY116" i="1"/>
  <c r="BZ116" i="1"/>
  <c r="B117" i="1"/>
  <c r="G117" i="1"/>
  <c r="H117" i="1"/>
  <c r="I117" i="1"/>
  <c r="J117" i="1"/>
  <c r="BA117" i="1"/>
  <c r="BB117" i="1"/>
  <c r="BD117" i="1"/>
  <c r="BF117" i="1"/>
  <c r="BG117" i="1"/>
  <c r="BH117" i="1"/>
  <c r="BI117" i="1"/>
  <c r="BY117" i="1"/>
  <c r="BZ117" i="1"/>
  <c r="B118" i="1"/>
  <c r="G118" i="1"/>
  <c r="H118" i="1"/>
  <c r="I118" i="1"/>
  <c r="J118" i="1"/>
  <c r="BA118" i="1"/>
  <c r="BB118" i="1"/>
  <c r="BD118" i="1"/>
  <c r="BF118" i="1"/>
  <c r="BG118" i="1"/>
  <c r="BH118" i="1"/>
  <c r="BI118" i="1"/>
  <c r="BY118" i="1"/>
  <c r="BZ118" i="1"/>
  <c r="B119" i="1"/>
  <c r="G119" i="1"/>
  <c r="H119" i="1"/>
  <c r="I119" i="1"/>
  <c r="J119" i="1"/>
  <c r="BA119" i="1"/>
  <c r="BB119" i="1"/>
  <c r="BD119" i="1"/>
  <c r="BF119" i="1"/>
  <c r="BG119" i="1"/>
  <c r="BH119" i="1"/>
  <c r="BI119" i="1"/>
  <c r="BK119" i="1"/>
  <c r="BL119" i="1"/>
  <c r="BM119" i="1"/>
  <c r="BN119" i="1"/>
  <c r="BP119" i="1"/>
  <c r="BQ119" i="1"/>
  <c r="BR119" i="1"/>
  <c r="BS119" i="1"/>
  <c r="BY119" i="1"/>
  <c r="BZ119" i="1"/>
  <c r="B120" i="1"/>
  <c r="G120" i="1"/>
  <c r="H120" i="1"/>
  <c r="I120" i="1"/>
  <c r="J120" i="1"/>
  <c r="BA120" i="1"/>
  <c r="BB120" i="1"/>
  <c r="BD120" i="1"/>
  <c r="BF120" i="1"/>
  <c r="BG120" i="1"/>
  <c r="BH120" i="1"/>
  <c r="BI120" i="1"/>
  <c r="BK120" i="1"/>
  <c r="BL120" i="1"/>
  <c r="BM120" i="1"/>
  <c r="BN120" i="1"/>
  <c r="BP120" i="1"/>
  <c r="BQ120" i="1"/>
  <c r="BR120" i="1"/>
  <c r="BS120" i="1"/>
  <c r="BY120" i="1"/>
  <c r="BZ120" i="1"/>
  <c r="B121" i="1"/>
  <c r="G121" i="1"/>
  <c r="H121" i="1"/>
  <c r="I121" i="1"/>
  <c r="J121" i="1"/>
  <c r="BA121" i="1"/>
  <c r="BB121" i="1"/>
  <c r="BD121" i="1"/>
  <c r="BF121" i="1"/>
  <c r="BG121" i="1"/>
  <c r="BH121" i="1"/>
  <c r="BI121" i="1"/>
  <c r="BY121" i="1"/>
  <c r="BZ121" i="1"/>
  <c r="B122" i="1"/>
  <c r="G122" i="1"/>
  <c r="H122" i="1"/>
  <c r="I122" i="1"/>
  <c r="J122" i="1"/>
  <c r="BA122" i="1"/>
  <c r="BB122" i="1"/>
  <c r="BD122" i="1"/>
  <c r="BF122" i="1"/>
  <c r="BG122" i="1"/>
  <c r="BH122" i="1"/>
  <c r="BI122" i="1"/>
  <c r="BY122" i="1"/>
  <c r="BZ122" i="1"/>
  <c r="B123" i="1"/>
  <c r="G123" i="1"/>
  <c r="H123" i="1"/>
  <c r="I123" i="1"/>
  <c r="J123" i="1"/>
  <c r="BA123" i="1"/>
  <c r="BB123" i="1"/>
  <c r="BD123" i="1"/>
  <c r="BF123" i="1"/>
  <c r="BG123" i="1"/>
  <c r="BH123" i="1"/>
  <c r="BI123" i="1"/>
  <c r="BY123" i="1"/>
  <c r="BZ123" i="1"/>
  <c r="B124" i="1"/>
  <c r="G124" i="1"/>
  <c r="H124" i="1"/>
  <c r="I124" i="1"/>
  <c r="J124" i="1"/>
  <c r="BA124" i="1"/>
  <c r="BB124" i="1"/>
  <c r="BD124" i="1"/>
  <c r="BF124" i="1"/>
  <c r="BG124" i="1"/>
  <c r="BH124" i="1"/>
  <c r="BI124" i="1"/>
  <c r="BY124" i="1"/>
  <c r="BZ124" i="1"/>
  <c r="B125" i="1"/>
  <c r="G125" i="1"/>
  <c r="H125" i="1"/>
  <c r="I125" i="1"/>
  <c r="J125" i="1"/>
  <c r="BA125" i="1"/>
  <c r="BB125" i="1"/>
  <c r="BD125" i="1"/>
  <c r="BF125" i="1"/>
  <c r="BG125" i="1"/>
  <c r="BH125" i="1"/>
  <c r="BI125" i="1"/>
  <c r="BY125" i="1"/>
  <c r="BZ125" i="1"/>
  <c r="B126" i="1"/>
  <c r="G126" i="1"/>
  <c r="H126" i="1"/>
  <c r="I126" i="1"/>
  <c r="J126" i="1"/>
  <c r="BA126" i="1"/>
  <c r="BB126" i="1"/>
  <c r="BD126" i="1"/>
  <c r="BF126" i="1"/>
  <c r="BG126" i="1"/>
  <c r="BH126" i="1"/>
  <c r="BI126" i="1"/>
  <c r="BK126" i="1"/>
  <c r="BL126" i="1"/>
  <c r="BM126" i="1"/>
  <c r="BN126" i="1"/>
  <c r="BP126" i="1"/>
  <c r="BQ126" i="1"/>
  <c r="BR126" i="1"/>
  <c r="BS126" i="1"/>
  <c r="BY126" i="1"/>
  <c r="BZ126" i="1"/>
  <c r="B127" i="1"/>
  <c r="G127" i="1"/>
  <c r="H127" i="1"/>
  <c r="I127" i="1"/>
  <c r="J127" i="1"/>
  <c r="BA127" i="1"/>
  <c r="BB127" i="1"/>
  <c r="BD127" i="1"/>
  <c r="BF127" i="1"/>
  <c r="BG127" i="1"/>
  <c r="BH127" i="1"/>
  <c r="BI127" i="1"/>
  <c r="BK127" i="1"/>
  <c r="BL127" i="1"/>
  <c r="BM127" i="1"/>
  <c r="BN127" i="1"/>
  <c r="BP127" i="1"/>
  <c r="BQ127" i="1"/>
  <c r="BR127" i="1"/>
  <c r="BS127" i="1"/>
  <c r="BY127" i="1"/>
  <c r="BZ127" i="1"/>
  <c r="B128" i="1"/>
  <c r="G128" i="1"/>
  <c r="H128" i="1"/>
  <c r="I128" i="1"/>
  <c r="J128" i="1"/>
  <c r="BA128" i="1"/>
  <c r="BB128" i="1"/>
  <c r="BD128" i="1"/>
  <c r="BF128" i="1"/>
  <c r="BG128" i="1"/>
  <c r="BH128" i="1"/>
  <c r="BI128" i="1"/>
  <c r="BK128" i="1"/>
  <c r="BL128" i="1"/>
  <c r="BM128" i="1"/>
  <c r="BN128" i="1"/>
  <c r="BP128" i="1"/>
  <c r="BQ128" i="1"/>
  <c r="BR128" i="1"/>
  <c r="BS128" i="1"/>
  <c r="BY128" i="1"/>
  <c r="BZ128" i="1"/>
  <c r="B129" i="1"/>
  <c r="G129" i="1"/>
  <c r="H129" i="1"/>
  <c r="I129" i="1"/>
  <c r="J129" i="1"/>
  <c r="BA129" i="1"/>
  <c r="BB129" i="1"/>
  <c r="BD129" i="1"/>
  <c r="BF129" i="1"/>
  <c r="BG129" i="1"/>
  <c r="BH129" i="1"/>
  <c r="BI129" i="1"/>
  <c r="BK129" i="1"/>
  <c r="BL129" i="1"/>
  <c r="BM129" i="1"/>
  <c r="BN129" i="1"/>
  <c r="BP129" i="1"/>
  <c r="BQ129" i="1"/>
  <c r="BR129" i="1"/>
  <c r="BS129" i="1"/>
  <c r="BY129" i="1"/>
  <c r="BZ129" i="1"/>
  <c r="B130" i="1"/>
  <c r="G130" i="1"/>
  <c r="H130" i="1"/>
  <c r="I130" i="1"/>
  <c r="J130" i="1"/>
  <c r="BA130" i="1"/>
  <c r="BB130" i="1"/>
  <c r="BD130" i="1"/>
  <c r="BF130" i="1"/>
  <c r="BG130" i="1"/>
  <c r="BH130" i="1"/>
  <c r="BI130" i="1"/>
  <c r="BK130" i="1"/>
  <c r="BL130" i="1"/>
  <c r="BM130" i="1"/>
  <c r="BN130" i="1"/>
  <c r="BP130" i="1"/>
  <c r="BQ130" i="1"/>
  <c r="BR130" i="1"/>
  <c r="BS130" i="1"/>
  <c r="BY130" i="1"/>
  <c r="BZ130" i="1"/>
  <c r="B131" i="1"/>
  <c r="G131" i="1"/>
  <c r="H131" i="1"/>
  <c r="I131" i="1"/>
  <c r="J131" i="1"/>
  <c r="BA131" i="1"/>
  <c r="BB131" i="1"/>
  <c r="BD131" i="1"/>
  <c r="BF131" i="1"/>
  <c r="BG131" i="1"/>
  <c r="BH131" i="1"/>
  <c r="BI131" i="1"/>
  <c r="BK131" i="1"/>
  <c r="BL131" i="1"/>
  <c r="BM131" i="1"/>
  <c r="BN131" i="1"/>
  <c r="BP131" i="1"/>
  <c r="BQ131" i="1"/>
  <c r="BR131" i="1"/>
  <c r="BS131" i="1"/>
  <c r="BY131" i="1"/>
  <c r="BZ131" i="1"/>
  <c r="B132" i="1"/>
  <c r="G132" i="1"/>
  <c r="H132" i="1"/>
  <c r="I132" i="1"/>
  <c r="J132" i="1"/>
  <c r="BA132" i="1"/>
  <c r="BB132" i="1"/>
  <c r="BD132" i="1"/>
  <c r="BF132" i="1"/>
  <c r="BG132" i="1"/>
  <c r="BH132" i="1"/>
  <c r="BI132" i="1"/>
  <c r="BK132" i="1"/>
  <c r="BL132" i="1"/>
  <c r="BM132" i="1"/>
  <c r="BN132" i="1"/>
  <c r="BP132" i="1"/>
  <c r="BQ132" i="1"/>
  <c r="BR132" i="1"/>
  <c r="BS132" i="1"/>
  <c r="BY132" i="1"/>
  <c r="BZ132" i="1"/>
  <c r="B133" i="1"/>
  <c r="G133" i="1"/>
  <c r="H133" i="1"/>
  <c r="I133" i="1"/>
  <c r="J133" i="1"/>
  <c r="BA133" i="1"/>
  <c r="BB133" i="1"/>
  <c r="BD133" i="1"/>
  <c r="BF133" i="1"/>
  <c r="BG133" i="1"/>
  <c r="BH133" i="1"/>
  <c r="BI133" i="1"/>
  <c r="BY133" i="1"/>
  <c r="BZ133" i="1"/>
  <c r="B134" i="1"/>
  <c r="G134" i="1"/>
  <c r="H134" i="1"/>
  <c r="I134" i="1"/>
  <c r="J134" i="1"/>
  <c r="BA134" i="1"/>
  <c r="BB134" i="1"/>
  <c r="BD134" i="1"/>
  <c r="BF134" i="1"/>
  <c r="BG134" i="1"/>
  <c r="BH134" i="1"/>
  <c r="BI134" i="1"/>
  <c r="BY134" i="1"/>
  <c r="BZ134" i="1"/>
  <c r="B135" i="1"/>
  <c r="G135" i="1"/>
  <c r="H135" i="1"/>
  <c r="I135" i="1"/>
  <c r="J135" i="1"/>
  <c r="BA135" i="1"/>
  <c r="BB135" i="1"/>
  <c r="BD135" i="1"/>
  <c r="BF135" i="1"/>
  <c r="BG135" i="1"/>
  <c r="BH135" i="1"/>
  <c r="BI135" i="1"/>
  <c r="BY135" i="1"/>
  <c r="BZ135" i="1"/>
  <c r="B136" i="1"/>
  <c r="G136" i="1"/>
  <c r="H136" i="1"/>
  <c r="I136" i="1"/>
  <c r="J136" i="1"/>
  <c r="BA136" i="1"/>
  <c r="BB136" i="1"/>
  <c r="BD136" i="1"/>
  <c r="BF136" i="1"/>
  <c r="BG136" i="1"/>
  <c r="BH136" i="1"/>
  <c r="BI136" i="1"/>
  <c r="BY136" i="1"/>
  <c r="BZ136" i="1"/>
  <c r="B137" i="1"/>
  <c r="G137" i="1"/>
  <c r="H137" i="1"/>
  <c r="I137" i="1"/>
  <c r="J137" i="1"/>
  <c r="BA137" i="1"/>
  <c r="BB137" i="1"/>
  <c r="BD137" i="1"/>
  <c r="BF137" i="1"/>
  <c r="BG137" i="1"/>
  <c r="BH137" i="1"/>
  <c r="BI137" i="1"/>
  <c r="BY137" i="1"/>
  <c r="BZ137" i="1"/>
  <c r="B138" i="1"/>
  <c r="G138" i="1"/>
  <c r="H138" i="1"/>
  <c r="I138" i="1"/>
  <c r="J138" i="1"/>
  <c r="BA138" i="1"/>
  <c r="BB138" i="1"/>
  <c r="BD138" i="1"/>
  <c r="BF138" i="1"/>
  <c r="BG138" i="1"/>
  <c r="BH138" i="1"/>
  <c r="BI138" i="1"/>
  <c r="BY138" i="1"/>
  <c r="BZ138" i="1"/>
  <c r="B139" i="1"/>
  <c r="G139" i="1"/>
  <c r="H139" i="1"/>
  <c r="I139" i="1"/>
  <c r="J139" i="1"/>
  <c r="BA139" i="1"/>
  <c r="BB139" i="1"/>
  <c r="BD139" i="1"/>
  <c r="BF139" i="1"/>
  <c r="BG139" i="1"/>
  <c r="BH139" i="1"/>
  <c r="BI139" i="1"/>
  <c r="BY139" i="1"/>
  <c r="BZ139" i="1"/>
  <c r="B140" i="1"/>
  <c r="G140" i="1"/>
  <c r="H140" i="1"/>
  <c r="I140" i="1"/>
  <c r="J140" i="1"/>
  <c r="BA140" i="1"/>
  <c r="BB140" i="1"/>
  <c r="BD140" i="1"/>
  <c r="BF140" i="1"/>
  <c r="BG140" i="1"/>
  <c r="BH140" i="1"/>
  <c r="BI140" i="1"/>
  <c r="BY140" i="1"/>
  <c r="BZ140" i="1"/>
  <c r="B141" i="1"/>
  <c r="G141" i="1"/>
  <c r="H141" i="1"/>
  <c r="I141" i="1"/>
  <c r="J141" i="1"/>
  <c r="BA141" i="1"/>
  <c r="BB141" i="1"/>
  <c r="BD141" i="1"/>
  <c r="BF141" i="1"/>
  <c r="BG141" i="1"/>
  <c r="BH141" i="1"/>
  <c r="BI141" i="1"/>
  <c r="BY141" i="1"/>
  <c r="BZ141" i="1"/>
  <c r="B142" i="1"/>
  <c r="G142" i="1"/>
  <c r="H142" i="1"/>
  <c r="I142" i="1"/>
  <c r="J142" i="1"/>
  <c r="BA142" i="1"/>
  <c r="BB142" i="1"/>
  <c r="BD142" i="1"/>
  <c r="BF142" i="1"/>
  <c r="BG142" i="1"/>
  <c r="BH142" i="1"/>
  <c r="BI142" i="1"/>
  <c r="BY142" i="1"/>
  <c r="BZ142" i="1"/>
  <c r="B143" i="1"/>
  <c r="G143" i="1"/>
  <c r="H143" i="1"/>
  <c r="I143" i="1"/>
  <c r="J143" i="1"/>
  <c r="BA143" i="1"/>
  <c r="BB143" i="1"/>
  <c r="BD143" i="1"/>
  <c r="BF143" i="1"/>
  <c r="BG143" i="1"/>
  <c r="BH143" i="1"/>
  <c r="BI143" i="1"/>
  <c r="BY143" i="1"/>
  <c r="BZ143" i="1"/>
  <c r="B144" i="1"/>
  <c r="G144" i="1"/>
  <c r="H144" i="1"/>
  <c r="I144" i="1"/>
  <c r="J144" i="1"/>
  <c r="BA144" i="1"/>
  <c r="BB144" i="1"/>
  <c r="BD144" i="1"/>
  <c r="BF144" i="1"/>
  <c r="BG144" i="1"/>
  <c r="BH144" i="1"/>
  <c r="BI144" i="1"/>
  <c r="BY144" i="1"/>
  <c r="BZ144" i="1"/>
  <c r="B145" i="1"/>
  <c r="G145" i="1"/>
  <c r="H145" i="1"/>
  <c r="I145" i="1"/>
  <c r="J145" i="1"/>
  <c r="BA145" i="1"/>
  <c r="BB145" i="1"/>
  <c r="BD145" i="1"/>
  <c r="BF145" i="1"/>
  <c r="BG145" i="1"/>
  <c r="BH145" i="1"/>
  <c r="BI145" i="1"/>
  <c r="BK145" i="1"/>
  <c r="BL145" i="1"/>
  <c r="BM145" i="1"/>
  <c r="BN145" i="1"/>
  <c r="BP145" i="1"/>
  <c r="BQ145" i="1"/>
  <c r="BR145" i="1"/>
  <c r="BS145" i="1"/>
  <c r="BY145" i="1"/>
  <c r="BZ145" i="1"/>
  <c r="B146" i="1"/>
  <c r="G146" i="1"/>
  <c r="H146" i="1"/>
  <c r="I146" i="1"/>
  <c r="J146" i="1"/>
  <c r="BA146" i="1"/>
  <c r="BB146" i="1"/>
  <c r="BD146" i="1"/>
  <c r="BF146" i="1"/>
  <c r="BG146" i="1"/>
  <c r="BH146" i="1"/>
  <c r="BI146" i="1"/>
  <c r="BK146" i="1"/>
  <c r="BL146" i="1"/>
  <c r="BM146" i="1"/>
  <c r="BN146" i="1"/>
  <c r="BP146" i="1"/>
  <c r="BQ146" i="1"/>
  <c r="BR146" i="1"/>
  <c r="BS146" i="1"/>
  <c r="BY146" i="1"/>
  <c r="BZ146" i="1"/>
  <c r="B147" i="1"/>
  <c r="G147" i="1"/>
  <c r="H147" i="1"/>
  <c r="I147" i="1"/>
  <c r="J147" i="1"/>
  <c r="BA147" i="1"/>
  <c r="BB147" i="1"/>
  <c r="BD147" i="1"/>
  <c r="BF147" i="1"/>
  <c r="BG147" i="1"/>
  <c r="BH147" i="1"/>
  <c r="BI147" i="1"/>
  <c r="BK147" i="1"/>
  <c r="BL147" i="1"/>
  <c r="BM147" i="1"/>
  <c r="BN147" i="1"/>
  <c r="BP147" i="1"/>
  <c r="BQ147" i="1"/>
  <c r="BR147" i="1"/>
  <c r="BS147" i="1"/>
  <c r="BY147" i="1"/>
  <c r="BZ147" i="1"/>
  <c r="B148" i="1"/>
  <c r="G148" i="1"/>
  <c r="H148" i="1"/>
  <c r="I148" i="1"/>
  <c r="J148" i="1"/>
  <c r="BA148" i="1"/>
  <c r="BB148" i="1"/>
  <c r="BD148" i="1"/>
  <c r="BF148" i="1"/>
  <c r="BG148" i="1"/>
  <c r="BH148" i="1"/>
  <c r="BI148" i="1"/>
  <c r="BK148" i="1"/>
  <c r="BL148" i="1"/>
  <c r="BM148" i="1"/>
  <c r="BN148" i="1"/>
  <c r="BP148" i="1"/>
  <c r="BQ148" i="1"/>
  <c r="BR148" i="1"/>
  <c r="BS148" i="1"/>
  <c r="BY148" i="1"/>
  <c r="BZ148" i="1"/>
  <c r="B149" i="1"/>
  <c r="G149" i="1"/>
  <c r="H149" i="1"/>
  <c r="I149" i="1"/>
  <c r="J149" i="1"/>
  <c r="BA149" i="1"/>
  <c r="BB149" i="1"/>
  <c r="BD149" i="1"/>
  <c r="BF149" i="1"/>
  <c r="BG149" i="1"/>
  <c r="BH149" i="1"/>
  <c r="BI149" i="1"/>
  <c r="BY149" i="1"/>
  <c r="BZ149" i="1"/>
  <c r="B150" i="1"/>
  <c r="G150" i="1"/>
  <c r="H150" i="1"/>
  <c r="I150" i="1"/>
  <c r="J150" i="1"/>
  <c r="BA150" i="1"/>
  <c r="BB150" i="1"/>
  <c r="BD150" i="1"/>
  <c r="BF150" i="1"/>
  <c r="BG150" i="1"/>
  <c r="BH150" i="1"/>
  <c r="BI150" i="1"/>
  <c r="BY150" i="1"/>
  <c r="BZ150" i="1"/>
  <c r="B151" i="1"/>
  <c r="G151" i="1"/>
  <c r="H151" i="1"/>
  <c r="I151" i="1"/>
  <c r="J151" i="1"/>
  <c r="BA151" i="1"/>
  <c r="BB151" i="1"/>
  <c r="BD151" i="1"/>
  <c r="BF151" i="1"/>
  <c r="BG151" i="1"/>
  <c r="BH151" i="1"/>
  <c r="BI151" i="1"/>
  <c r="BY151" i="1"/>
  <c r="BZ151" i="1"/>
  <c r="B152" i="1"/>
  <c r="G152" i="1"/>
  <c r="H152" i="1"/>
  <c r="I152" i="1"/>
  <c r="J152" i="1"/>
  <c r="BA152" i="1"/>
  <c r="BB152" i="1"/>
  <c r="BD152" i="1"/>
  <c r="BF152" i="1"/>
  <c r="BG152" i="1"/>
  <c r="BH152" i="1"/>
  <c r="BI152" i="1"/>
  <c r="BY152" i="1"/>
  <c r="BZ152" i="1"/>
  <c r="B153" i="1"/>
  <c r="G153" i="1"/>
  <c r="H153" i="1"/>
  <c r="I153" i="1"/>
  <c r="J153" i="1"/>
  <c r="BA153" i="1"/>
  <c r="BB153" i="1"/>
  <c r="BD153" i="1"/>
  <c r="BF153" i="1"/>
  <c r="BG153" i="1"/>
  <c r="BH153" i="1"/>
  <c r="BI153" i="1"/>
  <c r="BK153" i="1"/>
  <c r="BL153" i="1"/>
  <c r="BM153" i="1"/>
  <c r="BN153" i="1"/>
  <c r="BY153" i="1"/>
  <c r="BZ153" i="1"/>
  <c r="B154" i="1"/>
  <c r="G154" i="1"/>
  <c r="H154" i="1"/>
  <c r="I154" i="1"/>
  <c r="J154" i="1"/>
  <c r="BA154" i="1"/>
  <c r="BB154" i="1"/>
  <c r="BD154" i="1"/>
  <c r="BF154" i="1"/>
  <c r="BG154" i="1"/>
  <c r="BH154" i="1"/>
  <c r="BI154" i="1"/>
  <c r="BK154" i="1"/>
  <c r="BL154" i="1"/>
  <c r="BM154" i="1"/>
  <c r="BN154" i="1"/>
  <c r="BY154" i="1"/>
  <c r="BZ154" i="1"/>
  <c r="B155" i="1"/>
  <c r="G155" i="1"/>
  <c r="H155" i="1"/>
  <c r="I155" i="1"/>
  <c r="J155" i="1"/>
  <c r="BA155" i="1"/>
  <c r="BB155" i="1"/>
  <c r="BD155" i="1"/>
  <c r="BF155" i="1"/>
  <c r="BG155" i="1"/>
  <c r="BH155" i="1"/>
  <c r="BI155" i="1"/>
  <c r="BY155" i="1"/>
  <c r="BZ155" i="1"/>
  <c r="B156" i="1"/>
  <c r="G156" i="1"/>
  <c r="H156" i="1"/>
  <c r="I156" i="1"/>
  <c r="J156" i="1"/>
  <c r="BA156" i="1"/>
  <c r="BB156" i="1"/>
  <c r="BD156" i="1"/>
  <c r="BF156" i="1"/>
  <c r="BG156" i="1"/>
  <c r="BH156" i="1"/>
  <c r="BI156" i="1"/>
  <c r="BY156" i="1"/>
  <c r="BZ156" i="1"/>
  <c r="B157" i="1"/>
  <c r="G157" i="1"/>
  <c r="H157" i="1"/>
  <c r="I157" i="1"/>
  <c r="J157" i="1"/>
  <c r="BA157" i="1"/>
  <c r="BB157" i="1"/>
  <c r="BD157" i="1"/>
  <c r="BF157" i="1"/>
  <c r="BG157" i="1"/>
  <c r="BH157" i="1"/>
  <c r="BI157" i="1"/>
  <c r="BY157" i="1"/>
  <c r="BZ157" i="1"/>
  <c r="B158" i="1"/>
  <c r="G158" i="1"/>
  <c r="H158" i="1"/>
  <c r="I158" i="1"/>
  <c r="J158" i="1"/>
  <c r="BA158" i="1"/>
  <c r="BB158" i="1"/>
  <c r="BD158" i="1"/>
  <c r="BF158" i="1"/>
  <c r="BG158" i="1"/>
  <c r="BH158" i="1"/>
  <c r="BI158" i="1"/>
  <c r="BY158" i="1"/>
  <c r="BZ158" i="1"/>
  <c r="B159" i="1"/>
  <c r="G159" i="1"/>
  <c r="H159" i="1"/>
  <c r="I159" i="1"/>
  <c r="J159" i="1"/>
  <c r="BA159" i="1"/>
  <c r="BB159" i="1"/>
  <c r="BD159" i="1"/>
  <c r="BF159" i="1"/>
  <c r="BG159" i="1"/>
  <c r="BH159" i="1"/>
  <c r="BI159" i="1"/>
  <c r="BK159" i="1"/>
  <c r="BL159" i="1"/>
  <c r="BM159" i="1"/>
  <c r="BN159" i="1"/>
  <c r="BY159" i="1"/>
  <c r="BZ159" i="1"/>
  <c r="B160" i="1"/>
  <c r="G160" i="1"/>
  <c r="H160" i="1"/>
  <c r="I160" i="1"/>
  <c r="J160" i="1"/>
  <c r="BA160" i="1"/>
  <c r="BB160" i="1"/>
  <c r="BD160" i="1"/>
  <c r="BF160" i="1"/>
  <c r="BG160" i="1"/>
  <c r="BH160" i="1"/>
  <c r="BI160" i="1"/>
  <c r="BK160" i="1"/>
  <c r="BL160" i="1"/>
  <c r="BM160" i="1"/>
  <c r="BN160" i="1"/>
  <c r="BY160" i="1"/>
  <c r="BZ160" i="1"/>
  <c r="B161" i="1"/>
  <c r="G161" i="1"/>
  <c r="H161" i="1"/>
  <c r="I161" i="1"/>
  <c r="J161" i="1"/>
  <c r="BA161" i="1"/>
  <c r="BB161" i="1"/>
  <c r="BD161" i="1"/>
  <c r="BF161" i="1"/>
  <c r="BG161" i="1"/>
  <c r="BH161" i="1"/>
  <c r="BI161" i="1"/>
  <c r="BK161" i="1"/>
  <c r="BL161" i="1"/>
  <c r="BM161" i="1"/>
  <c r="BN161" i="1"/>
  <c r="BY161" i="1"/>
  <c r="BZ161" i="1"/>
  <c r="B162" i="1"/>
  <c r="G162" i="1"/>
  <c r="H162" i="1"/>
  <c r="I162" i="1"/>
  <c r="J162" i="1"/>
  <c r="BA162" i="1"/>
  <c r="BB162" i="1"/>
  <c r="BD162" i="1"/>
  <c r="BF162" i="1"/>
  <c r="BG162" i="1"/>
  <c r="BH162" i="1"/>
  <c r="BI162" i="1"/>
  <c r="BK162" i="1"/>
  <c r="BL162" i="1"/>
  <c r="BM162" i="1"/>
  <c r="BN162" i="1"/>
  <c r="BY162" i="1"/>
  <c r="BZ162" i="1"/>
  <c r="B163" i="1"/>
  <c r="G163" i="1"/>
  <c r="H163" i="1"/>
  <c r="I163" i="1"/>
  <c r="J163" i="1"/>
  <c r="BA163" i="1"/>
  <c r="BB163" i="1"/>
  <c r="BD163" i="1"/>
  <c r="BF163" i="1"/>
  <c r="BG163" i="1"/>
  <c r="BH163" i="1"/>
  <c r="BI163" i="1"/>
  <c r="BK163" i="1"/>
  <c r="BL163" i="1"/>
  <c r="BM163" i="1"/>
  <c r="BN163" i="1"/>
  <c r="BY163" i="1"/>
  <c r="BZ163" i="1"/>
  <c r="B164" i="1"/>
  <c r="G164" i="1"/>
  <c r="H164" i="1"/>
  <c r="I164" i="1"/>
  <c r="J164" i="1"/>
  <c r="BA164" i="1"/>
  <c r="BB164" i="1"/>
  <c r="BD164" i="1"/>
  <c r="BF164" i="1"/>
  <c r="BG164" i="1"/>
  <c r="BH164" i="1"/>
  <c r="BI164" i="1"/>
  <c r="BY164" i="1"/>
  <c r="BZ164" i="1"/>
  <c r="B165" i="1"/>
  <c r="G165" i="1"/>
  <c r="H165" i="1"/>
  <c r="I165" i="1"/>
  <c r="J165" i="1"/>
  <c r="BA165" i="1"/>
  <c r="BB165" i="1"/>
  <c r="BD165" i="1"/>
  <c r="BF165" i="1"/>
  <c r="BG165" i="1"/>
  <c r="BH165" i="1"/>
  <c r="BI165" i="1"/>
  <c r="BY165" i="1"/>
  <c r="BZ165" i="1"/>
  <c r="B166" i="1"/>
  <c r="G166" i="1"/>
  <c r="H166" i="1"/>
  <c r="I166" i="1"/>
  <c r="J166" i="1"/>
  <c r="BA166" i="1"/>
  <c r="BB166" i="1"/>
  <c r="BD166" i="1"/>
  <c r="BF166" i="1"/>
  <c r="BG166" i="1"/>
  <c r="BH166" i="1"/>
  <c r="BI166" i="1"/>
  <c r="BY166" i="1"/>
  <c r="BZ166" i="1"/>
  <c r="B167" i="1"/>
  <c r="G167" i="1"/>
  <c r="H167" i="1"/>
  <c r="I167" i="1"/>
  <c r="J167" i="1"/>
  <c r="BA167" i="1"/>
  <c r="BB167" i="1"/>
  <c r="BD167" i="1"/>
  <c r="BF167" i="1"/>
  <c r="BG167" i="1"/>
  <c r="BH167" i="1"/>
  <c r="BI167" i="1"/>
  <c r="BY167" i="1"/>
  <c r="BZ167" i="1"/>
  <c r="B168" i="1"/>
  <c r="G168" i="1"/>
  <c r="H168" i="1"/>
  <c r="I168" i="1"/>
  <c r="J168" i="1"/>
  <c r="BA168" i="1"/>
  <c r="BB168" i="1"/>
  <c r="BD168" i="1"/>
  <c r="BF168" i="1"/>
  <c r="BG168" i="1"/>
  <c r="BH168" i="1"/>
  <c r="BI168" i="1"/>
  <c r="BY168" i="1"/>
  <c r="BZ168" i="1"/>
  <c r="B169" i="1"/>
  <c r="G169" i="1"/>
  <c r="H169" i="1"/>
  <c r="I169" i="1"/>
  <c r="J169" i="1"/>
  <c r="BA169" i="1"/>
  <c r="BB169" i="1"/>
  <c r="BD169" i="1"/>
  <c r="BF169" i="1"/>
  <c r="BG169" i="1"/>
  <c r="BH169" i="1"/>
  <c r="BI169" i="1"/>
  <c r="BY169" i="1"/>
  <c r="BZ169" i="1"/>
  <c r="B170" i="1"/>
  <c r="G170" i="1"/>
  <c r="H170" i="1"/>
  <c r="I170" i="1"/>
  <c r="J170" i="1"/>
  <c r="BA170" i="1"/>
  <c r="BB170" i="1"/>
  <c r="BD170" i="1"/>
  <c r="BF170" i="1"/>
  <c r="BG170" i="1"/>
  <c r="BH170" i="1"/>
  <c r="BI170" i="1"/>
  <c r="BY170" i="1"/>
  <c r="BZ170" i="1"/>
  <c r="B171" i="1"/>
  <c r="G171" i="1"/>
  <c r="H171" i="1"/>
  <c r="I171" i="1"/>
  <c r="J171" i="1"/>
  <c r="BA171" i="1"/>
  <c r="BB171" i="1"/>
  <c r="BD171" i="1"/>
  <c r="BF171" i="1"/>
  <c r="BG171" i="1"/>
  <c r="BH171" i="1"/>
  <c r="BI171" i="1"/>
  <c r="BK171" i="1"/>
  <c r="BL171" i="1"/>
  <c r="BM171" i="1"/>
  <c r="BN171" i="1"/>
  <c r="BP171" i="1"/>
  <c r="BQ171" i="1"/>
  <c r="BR171" i="1"/>
  <c r="BS171" i="1"/>
  <c r="BY171" i="1"/>
  <c r="BZ171" i="1"/>
  <c r="B172" i="1"/>
  <c r="G172" i="1"/>
  <c r="H172" i="1"/>
  <c r="I172" i="1"/>
  <c r="J172" i="1"/>
  <c r="BA172" i="1"/>
  <c r="BB172" i="1"/>
  <c r="BD172" i="1"/>
  <c r="BF172" i="1"/>
  <c r="BG172" i="1"/>
  <c r="BH172" i="1"/>
  <c r="BI172" i="1"/>
  <c r="BK172" i="1"/>
  <c r="BL172" i="1"/>
  <c r="BM172" i="1"/>
  <c r="BN172" i="1"/>
  <c r="BP172" i="1"/>
  <c r="BQ172" i="1"/>
  <c r="BR172" i="1"/>
  <c r="BS172" i="1"/>
  <c r="BY172" i="1"/>
  <c r="BZ172" i="1"/>
  <c r="B173" i="1"/>
  <c r="G173" i="1"/>
  <c r="H173" i="1"/>
  <c r="I173" i="1"/>
  <c r="J173" i="1"/>
  <c r="BA173" i="1"/>
  <c r="BB173" i="1"/>
  <c r="BD173" i="1"/>
  <c r="BF173" i="1"/>
  <c r="BG173" i="1"/>
  <c r="BH173" i="1"/>
  <c r="BI173" i="1"/>
  <c r="BK173" i="1"/>
  <c r="BL173" i="1"/>
  <c r="BM173" i="1"/>
  <c r="BN173" i="1"/>
  <c r="BY173" i="1"/>
  <c r="BZ173" i="1"/>
  <c r="B174" i="1"/>
  <c r="G174" i="1"/>
  <c r="H174" i="1"/>
  <c r="I174" i="1"/>
  <c r="J174" i="1"/>
  <c r="BA174" i="1"/>
  <c r="BB174" i="1"/>
  <c r="BD174" i="1"/>
  <c r="BF174" i="1"/>
  <c r="BG174" i="1"/>
  <c r="BH174" i="1"/>
  <c r="BI174" i="1"/>
  <c r="BK174" i="1"/>
  <c r="BL174" i="1"/>
  <c r="BM174" i="1"/>
  <c r="BN174" i="1"/>
  <c r="BY174" i="1"/>
  <c r="BZ174" i="1"/>
  <c r="B175" i="1"/>
  <c r="G175" i="1"/>
  <c r="H175" i="1"/>
  <c r="I175" i="1"/>
  <c r="J175" i="1"/>
  <c r="BA175" i="1"/>
  <c r="BB175" i="1"/>
  <c r="BD175" i="1"/>
  <c r="BF175" i="1"/>
  <c r="BG175" i="1"/>
  <c r="BH175" i="1"/>
  <c r="BI175" i="1"/>
  <c r="BY175" i="1"/>
  <c r="BZ175" i="1"/>
  <c r="B176" i="1"/>
  <c r="G176" i="1"/>
  <c r="H176" i="1"/>
  <c r="I176" i="1"/>
  <c r="J176" i="1"/>
  <c r="BA176" i="1"/>
  <c r="BB176" i="1"/>
  <c r="BD176" i="1"/>
  <c r="BF176" i="1"/>
  <c r="BG176" i="1"/>
  <c r="BH176" i="1"/>
  <c r="BI176" i="1"/>
  <c r="BY176" i="1"/>
  <c r="BZ176" i="1"/>
  <c r="B177" i="1"/>
  <c r="G177" i="1"/>
  <c r="H177" i="1"/>
  <c r="I177" i="1"/>
  <c r="J177" i="1"/>
  <c r="BA177" i="1"/>
  <c r="BB177" i="1"/>
  <c r="BD177" i="1"/>
  <c r="BF177" i="1"/>
  <c r="BG177" i="1"/>
  <c r="BH177" i="1"/>
  <c r="BI177" i="1"/>
  <c r="BY177" i="1"/>
  <c r="BZ177" i="1"/>
  <c r="B178" i="1"/>
  <c r="G178" i="1"/>
  <c r="H178" i="1"/>
  <c r="I178" i="1"/>
  <c r="J178" i="1"/>
  <c r="BA178" i="1"/>
  <c r="BB178" i="1"/>
  <c r="BD178" i="1"/>
  <c r="BF178" i="1"/>
  <c r="BG178" i="1"/>
  <c r="BH178" i="1"/>
  <c r="BI178" i="1"/>
  <c r="BY178" i="1"/>
  <c r="BZ178" i="1"/>
  <c r="B179" i="1"/>
  <c r="G179" i="1"/>
  <c r="H179" i="1"/>
  <c r="I179" i="1"/>
  <c r="J179" i="1"/>
  <c r="BA179" i="1"/>
  <c r="BB179" i="1"/>
  <c r="BD179" i="1"/>
  <c r="BF179" i="1"/>
  <c r="BG179" i="1"/>
  <c r="BH179" i="1"/>
  <c r="BI179" i="1"/>
  <c r="BY179" i="1"/>
  <c r="BZ179" i="1"/>
  <c r="B180" i="1"/>
  <c r="G180" i="1"/>
  <c r="H180" i="1"/>
  <c r="I180" i="1"/>
  <c r="J180" i="1"/>
  <c r="BA180" i="1"/>
  <c r="BB180" i="1"/>
  <c r="BD180" i="1"/>
  <c r="BF180" i="1"/>
  <c r="BG180" i="1"/>
  <c r="BH180" i="1"/>
  <c r="BI180" i="1"/>
  <c r="BY180" i="1"/>
  <c r="BZ180" i="1"/>
  <c r="B181" i="1"/>
  <c r="G181" i="1"/>
  <c r="H181" i="1"/>
  <c r="I181" i="1"/>
  <c r="J181" i="1"/>
  <c r="BA181" i="1"/>
  <c r="BB181" i="1"/>
  <c r="BD181" i="1"/>
  <c r="BF181" i="1"/>
  <c r="BG181" i="1"/>
  <c r="BH181" i="1"/>
  <c r="BI181" i="1"/>
  <c r="BY181" i="1"/>
  <c r="BZ181" i="1"/>
  <c r="B182" i="1"/>
  <c r="G182" i="1"/>
  <c r="H182" i="1"/>
  <c r="I182" i="1"/>
  <c r="J182" i="1"/>
  <c r="BA182" i="1"/>
  <c r="BB182" i="1"/>
  <c r="BD182" i="1"/>
  <c r="BF182" i="1"/>
  <c r="BG182" i="1"/>
  <c r="BH182" i="1"/>
  <c r="BI182" i="1"/>
  <c r="BY182" i="1"/>
  <c r="BZ182" i="1"/>
  <c r="B183" i="1"/>
  <c r="G183" i="1"/>
  <c r="H183" i="1"/>
  <c r="I183" i="1"/>
  <c r="J183" i="1"/>
  <c r="BA183" i="1"/>
  <c r="BB183" i="1"/>
  <c r="BD183" i="1"/>
  <c r="BF183" i="1"/>
  <c r="BG183" i="1"/>
  <c r="BH183" i="1"/>
  <c r="BI183" i="1"/>
  <c r="BY183" i="1"/>
  <c r="BZ183" i="1"/>
  <c r="B184" i="1"/>
  <c r="G184" i="1"/>
  <c r="H184" i="1"/>
  <c r="I184" i="1"/>
  <c r="J184" i="1"/>
  <c r="BA184" i="1"/>
  <c r="BB184" i="1"/>
  <c r="BD184" i="1"/>
  <c r="BF184" i="1"/>
  <c r="BG184" i="1"/>
  <c r="BH184" i="1"/>
  <c r="BI184" i="1"/>
  <c r="BK184" i="1"/>
  <c r="BL184" i="1"/>
  <c r="BM184" i="1"/>
  <c r="BN184" i="1"/>
  <c r="BY184" i="1"/>
  <c r="BZ184" i="1"/>
  <c r="B185" i="1"/>
  <c r="G185" i="1"/>
  <c r="H185" i="1"/>
  <c r="I185" i="1"/>
  <c r="J185" i="1"/>
  <c r="BA185" i="1"/>
  <c r="BB185" i="1"/>
  <c r="BD185" i="1"/>
  <c r="BF185" i="1"/>
  <c r="BG185" i="1"/>
  <c r="BH185" i="1"/>
  <c r="BI185" i="1"/>
  <c r="BY185" i="1"/>
  <c r="BZ185" i="1"/>
  <c r="B186" i="1"/>
  <c r="G186" i="1"/>
  <c r="H186" i="1"/>
  <c r="I186" i="1"/>
  <c r="J186" i="1"/>
  <c r="BA186" i="1"/>
  <c r="BB186" i="1"/>
  <c r="BD186" i="1"/>
  <c r="BF186" i="1"/>
  <c r="BG186" i="1"/>
  <c r="BH186" i="1"/>
  <c r="BI186" i="1"/>
  <c r="BY186" i="1"/>
  <c r="BZ186" i="1"/>
  <c r="B187" i="1"/>
  <c r="G187" i="1"/>
  <c r="H187" i="1"/>
  <c r="I187" i="1"/>
  <c r="J187" i="1"/>
  <c r="BA187" i="1"/>
  <c r="BB187" i="1"/>
  <c r="BD187" i="1"/>
  <c r="BF187" i="1"/>
  <c r="BG187" i="1"/>
  <c r="BH187" i="1"/>
  <c r="BI187" i="1"/>
  <c r="BY187" i="1"/>
  <c r="BZ187" i="1"/>
  <c r="B188" i="1"/>
  <c r="G188" i="1"/>
  <c r="H188" i="1"/>
  <c r="I188" i="1"/>
  <c r="J188" i="1"/>
  <c r="BA188" i="1"/>
  <c r="BB188" i="1"/>
  <c r="BD188" i="1"/>
  <c r="BF188" i="1"/>
  <c r="BG188" i="1"/>
  <c r="BH188" i="1"/>
  <c r="BI188" i="1"/>
  <c r="BY188" i="1"/>
  <c r="BZ188" i="1"/>
  <c r="B189" i="1"/>
  <c r="G189" i="1"/>
  <c r="H189" i="1"/>
  <c r="I189" i="1"/>
  <c r="J189" i="1"/>
  <c r="BA189" i="1"/>
  <c r="BB189" i="1"/>
  <c r="BD189" i="1"/>
  <c r="BF189" i="1"/>
  <c r="BG189" i="1"/>
  <c r="BH189" i="1"/>
  <c r="BI189" i="1"/>
  <c r="BY189" i="1"/>
  <c r="BZ189" i="1"/>
  <c r="B190" i="1"/>
  <c r="G190" i="1"/>
  <c r="H190" i="1"/>
  <c r="I190" i="1"/>
  <c r="J190" i="1"/>
  <c r="BA190" i="1"/>
  <c r="BB190" i="1"/>
  <c r="BD190" i="1"/>
  <c r="BF190" i="1"/>
  <c r="BG190" i="1"/>
  <c r="BH190" i="1"/>
  <c r="BI190" i="1"/>
  <c r="BY190" i="1"/>
  <c r="BZ190" i="1"/>
  <c r="B191" i="1"/>
  <c r="G191" i="1"/>
  <c r="H191" i="1"/>
  <c r="I191" i="1"/>
  <c r="J191" i="1"/>
  <c r="BA191" i="1"/>
  <c r="BB191" i="1"/>
  <c r="BD191" i="1"/>
  <c r="BF191" i="1"/>
  <c r="BG191" i="1"/>
  <c r="BH191" i="1"/>
  <c r="BI191" i="1"/>
  <c r="BY191" i="1"/>
  <c r="BZ191" i="1"/>
  <c r="B192" i="1"/>
  <c r="G192" i="1"/>
  <c r="H192" i="1"/>
  <c r="I192" i="1"/>
  <c r="J192" i="1"/>
  <c r="BA192" i="1"/>
  <c r="BB192" i="1"/>
  <c r="BD192" i="1"/>
  <c r="BF192" i="1"/>
  <c r="BG192" i="1"/>
  <c r="BH192" i="1"/>
  <c r="BI192" i="1"/>
  <c r="BY192" i="1"/>
  <c r="BZ192" i="1"/>
  <c r="B193" i="1"/>
  <c r="G193" i="1"/>
  <c r="H193" i="1"/>
  <c r="I193" i="1"/>
  <c r="J193" i="1"/>
  <c r="BA193" i="1"/>
  <c r="BB193" i="1"/>
  <c r="BD193" i="1"/>
  <c r="BF193" i="1"/>
  <c r="BG193" i="1"/>
  <c r="BH193" i="1"/>
  <c r="BI193" i="1"/>
  <c r="BY193" i="1"/>
  <c r="BZ193" i="1"/>
  <c r="B194" i="1"/>
  <c r="G194" i="1"/>
  <c r="H194" i="1"/>
  <c r="I194" i="1"/>
  <c r="J194" i="1"/>
  <c r="BA194" i="1"/>
  <c r="BB194" i="1"/>
  <c r="BD194" i="1"/>
  <c r="BF194" i="1"/>
  <c r="BG194" i="1"/>
  <c r="BH194" i="1"/>
  <c r="BI194" i="1"/>
  <c r="BY194" i="1"/>
  <c r="BZ194" i="1"/>
  <c r="B195" i="1"/>
  <c r="G195" i="1"/>
  <c r="H195" i="1"/>
  <c r="I195" i="1"/>
  <c r="J195" i="1"/>
  <c r="BA195" i="1"/>
  <c r="BB195" i="1"/>
  <c r="BD195" i="1"/>
  <c r="BF195" i="1"/>
  <c r="BG195" i="1"/>
  <c r="BH195" i="1"/>
  <c r="BI195" i="1"/>
  <c r="BY195" i="1"/>
  <c r="BZ195" i="1"/>
  <c r="B196" i="1"/>
  <c r="G196" i="1"/>
  <c r="H196" i="1"/>
  <c r="I196" i="1"/>
  <c r="J196" i="1"/>
  <c r="BA196" i="1"/>
  <c r="BB196" i="1"/>
  <c r="BD196" i="1"/>
  <c r="BF196" i="1"/>
  <c r="BG196" i="1"/>
  <c r="BH196" i="1"/>
  <c r="BI196" i="1"/>
  <c r="BY196" i="1"/>
  <c r="BZ196" i="1"/>
  <c r="B197" i="1"/>
  <c r="G197" i="1"/>
  <c r="H197" i="1"/>
  <c r="I197" i="1"/>
  <c r="J197" i="1"/>
  <c r="BA197" i="1"/>
  <c r="BB197" i="1"/>
  <c r="BD197" i="1"/>
  <c r="BF197" i="1"/>
  <c r="BG197" i="1"/>
  <c r="BH197" i="1"/>
  <c r="BI197" i="1"/>
  <c r="BY197" i="1"/>
  <c r="BZ197" i="1"/>
  <c r="B198" i="1"/>
  <c r="G198" i="1"/>
  <c r="H198" i="1"/>
  <c r="I198" i="1"/>
  <c r="J198" i="1"/>
  <c r="BA198" i="1"/>
  <c r="BB198" i="1"/>
  <c r="BD198" i="1"/>
  <c r="BF198" i="1"/>
  <c r="BG198" i="1"/>
  <c r="BH198" i="1"/>
  <c r="BI198" i="1"/>
  <c r="BY198" i="1"/>
  <c r="BZ198" i="1"/>
  <c r="B199" i="1"/>
  <c r="G199" i="1"/>
  <c r="H199" i="1"/>
  <c r="I199" i="1"/>
  <c r="J199" i="1"/>
  <c r="BA199" i="1"/>
  <c r="BB199" i="1"/>
  <c r="BD199" i="1"/>
  <c r="BF199" i="1"/>
  <c r="BG199" i="1"/>
  <c r="BH199" i="1"/>
  <c r="BI199" i="1"/>
  <c r="BY199" i="1"/>
  <c r="BZ199" i="1"/>
  <c r="B200" i="1"/>
  <c r="G200" i="1"/>
  <c r="H200" i="1"/>
  <c r="I200" i="1"/>
  <c r="J200" i="1"/>
  <c r="BA200" i="1"/>
  <c r="BB200" i="1"/>
  <c r="BD200" i="1"/>
  <c r="BF200" i="1"/>
  <c r="BG200" i="1"/>
  <c r="BH200" i="1"/>
  <c r="BI200" i="1"/>
  <c r="BK200" i="1"/>
  <c r="BL200" i="1"/>
  <c r="BM200" i="1"/>
  <c r="BN200" i="1"/>
  <c r="BP200" i="1"/>
  <c r="BQ200" i="1"/>
  <c r="BR200" i="1"/>
  <c r="BS200" i="1"/>
  <c r="BY200" i="1"/>
  <c r="BZ200" i="1"/>
  <c r="B201" i="1"/>
  <c r="G201" i="1"/>
  <c r="H201" i="1"/>
  <c r="I201" i="1"/>
  <c r="J201" i="1"/>
  <c r="BA201" i="1"/>
  <c r="BB201" i="1"/>
  <c r="BD201" i="1"/>
  <c r="BF201" i="1"/>
  <c r="BG201" i="1"/>
  <c r="BH201" i="1"/>
  <c r="BI201" i="1"/>
  <c r="BK201" i="1"/>
  <c r="BL201" i="1"/>
  <c r="BM201" i="1"/>
  <c r="BN201" i="1"/>
  <c r="BP201" i="1"/>
  <c r="BQ201" i="1"/>
  <c r="BR201" i="1"/>
  <c r="BS201" i="1"/>
  <c r="BY201" i="1"/>
  <c r="BZ201" i="1"/>
  <c r="B202" i="1"/>
  <c r="G202" i="1"/>
  <c r="H202" i="1"/>
  <c r="I202" i="1"/>
  <c r="J202" i="1"/>
  <c r="BA202" i="1"/>
  <c r="BB202" i="1"/>
  <c r="BD202" i="1"/>
  <c r="BF202" i="1"/>
  <c r="BG202" i="1"/>
  <c r="BH202" i="1"/>
  <c r="BI202" i="1"/>
  <c r="BK202" i="1"/>
  <c r="BL202" i="1"/>
  <c r="BM202" i="1"/>
  <c r="BN202" i="1"/>
  <c r="BP202" i="1"/>
  <c r="BQ202" i="1"/>
  <c r="BR202" i="1"/>
  <c r="BS202" i="1"/>
  <c r="BY202" i="1"/>
  <c r="BZ202" i="1"/>
  <c r="B203" i="1"/>
  <c r="G203" i="1"/>
  <c r="H203" i="1"/>
  <c r="I203" i="1"/>
  <c r="J203" i="1"/>
  <c r="BA203" i="1"/>
  <c r="BB203" i="1"/>
  <c r="BD203" i="1"/>
  <c r="BF203" i="1"/>
  <c r="BG203" i="1"/>
  <c r="BH203" i="1"/>
  <c r="BI203" i="1"/>
  <c r="BK203" i="1"/>
  <c r="BL203" i="1"/>
  <c r="BM203" i="1"/>
  <c r="BN203" i="1"/>
  <c r="BP203" i="1"/>
  <c r="BQ203" i="1"/>
  <c r="BR203" i="1"/>
  <c r="BS203" i="1"/>
  <c r="BY203" i="1"/>
  <c r="BZ203" i="1"/>
  <c r="B204" i="1"/>
  <c r="G204" i="1"/>
  <c r="H204" i="1"/>
  <c r="I204" i="1"/>
  <c r="J204" i="1"/>
  <c r="BA204" i="1"/>
  <c r="BB204" i="1"/>
  <c r="BD204" i="1"/>
  <c r="BF204" i="1"/>
  <c r="BG204" i="1"/>
  <c r="BH204" i="1"/>
  <c r="BI204" i="1"/>
  <c r="BK204" i="1"/>
  <c r="BL204" i="1"/>
  <c r="BM204" i="1"/>
  <c r="BN204" i="1"/>
  <c r="BP204" i="1"/>
  <c r="BQ204" i="1"/>
  <c r="BR204" i="1"/>
  <c r="BS204" i="1"/>
  <c r="BY204" i="1"/>
  <c r="BZ204" i="1"/>
  <c r="B205" i="1"/>
  <c r="G205" i="1"/>
  <c r="H205" i="1"/>
  <c r="I205" i="1"/>
  <c r="J205" i="1"/>
  <c r="BA205" i="1"/>
  <c r="BB205" i="1"/>
  <c r="BD205" i="1"/>
  <c r="BF205" i="1"/>
  <c r="BG205" i="1"/>
  <c r="BH205" i="1"/>
  <c r="BI205" i="1"/>
  <c r="BK205" i="1"/>
  <c r="BL205" i="1"/>
  <c r="BM205" i="1"/>
  <c r="BN205" i="1"/>
  <c r="BP205" i="1"/>
  <c r="BQ205" i="1"/>
  <c r="BR205" i="1"/>
  <c r="BS205" i="1"/>
  <c r="BY205" i="1"/>
  <c r="BZ205" i="1"/>
  <c r="B206" i="1"/>
  <c r="G206" i="1"/>
  <c r="H206" i="1"/>
  <c r="I206" i="1"/>
  <c r="J206" i="1"/>
  <c r="BA206" i="1"/>
  <c r="BB206" i="1"/>
  <c r="BD206" i="1"/>
  <c r="BF206" i="1"/>
  <c r="BG206" i="1"/>
  <c r="BH206" i="1"/>
  <c r="BI206" i="1"/>
  <c r="BY206" i="1"/>
  <c r="BZ206" i="1"/>
  <c r="B207" i="1"/>
  <c r="G207" i="1"/>
  <c r="H207" i="1"/>
  <c r="I207" i="1"/>
  <c r="J207" i="1"/>
  <c r="BA207" i="1"/>
  <c r="BB207" i="1"/>
  <c r="BD207" i="1"/>
  <c r="BF207" i="1"/>
  <c r="BG207" i="1"/>
  <c r="BH207" i="1"/>
  <c r="BI207" i="1"/>
  <c r="BY207" i="1"/>
  <c r="BZ207" i="1"/>
  <c r="B208" i="1"/>
  <c r="G208" i="1"/>
  <c r="H208" i="1"/>
  <c r="I208" i="1"/>
  <c r="J208" i="1"/>
  <c r="BA208" i="1"/>
  <c r="BB208" i="1"/>
  <c r="BD208" i="1"/>
  <c r="BF208" i="1"/>
  <c r="BG208" i="1"/>
  <c r="BH208" i="1"/>
  <c r="BI208" i="1"/>
  <c r="BY208" i="1"/>
  <c r="BZ208" i="1"/>
  <c r="B209" i="1"/>
  <c r="G209" i="1"/>
  <c r="H209" i="1"/>
  <c r="I209" i="1"/>
  <c r="J209" i="1"/>
  <c r="BA209" i="1"/>
  <c r="BB209" i="1"/>
  <c r="BD209" i="1"/>
  <c r="BF209" i="1"/>
  <c r="BG209" i="1"/>
  <c r="BH209" i="1"/>
  <c r="BI209" i="1"/>
  <c r="BY209" i="1"/>
  <c r="BZ209" i="1"/>
  <c r="B210" i="1"/>
  <c r="G210" i="1"/>
  <c r="H210" i="1"/>
  <c r="I210" i="1"/>
  <c r="J210" i="1"/>
  <c r="BA210" i="1"/>
  <c r="BB210" i="1"/>
  <c r="BD210" i="1"/>
  <c r="BF210" i="1"/>
  <c r="BG210" i="1"/>
  <c r="BH210" i="1"/>
  <c r="BI210" i="1"/>
  <c r="BY210" i="1"/>
  <c r="BZ210" i="1"/>
  <c r="B211" i="1"/>
  <c r="G211" i="1"/>
  <c r="H211" i="1"/>
  <c r="I211" i="1"/>
  <c r="J211" i="1"/>
  <c r="BA211" i="1"/>
  <c r="BB211" i="1"/>
  <c r="BD211" i="1"/>
  <c r="BF211" i="1"/>
  <c r="BG211" i="1"/>
  <c r="BH211" i="1"/>
  <c r="BI211" i="1"/>
  <c r="BY211" i="1"/>
  <c r="BZ211" i="1"/>
  <c r="B212" i="1"/>
  <c r="G212" i="1"/>
  <c r="H212" i="1"/>
  <c r="I212" i="1"/>
  <c r="J212" i="1"/>
  <c r="BA212" i="1"/>
  <c r="BB212" i="1"/>
  <c r="BD212" i="1"/>
  <c r="BF212" i="1"/>
  <c r="BG212" i="1"/>
  <c r="BH212" i="1"/>
  <c r="BI212" i="1"/>
  <c r="BY212" i="1"/>
  <c r="BZ212" i="1"/>
  <c r="B213" i="1"/>
  <c r="G213" i="1"/>
  <c r="H213" i="1"/>
  <c r="I213" i="1"/>
  <c r="J213" i="1"/>
  <c r="BA213" i="1"/>
  <c r="BB213" i="1"/>
  <c r="BD213" i="1"/>
  <c r="BF213" i="1"/>
  <c r="BG213" i="1"/>
  <c r="BH213" i="1"/>
  <c r="BI213" i="1"/>
  <c r="BY213" i="1"/>
  <c r="BZ213" i="1"/>
  <c r="B214" i="1"/>
  <c r="G214" i="1"/>
  <c r="H214" i="1"/>
  <c r="I214" i="1"/>
  <c r="J214" i="1"/>
  <c r="BA214" i="1"/>
  <c r="BB214" i="1"/>
  <c r="BD214" i="1"/>
  <c r="BF214" i="1"/>
  <c r="BG214" i="1"/>
  <c r="BH214" i="1"/>
  <c r="BI214" i="1"/>
  <c r="BY214" i="1"/>
  <c r="BZ214" i="1"/>
  <c r="B215" i="1"/>
  <c r="G215" i="1"/>
  <c r="H215" i="1"/>
  <c r="I215" i="1"/>
  <c r="J215" i="1"/>
  <c r="BA215" i="1"/>
  <c r="BB215" i="1"/>
  <c r="BD215" i="1"/>
  <c r="BF215" i="1"/>
  <c r="BG215" i="1"/>
  <c r="BH215" i="1"/>
  <c r="BI215" i="1"/>
  <c r="BY215" i="1"/>
  <c r="BZ215" i="1"/>
  <c r="B216" i="1"/>
  <c r="G216" i="1"/>
  <c r="H216" i="1"/>
  <c r="I216" i="1"/>
  <c r="J216" i="1"/>
  <c r="BA216" i="1"/>
  <c r="BB216" i="1"/>
  <c r="BD216" i="1"/>
  <c r="BF216" i="1"/>
  <c r="BG216" i="1"/>
  <c r="BH216" i="1"/>
  <c r="BI216" i="1"/>
  <c r="BY216" i="1"/>
  <c r="BZ216" i="1"/>
  <c r="B217" i="1"/>
  <c r="G217" i="1"/>
  <c r="H217" i="1"/>
  <c r="I217" i="1"/>
  <c r="J217" i="1"/>
  <c r="BA217" i="1"/>
  <c r="BB217" i="1"/>
  <c r="BD217" i="1"/>
  <c r="BF217" i="1"/>
  <c r="BG217" i="1"/>
  <c r="BH217" i="1"/>
  <c r="BI217" i="1"/>
  <c r="BY217" i="1"/>
  <c r="BZ217" i="1"/>
  <c r="B218" i="1"/>
  <c r="G218" i="1"/>
  <c r="H218" i="1"/>
  <c r="I218" i="1"/>
  <c r="J218" i="1"/>
  <c r="BA218" i="1"/>
  <c r="BB218" i="1"/>
  <c r="BD218" i="1"/>
  <c r="BF218" i="1"/>
  <c r="BG218" i="1"/>
  <c r="BH218" i="1"/>
  <c r="BI218" i="1"/>
  <c r="BY218" i="1"/>
  <c r="BZ218" i="1"/>
  <c r="B219" i="1"/>
  <c r="G219" i="1"/>
  <c r="H219" i="1"/>
  <c r="I219" i="1"/>
  <c r="J219" i="1"/>
  <c r="BA219" i="1"/>
  <c r="BB219" i="1"/>
  <c r="BD219" i="1"/>
  <c r="BF219" i="1"/>
  <c r="BG219" i="1"/>
  <c r="BH219" i="1"/>
  <c r="BI219" i="1"/>
  <c r="BY219" i="1"/>
  <c r="BZ219" i="1"/>
  <c r="B220" i="1"/>
  <c r="G220" i="1"/>
  <c r="H220" i="1"/>
  <c r="I220" i="1"/>
  <c r="J220" i="1"/>
  <c r="BA220" i="1"/>
  <c r="BB220" i="1"/>
  <c r="BD220" i="1"/>
  <c r="BF220" i="1"/>
  <c r="BG220" i="1"/>
  <c r="BH220" i="1"/>
  <c r="BI220" i="1"/>
  <c r="BY220" i="1"/>
  <c r="BZ220" i="1"/>
  <c r="B221" i="1"/>
  <c r="G221" i="1"/>
  <c r="H221" i="1"/>
  <c r="I221" i="1"/>
  <c r="J221" i="1"/>
  <c r="BA221" i="1"/>
  <c r="BB221" i="1"/>
  <c r="BD221" i="1"/>
  <c r="BF221" i="1"/>
  <c r="BG221" i="1"/>
  <c r="BH221" i="1"/>
  <c r="BI221" i="1"/>
  <c r="BY221" i="1"/>
  <c r="BZ221" i="1"/>
  <c r="B222" i="1"/>
  <c r="G222" i="1"/>
  <c r="H222" i="1"/>
  <c r="I222" i="1"/>
  <c r="J222" i="1"/>
  <c r="BA222" i="1"/>
  <c r="BB222" i="1"/>
  <c r="BD222" i="1"/>
  <c r="BF222" i="1"/>
  <c r="BG222" i="1"/>
  <c r="BH222" i="1"/>
  <c r="BI222" i="1"/>
  <c r="BY222" i="1"/>
  <c r="BZ222" i="1"/>
  <c r="B223" i="1"/>
  <c r="G223" i="1"/>
  <c r="H223" i="1"/>
  <c r="I223" i="1"/>
  <c r="J223" i="1"/>
  <c r="BA223" i="1"/>
  <c r="BB223" i="1"/>
  <c r="BD223" i="1"/>
  <c r="BF223" i="1"/>
  <c r="BG223" i="1"/>
  <c r="BH223" i="1"/>
  <c r="BI223" i="1"/>
  <c r="BY223" i="1"/>
  <c r="BZ223" i="1"/>
  <c r="B224" i="1"/>
  <c r="G224" i="1"/>
  <c r="H224" i="1"/>
  <c r="I224" i="1"/>
  <c r="J224" i="1"/>
  <c r="BA224" i="1"/>
  <c r="BB224" i="1"/>
  <c r="BD224" i="1"/>
  <c r="BF224" i="1"/>
  <c r="BG224" i="1"/>
  <c r="BH224" i="1"/>
  <c r="BI224" i="1"/>
  <c r="BY224" i="1"/>
  <c r="BZ224" i="1"/>
  <c r="B225" i="1"/>
  <c r="G225" i="1"/>
  <c r="H225" i="1"/>
  <c r="I225" i="1"/>
  <c r="J225" i="1"/>
  <c r="BA225" i="1"/>
  <c r="BB225" i="1"/>
  <c r="BD225" i="1"/>
  <c r="BF225" i="1"/>
  <c r="BG225" i="1"/>
  <c r="BH225" i="1"/>
  <c r="BI225" i="1"/>
  <c r="BY225" i="1"/>
  <c r="BZ225" i="1"/>
  <c r="B226" i="1"/>
  <c r="G226" i="1"/>
  <c r="H226" i="1"/>
  <c r="I226" i="1"/>
  <c r="J226" i="1"/>
  <c r="BA226" i="1"/>
  <c r="BB226" i="1"/>
  <c r="BD226" i="1"/>
  <c r="BF226" i="1"/>
  <c r="BG226" i="1"/>
  <c r="BH226" i="1"/>
  <c r="BI226" i="1"/>
  <c r="BY226" i="1"/>
  <c r="BZ226" i="1"/>
  <c r="B227" i="1"/>
  <c r="G227" i="1"/>
  <c r="H227" i="1"/>
  <c r="I227" i="1"/>
  <c r="J227" i="1"/>
  <c r="BA227" i="1"/>
  <c r="BB227" i="1"/>
  <c r="BD227" i="1"/>
  <c r="BF227" i="1"/>
  <c r="BG227" i="1"/>
  <c r="BH227" i="1"/>
  <c r="BI227" i="1"/>
  <c r="BY227" i="1"/>
  <c r="BZ227" i="1"/>
  <c r="B228" i="1"/>
  <c r="G228" i="1"/>
  <c r="H228" i="1"/>
  <c r="I228" i="1"/>
  <c r="J228" i="1"/>
  <c r="BA228" i="1"/>
  <c r="BB228" i="1"/>
  <c r="BD228" i="1"/>
  <c r="BF228" i="1"/>
  <c r="BG228" i="1"/>
  <c r="BH228" i="1"/>
  <c r="BI228" i="1"/>
  <c r="BY228" i="1"/>
  <c r="BZ228" i="1"/>
  <c r="B229" i="1"/>
  <c r="G229" i="1"/>
  <c r="H229" i="1"/>
  <c r="I229" i="1"/>
  <c r="J229" i="1"/>
  <c r="BA229" i="1"/>
  <c r="BB229" i="1"/>
  <c r="BD229" i="1"/>
  <c r="BF229" i="1"/>
  <c r="BG229" i="1"/>
  <c r="BH229" i="1"/>
  <c r="BI229" i="1"/>
  <c r="BY229" i="1"/>
  <c r="BZ229" i="1"/>
  <c r="B230" i="1"/>
  <c r="G230" i="1"/>
  <c r="H230" i="1"/>
  <c r="I230" i="1"/>
  <c r="J230" i="1"/>
  <c r="BA230" i="1"/>
  <c r="BB230" i="1"/>
  <c r="BD230" i="1"/>
  <c r="BF230" i="1"/>
  <c r="BG230" i="1"/>
  <c r="BH230" i="1"/>
  <c r="BI230" i="1"/>
  <c r="BY230" i="1"/>
  <c r="BZ230" i="1"/>
  <c r="B231" i="1"/>
  <c r="G231" i="1"/>
  <c r="H231" i="1"/>
  <c r="I231" i="1"/>
  <c r="J231" i="1"/>
  <c r="BA231" i="1"/>
  <c r="BB231" i="1"/>
  <c r="BD231" i="1"/>
  <c r="BF231" i="1"/>
  <c r="BG231" i="1"/>
  <c r="BH231" i="1"/>
  <c r="BI231" i="1"/>
  <c r="BY231" i="1"/>
  <c r="BZ231" i="1"/>
  <c r="B232" i="1"/>
  <c r="G232" i="1"/>
  <c r="H232" i="1"/>
  <c r="I232" i="1"/>
  <c r="J232" i="1"/>
  <c r="BA232" i="1"/>
  <c r="BB232" i="1"/>
  <c r="BD232" i="1"/>
  <c r="BF232" i="1"/>
  <c r="BG232" i="1"/>
  <c r="BH232" i="1"/>
  <c r="BI232" i="1"/>
  <c r="BY232" i="1"/>
  <c r="BZ232" i="1"/>
  <c r="B233" i="1"/>
  <c r="G233" i="1"/>
  <c r="H233" i="1"/>
  <c r="I233" i="1"/>
  <c r="J233" i="1"/>
  <c r="BA233" i="1"/>
  <c r="BB233" i="1"/>
  <c r="BD233" i="1"/>
  <c r="BF233" i="1"/>
  <c r="BG233" i="1"/>
  <c r="BH233" i="1"/>
  <c r="BI233" i="1"/>
  <c r="BY233" i="1"/>
  <c r="BZ233" i="1"/>
  <c r="B234" i="1"/>
  <c r="G234" i="1"/>
  <c r="H234" i="1"/>
  <c r="I234" i="1"/>
  <c r="J234" i="1"/>
  <c r="BA234" i="1"/>
  <c r="BB234" i="1"/>
  <c r="BD234" i="1"/>
  <c r="BF234" i="1"/>
  <c r="BG234" i="1"/>
  <c r="BH234" i="1"/>
  <c r="BI234" i="1"/>
  <c r="BY234" i="1"/>
  <c r="BZ234" i="1"/>
  <c r="B235" i="1"/>
  <c r="G235" i="1"/>
  <c r="H235" i="1"/>
  <c r="I235" i="1"/>
  <c r="J235" i="1"/>
  <c r="BA235" i="1"/>
  <c r="BB235" i="1"/>
  <c r="BD235" i="1"/>
  <c r="BF235" i="1"/>
  <c r="BG235" i="1"/>
  <c r="BH235" i="1"/>
  <c r="BI235" i="1"/>
  <c r="BY235" i="1"/>
  <c r="BZ235" i="1"/>
  <c r="B236" i="1"/>
  <c r="G236" i="1"/>
  <c r="H236" i="1"/>
  <c r="I236" i="1"/>
  <c r="J236" i="1"/>
  <c r="BA236" i="1"/>
  <c r="BB236" i="1"/>
  <c r="BD236" i="1"/>
  <c r="BF236" i="1"/>
  <c r="BG236" i="1"/>
  <c r="BH236" i="1"/>
  <c r="BI236" i="1"/>
  <c r="BY236" i="1"/>
  <c r="BZ236" i="1"/>
  <c r="B237" i="1"/>
  <c r="G237" i="1"/>
  <c r="H237" i="1"/>
  <c r="I237" i="1"/>
  <c r="J237" i="1"/>
  <c r="BA237" i="1"/>
  <c r="BB237" i="1"/>
  <c r="BD237" i="1"/>
  <c r="BF237" i="1"/>
  <c r="BG237" i="1"/>
  <c r="BH237" i="1"/>
  <c r="BI237" i="1"/>
  <c r="BY237" i="1"/>
  <c r="BZ237" i="1"/>
  <c r="B238" i="1"/>
  <c r="G238" i="1"/>
  <c r="H238" i="1"/>
  <c r="I238" i="1"/>
  <c r="J238" i="1"/>
  <c r="BA238" i="1"/>
  <c r="BB238" i="1"/>
  <c r="BD238" i="1"/>
  <c r="BF238" i="1"/>
  <c r="BG238" i="1"/>
  <c r="BH238" i="1"/>
  <c r="BI238" i="1"/>
  <c r="BY238" i="1"/>
  <c r="BZ238" i="1"/>
  <c r="B239" i="1"/>
  <c r="G239" i="1"/>
  <c r="H239" i="1"/>
  <c r="I239" i="1"/>
  <c r="J239" i="1"/>
  <c r="BA239" i="1"/>
  <c r="BB239" i="1"/>
  <c r="BD239" i="1"/>
  <c r="BF239" i="1"/>
  <c r="BG239" i="1"/>
  <c r="BH239" i="1"/>
  <c r="BI239" i="1"/>
  <c r="BY239" i="1"/>
  <c r="BZ239" i="1"/>
  <c r="B240" i="1"/>
  <c r="G240" i="1"/>
  <c r="H240" i="1"/>
  <c r="I240" i="1"/>
  <c r="J240" i="1"/>
  <c r="BA240" i="1"/>
  <c r="BB240" i="1"/>
  <c r="BD240" i="1"/>
  <c r="BF240" i="1"/>
  <c r="BG240" i="1"/>
  <c r="BH240" i="1"/>
  <c r="BI240" i="1"/>
  <c r="BY240" i="1"/>
  <c r="BZ240" i="1"/>
  <c r="B241" i="1"/>
  <c r="G241" i="1"/>
  <c r="H241" i="1"/>
  <c r="I241" i="1"/>
  <c r="J241" i="1"/>
  <c r="BA241" i="1"/>
  <c r="BB241" i="1"/>
  <c r="BD241" i="1"/>
  <c r="BF241" i="1"/>
  <c r="BG241" i="1"/>
  <c r="BH241" i="1"/>
  <c r="BI241" i="1"/>
  <c r="BY241" i="1"/>
  <c r="BZ241" i="1"/>
  <c r="B242" i="1"/>
  <c r="G242" i="1"/>
  <c r="H242" i="1"/>
  <c r="I242" i="1"/>
  <c r="J242" i="1"/>
  <c r="BA242" i="1"/>
  <c r="BB242" i="1"/>
  <c r="BD242" i="1"/>
  <c r="BF242" i="1"/>
  <c r="BG242" i="1"/>
  <c r="BH242" i="1"/>
  <c r="BI242" i="1"/>
  <c r="BY242" i="1"/>
  <c r="BZ242" i="1"/>
  <c r="B243" i="1"/>
  <c r="G243" i="1"/>
  <c r="H243" i="1"/>
  <c r="I243" i="1"/>
  <c r="J243" i="1"/>
  <c r="BA243" i="1"/>
  <c r="BB243" i="1"/>
  <c r="BD243" i="1"/>
  <c r="BF243" i="1"/>
  <c r="BG243" i="1"/>
  <c r="BH243" i="1"/>
  <c r="BI243" i="1"/>
  <c r="BY243" i="1"/>
  <c r="BZ243" i="1"/>
  <c r="B244" i="1"/>
  <c r="G244" i="1"/>
  <c r="H244" i="1"/>
  <c r="I244" i="1"/>
  <c r="J244" i="1"/>
  <c r="BA244" i="1"/>
  <c r="BB244" i="1"/>
  <c r="BD244" i="1"/>
  <c r="BF244" i="1"/>
  <c r="BG244" i="1"/>
  <c r="BH244" i="1"/>
  <c r="BI244" i="1"/>
  <c r="BY244" i="1"/>
  <c r="BZ244" i="1"/>
  <c r="B245" i="1"/>
  <c r="G245" i="1"/>
  <c r="H245" i="1"/>
  <c r="I245" i="1"/>
  <c r="J245" i="1"/>
  <c r="BA245" i="1"/>
  <c r="BB245" i="1"/>
  <c r="BD245" i="1"/>
  <c r="BF245" i="1"/>
  <c r="BG245" i="1"/>
  <c r="BH245" i="1"/>
  <c r="BI245" i="1"/>
  <c r="BY245" i="1"/>
  <c r="BZ245" i="1"/>
  <c r="B246" i="1"/>
  <c r="G246" i="1"/>
  <c r="H246" i="1"/>
  <c r="I246" i="1"/>
  <c r="J246" i="1"/>
  <c r="BA246" i="1"/>
  <c r="BB246" i="1"/>
  <c r="BD246" i="1"/>
  <c r="BF246" i="1"/>
  <c r="BG246" i="1"/>
  <c r="BH246" i="1"/>
  <c r="BI246" i="1"/>
  <c r="BY246" i="1"/>
  <c r="BZ246" i="1"/>
  <c r="B247" i="1"/>
  <c r="G247" i="1"/>
  <c r="H247" i="1"/>
  <c r="I247" i="1"/>
  <c r="J247" i="1"/>
  <c r="BA247" i="1"/>
  <c r="BB247" i="1"/>
  <c r="BD247" i="1"/>
  <c r="BF247" i="1"/>
  <c r="BG247" i="1"/>
  <c r="BH247" i="1"/>
  <c r="BI247" i="1"/>
  <c r="BY247" i="1"/>
  <c r="BZ247" i="1"/>
  <c r="B248" i="1"/>
  <c r="G248" i="1"/>
  <c r="H248" i="1"/>
  <c r="I248" i="1"/>
  <c r="J248" i="1"/>
  <c r="BA248" i="1"/>
  <c r="BB248" i="1"/>
  <c r="BD248" i="1"/>
  <c r="BF248" i="1"/>
  <c r="BG248" i="1"/>
  <c r="BH248" i="1"/>
  <c r="BI248" i="1"/>
  <c r="BY248" i="1"/>
  <c r="BZ248" i="1"/>
  <c r="B249" i="1"/>
  <c r="G249" i="1"/>
  <c r="H249" i="1"/>
  <c r="I249" i="1"/>
  <c r="J249" i="1"/>
  <c r="BA249" i="1"/>
  <c r="BB249" i="1"/>
  <c r="BD249" i="1"/>
  <c r="BF249" i="1"/>
  <c r="BG249" i="1"/>
  <c r="BH249" i="1"/>
  <c r="BI249" i="1"/>
  <c r="BY249" i="1"/>
  <c r="BZ249" i="1"/>
  <c r="B250" i="1"/>
  <c r="G250" i="1"/>
  <c r="H250" i="1"/>
  <c r="I250" i="1"/>
  <c r="J250" i="1"/>
  <c r="BA250" i="1"/>
  <c r="BB250" i="1"/>
  <c r="BD250" i="1"/>
  <c r="BF250" i="1"/>
  <c r="BG250" i="1"/>
  <c r="BH250" i="1"/>
  <c r="BI250" i="1"/>
  <c r="BY250" i="1"/>
  <c r="BZ250" i="1"/>
  <c r="B251" i="1"/>
  <c r="G251" i="1"/>
  <c r="H251" i="1"/>
  <c r="I251" i="1"/>
  <c r="J251" i="1"/>
  <c r="BA251" i="1"/>
  <c r="BB251" i="1"/>
  <c r="BD251" i="1"/>
  <c r="BF251" i="1"/>
  <c r="BG251" i="1"/>
  <c r="BH251" i="1"/>
  <c r="BI251" i="1"/>
  <c r="BK251" i="1"/>
  <c r="BL251" i="1"/>
  <c r="BM251" i="1"/>
  <c r="BN251" i="1"/>
  <c r="BP251" i="1"/>
  <c r="BQ251" i="1"/>
  <c r="BR251" i="1"/>
  <c r="BS251" i="1"/>
  <c r="BY251" i="1"/>
  <c r="BZ251" i="1"/>
  <c r="B252" i="1"/>
  <c r="G252" i="1"/>
  <c r="H252" i="1"/>
  <c r="I252" i="1"/>
  <c r="J252" i="1"/>
  <c r="BA252" i="1"/>
  <c r="BB252" i="1"/>
  <c r="BD252" i="1"/>
  <c r="BF252" i="1"/>
  <c r="BG252" i="1"/>
  <c r="BH252" i="1"/>
  <c r="BI252" i="1"/>
  <c r="BK252" i="1"/>
  <c r="BL252" i="1"/>
  <c r="BM252" i="1"/>
  <c r="BN252" i="1"/>
  <c r="BP252" i="1"/>
  <c r="BQ252" i="1"/>
  <c r="BR252" i="1"/>
  <c r="BS252" i="1"/>
  <c r="BY252" i="1"/>
  <c r="BZ252" i="1"/>
  <c r="B253" i="1"/>
  <c r="G253" i="1"/>
  <c r="H253" i="1"/>
  <c r="I253" i="1"/>
  <c r="J253" i="1"/>
  <c r="BA253" i="1"/>
  <c r="BB253" i="1"/>
  <c r="BD253" i="1"/>
  <c r="BF253" i="1"/>
  <c r="BG253" i="1"/>
  <c r="BH253" i="1"/>
  <c r="BI253" i="1"/>
  <c r="BK253" i="1"/>
  <c r="BL253" i="1"/>
  <c r="BM253" i="1"/>
  <c r="BN253" i="1"/>
  <c r="BP253" i="1"/>
  <c r="BQ253" i="1"/>
  <c r="BR253" i="1"/>
  <c r="BS253" i="1"/>
  <c r="BY253" i="1"/>
  <c r="BZ253" i="1"/>
  <c r="B254" i="1"/>
  <c r="G254" i="1"/>
  <c r="H254" i="1"/>
  <c r="I254" i="1"/>
  <c r="J254" i="1"/>
  <c r="BA254" i="1"/>
  <c r="BB254" i="1"/>
  <c r="BD254" i="1"/>
  <c r="BF254" i="1"/>
  <c r="BG254" i="1"/>
  <c r="BH254" i="1"/>
  <c r="BI254" i="1"/>
  <c r="BK254" i="1"/>
  <c r="BL254" i="1"/>
  <c r="BM254" i="1"/>
  <c r="BN254" i="1"/>
  <c r="BP254" i="1"/>
  <c r="BQ254" i="1"/>
  <c r="BR254" i="1"/>
  <c r="BS254" i="1"/>
  <c r="BY254" i="1"/>
  <c r="BZ254" i="1"/>
  <c r="B255" i="1"/>
  <c r="G255" i="1"/>
  <c r="H255" i="1"/>
  <c r="I255" i="1"/>
  <c r="J255" i="1"/>
  <c r="BA255" i="1"/>
  <c r="BB255" i="1"/>
  <c r="BD255" i="1"/>
  <c r="BF255" i="1"/>
  <c r="BG255" i="1"/>
  <c r="BH255" i="1"/>
  <c r="BI255" i="1"/>
  <c r="BK255" i="1"/>
  <c r="BL255" i="1"/>
  <c r="BM255" i="1"/>
  <c r="BN255" i="1"/>
  <c r="BP255" i="1"/>
  <c r="BQ255" i="1"/>
  <c r="BR255" i="1"/>
  <c r="BS255" i="1"/>
  <c r="BY255" i="1"/>
  <c r="BZ255" i="1"/>
  <c r="B256" i="1"/>
  <c r="G256" i="1"/>
  <c r="H256" i="1"/>
  <c r="I256" i="1"/>
  <c r="J256" i="1"/>
  <c r="BA256" i="1"/>
  <c r="BB256" i="1"/>
  <c r="BD256" i="1"/>
  <c r="BF256" i="1"/>
  <c r="BG256" i="1"/>
  <c r="BH256" i="1"/>
  <c r="BI256" i="1"/>
  <c r="BK256" i="1"/>
  <c r="BL256" i="1"/>
  <c r="BM256" i="1"/>
  <c r="BN256" i="1"/>
  <c r="BP256" i="1"/>
  <c r="BQ256" i="1"/>
  <c r="BR256" i="1"/>
  <c r="BS256" i="1"/>
  <c r="BY256" i="1"/>
  <c r="BZ256" i="1"/>
  <c r="B257" i="1"/>
  <c r="G257" i="1"/>
  <c r="H257" i="1"/>
  <c r="I257" i="1"/>
  <c r="J257" i="1"/>
  <c r="BA257" i="1"/>
  <c r="BB257" i="1"/>
  <c r="BD257" i="1"/>
  <c r="BF257" i="1"/>
  <c r="BG257" i="1"/>
  <c r="BH257" i="1"/>
  <c r="BI257" i="1"/>
  <c r="BK257" i="1"/>
  <c r="BL257" i="1"/>
  <c r="BM257" i="1"/>
  <c r="BN257" i="1"/>
  <c r="BP257" i="1"/>
  <c r="BQ257" i="1"/>
  <c r="BR257" i="1"/>
  <c r="BS257" i="1"/>
  <c r="BY257" i="1"/>
  <c r="BZ257" i="1"/>
  <c r="B258" i="1"/>
  <c r="G258" i="1"/>
  <c r="H258" i="1"/>
  <c r="I258" i="1"/>
  <c r="J258" i="1"/>
  <c r="BA258" i="1"/>
  <c r="BB258" i="1"/>
  <c r="BD258" i="1"/>
  <c r="BF258" i="1"/>
  <c r="BG258" i="1"/>
  <c r="BH258" i="1"/>
  <c r="BI258" i="1"/>
  <c r="BK258" i="1"/>
  <c r="BL258" i="1"/>
  <c r="BM258" i="1"/>
  <c r="BN258" i="1"/>
  <c r="BP258" i="1"/>
  <c r="BQ258" i="1"/>
  <c r="BR258" i="1"/>
  <c r="BS258" i="1"/>
  <c r="BY258" i="1"/>
  <c r="BZ258" i="1"/>
  <c r="B259" i="1"/>
  <c r="G259" i="1"/>
  <c r="H259" i="1"/>
  <c r="I259" i="1"/>
  <c r="J259" i="1"/>
  <c r="BA259" i="1"/>
  <c r="BB259" i="1"/>
  <c r="BD259" i="1"/>
  <c r="BF259" i="1"/>
  <c r="BG259" i="1"/>
  <c r="BH259" i="1"/>
  <c r="BI259" i="1"/>
  <c r="BK259" i="1"/>
  <c r="BL259" i="1"/>
  <c r="BM259" i="1"/>
  <c r="BN259" i="1"/>
  <c r="BP259" i="1"/>
  <c r="BQ259" i="1"/>
  <c r="BR259" i="1"/>
  <c r="BS259" i="1"/>
  <c r="BY259" i="1"/>
  <c r="BZ259" i="1"/>
  <c r="B260" i="1"/>
  <c r="G260" i="1"/>
  <c r="H260" i="1"/>
  <c r="I260" i="1"/>
  <c r="J260" i="1"/>
  <c r="BA260" i="1"/>
  <c r="BB260" i="1"/>
  <c r="BD260" i="1"/>
  <c r="BF260" i="1"/>
  <c r="BG260" i="1"/>
  <c r="BH260" i="1"/>
  <c r="BI260" i="1"/>
  <c r="BK260" i="1"/>
  <c r="BL260" i="1"/>
  <c r="BM260" i="1"/>
  <c r="BN260" i="1"/>
  <c r="BP260" i="1"/>
  <c r="BQ260" i="1"/>
  <c r="BR260" i="1"/>
  <c r="BS260" i="1"/>
  <c r="BY260" i="1"/>
  <c r="BZ260" i="1"/>
  <c r="B261" i="1"/>
  <c r="G261" i="1"/>
  <c r="H261" i="1"/>
  <c r="I261" i="1"/>
  <c r="J261" i="1"/>
  <c r="BA261" i="1"/>
  <c r="BB261" i="1"/>
  <c r="BD261" i="1"/>
  <c r="BF261" i="1"/>
  <c r="BG261" i="1"/>
  <c r="BH261" i="1"/>
  <c r="BI261" i="1"/>
  <c r="BK261" i="1"/>
  <c r="BL261" i="1"/>
  <c r="BM261" i="1"/>
  <c r="BN261" i="1"/>
  <c r="BP261" i="1"/>
  <c r="BQ261" i="1"/>
  <c r="BR261" i="1"/>
  <c r="BS261" i="1"/>
  <c r="BY261" i="1"/>
  <c r="BZ261" i="1"/>
  <c r="B262" i="1"/>
  <c r="G262" i="1"/>
  <c r="H262" i="1"/>
  <c r="I262" i="1"/>
  <c r="J262" i="1"/>
  <c r="BA262" i="1"/>
  <c r="BB262" i="1"/>
  <c r="BD262" i="1"/>
  <c r="BF262" i="1"/>
  <c r="BG262" i="1"/>
  <c r="BH262" i="1"/>
  <c r="BI262" i="1"/>
  <c r="BK262" i="1"/>
  <c r="BL262" i="1"/>
  <c r="BM262" i="1"/>
  <c r="BN262" i="1"/>
  <c r="BP262" i="1"/>
  <c r="BQ262" i="1"/>
  <c r="BR262" i="1"/>
  <c r="BS262" i="1"/>
  <c r="BY262" i="1"/>
  <c r="BZ262" i="1"/>
  <c r="B263" i="1"/>
  <c r="G263" i="1"/>
  <c r="H263" i="1"/>
  <c r="I263" i="1"/>
  <c r="J263" i="1"/>
  <c r="BA263" i="1"/>
  <c r="BB263" i="1"/>
  <c r="BD263" i="1"/>
  <c r="BF263" i="1"/>
  <c r="BG263" i="1"/>
  <c r="BH263" i="1"/>
  <c r="BI263" i="1"/>
  <c r="BY263" i="1"/>
  <c r="BZ263" i="1"/>
  <c r="B264" i="1"/>
  <c r="G264" i="1"/>
  <c r="H264" i="1"/>
  <c r="I264" i="1"/>
  <c r="J264" i="1"/>
  <c r="BA264" i="1"/>
  <c r="BB264" i="1"/>
  <c r="BD264" i="1"/>
  <c r="BF264" i="1"/>
  <c r="BG264" i="1"/>
  <c r="BH264" i="1"/>
  <c r="BI264" i="1"/>
  <c r="BY264" i="1"/>
  <c r="BZ264" i="1"/>
  <c r="B265" i="1"/>
  <c r="G265" i="1"/>
  <c r="H265" i="1"/>
  <c r="I265" i="1"/>
  <c r="J265" i="1"/>
  <c r="BA265" i="1"/>
  <c r="BB265" i="1"/>
  <c r="BD265" i="1"/>
  <c r="BF265" i="1"/>
  <c r="BG265" i="1"/>
  <c r="BH265" i="1"/>
  <c r="BI265" i="1"/>
  <c r="BY265" i="1"/>
  <c r="BZ265" i="1"/>
  <c r="B266" i="1"/>
  <c r="G266" i="1"/>
  <c r="H266" i="1"/>
  <c r="I266" i="1"/>
  <c r="J266" i="1"/>
  <c r="BA266" i="1"/>
  <c r="BB266" i="1"/>
  <c r="BD266" i="1"/>
  <c r="BF266" i="1"/>
  <c r="BG266" i="1"/>
  <c r="BH266" i="1"/>
  <c r="BI266" i="1"/>
  <c r="BY266" i="1"/>
  <c r="BZ266" i="1"/>
  <c r="B267" i="1"/>
  <c r="G267" i="1"/>
  <c r="H267" i="1"/>
  <c r="I267" i="1"/>
  <c r="J267" i="1"/>
  <c r="BA267" i="1"/>
  <c r="BB267" i="1"/>
  <c r="BD267" i="1"/>
  <c r="BF267" i="1"/>
  <c r="BG267" i="1"/>
  <c r="BH267" i="1"/>
  <c r="BI267" i="1"/>
  <c r="BY267" i="1"/>
  <c r="BZ267" i="1"/>
  <c r="B268" i="1"/>
  <c r="G268" i="1"/>
  <c r="H268" i="1"/>
  <c r="I268" i="1"/>
  <c r="J268" i="1"/>
  <c r="BA268" i="1"/>
  <c r="BB268" i="1"/>
  <c r="BD268" i="1"/>
  <c r="BF268" i="1"/>
  <c r="BG268" i="1"/>
  <c r="BH268" i="1"/>
  <c r="BI268" i="1"/>
  <c r="BY268" i="1"/>
  <c r="BZ268" i="1"/>
  <c r="B269" i="1"/>
  <c r="G269" i="1"/>
  <c r="H269" i="1"/>
  <c r="I269" i="1"/>
  <c r="J269" i="1"/>
  <c r="BA269" i="1"/>
  <c r="BB269" i="1"/>
  <c r="BD269" i="1"/>
  <c r="BF269" i="1"/>
  <c r="BG269" i="1"/>
  <c r="BH269" i="1"/>
  <c r="BI269" i="1"/>
  <c r="BY269" i="1"/>
  <c r="BZ269" i="1"/>
  <c r="B270" i="1"/>
  <c r="G270" i="1"/>
  <c r="H270" i="1"/>
  <c r="I270" i="1"/>
  <c r="J270" i="1"/>
  <c r="BA270" i="1"/>
  <c r="BB270" i="1"/>
  <c r="BD270" i="1"/>
  <c r="BF270" i="1"/>
  <c r="BG270" i="1"/>
  <c r="BH270" i="1"/>
  <c r="BI270" i="1"/>
  <c r="BY270" i="1"/>
  <c r="BZ270" i="1"/>
  <c r="B271" i="1"/>
  <c r="G271" i="1"/>
  <c r="H271" i="1"/>
  <c r="I271" i="1"/>
  <c r="J271" i="1"/>
  <c r="BA271" i="1"/>
  <c r="BB271" i="1"/>
  <c r="BD271" i="1"/>
  <c r="BF271" i="1"/>
  <c r="BG271" i="1"/>
  <c r="BH271" i="1"/>
  <c r="BI271" i="1"/>
  <c r="BK271" i="1"/>
  <c r="BL271" i="1"/>
  <c r="BM271" i="1"/>
  <c r="BN271" i="1"/>
  <c r="BP271" i="1"/>
  <c r="BQ271" i="1"/>
  <c r="BR271" i="1"/>
  <c r="BS271" i="1"/>
  <c r="BY271" i="1"/>
  <c r="BZ271" i="1"/>
  <c r="B272" i="1"/>
  <c r="G272" i="1"/>
  <c r="H272" i="1"/>
  <c r="I272" i="1"/>
  <c r="J272" i="1"/>
  <c r="BA272" i="1"/>
  <c r="BB272" i="1"/>
  <c r="BD272" i="1"/>
  <c r="BF272" i="1"/>
  <c r="BG272" i="1"/>
  <c r="BH272" i="1"/>
  <c r="BI272" i="1"/>
  <c r="BY272" i="1"/>
  <c r="BZ272" i="1"/>
  <c r="B273" i="1"/>
  <c r="G273" i="1"/>
  <c r="H273" i="1"/>
  <c r="I273" i="1"/>
  <c r="J273" i="1"/>
  <c r="BA273" i="1"/>
  <c r="BB273" i="1"/>
  <c r="BD273" i="1"/>
  <c r="BF273" i="1"/>
  <c r="BG273" i="1"/>
  <c r="BH273" i="1"/>
  <c r="BI273" i="1"/>
  <c r="BY273" i="1"/>
  <c r="BZ273" i="1"/>
  <c r="B274" i="1"/>
  <c r="G274" i="1"/>
  <c r="H274" i="1"/>
  <c r="I274" i="1"/>
  <c r="J274" i="1"/>
  <c r="BA274" i="1"/>
  <c r="BB274" i="1"/>
  <c r="BD274" i="1"/>
  <c r="BF274" i="1"/>
  <c r="BG274" i="1"/>
  <c r="BH274" i="1"/>
  <c r="BI274" i="1"/>
  <c r="BY274" i="1"/>
  <c r="BZ274" i="1"/>
  <c r="B275" i="1"/>
  <c r="G275" i="1"/>
  <c r="H275" i="1"/>
  <c r="I275" i="1"/>
  <c r="J275" i="1"/>
  <c r="BA275" i="1"/>
  <c r="BB275" i="1"/>
  <c r="BD275" i="1"/>
  <c r="BF275" i="1"/>
  <c r="BG275" i="1"/>
  <c r="BH275" i="1"/>
  <c r="BI275" i="1"/>
  <c r="BK275" i="1"/>
  <c r="BL275" i="1"/>
  <c r="BM275" i="1"/>
  <c r="BN275" i="1"/>
  <c r="BY275" i="1"/>
  <c r="BZ275" i="1"/>
  <c r="B276" i="1"/>
  <c r="G276" i="1"/>
  <c r="H276" i="1"/>
  <c r="I276" i="1"/>
  <c r="J276" i="1"/>
  <c r="BA276" i="1"/>
  <c r="BB276" i="1"/>
  <c r="BD276" i="1"/>
  <c r="BF276" i="1"/>
  <c r="BG276" i="1"/>
  <c r="BH276" i="1"/>
  <c r="BI276" i="1"/>
  <c r="BK276" i="1"/>
  <c r="BL276" i="1"/>
  <c r="BM276" i="1"/>
  <c r="BN276" i="1"/>
  <c r="BY276" i="1"/>
  <c r="BZ276" i="1"/>
  <c r="B277" i="1"/>
  <c r="G277" i="1"/>
  <c r="H277" i="1"/>
  <c r="I277" i="1"/>
  <c r="J277" i="1"/>
  <c r="BA277" i="1"/>
  <c r="BB277" i="1"/>
  <c r="BD277" i="1"/>
  <c r="BF277" i="1"/>
  <c r="BG277" i="1"/>
  <c r="BH277" i="1"/>
  <c r="BI277" i="1"/>
  <c r="BK277" i="1"/>
  <c r="BL277" i="1"/>
  <c r="BM277" i="1"/>
  <c r="BN277" i="1"/>
  <c r="BY277" i="1"/>
  <c r="BZ277" i="1"/>
  <c r="B278" i="1"/>
  <c r="G278" i="1"/>
  <c r="H278" i="1"/>
  <c r="I278" i="1"/>
  <c r="J278" i="1"/>
  <c r="BA278" i="1"/>
  <c r="BB278" i="1"/>
  <c r="BD278" i="1"/>
  <c r="BF278" i="1"/>
  <c r="BG278" i="1"/>
  <c r="BH278" i="1"/>
  <c r="BI278" i="1"/>
  <c r="BY278" i="1"/>
  <c r="BZ278" i="1"/>
  <c r="B279" i="1"/>
  <c r="G279" i="1"/>
  <c r="H279" i="1"/>
  <c r="I279" i="1"/>
  <c r="J279" i="1"/>
  <c r="BA279" i="1"/>
  <c r="BB279" i="1"/>
  <c r="BD279" i="1"/>
  <c r="BF279" i="1"/>
  <c r="BG279" i="1"/>
  <c r="BH279" i="1"/>
  <c r="BI279" i="1"/>
  <c r="BY279" i="1"/>
  <c r="BZ279" i="1"/>
  <c r="B280" i="1"/>
  <c r="G280" i="1"/>
  <c r="H280" i="1"/>
  <c r="I280" i="1"/>
  <c r="J280" i="1"/>
  <c r="BA280" i="1"/>
  <c r="BB280" i="1"/>
  <c r="BD280" i="1"/>
  <c r="BF280" i="1"/>
  <c r="BG280" i="1"/>
  <c r="BH280" i="1"/>
  <c r="BI280" i="1"/>
  <c r="BY280" i="1"/>
  <c r="BZ280" i="1"/>
  <c r="B281" i="1"/>
  <c r="G281" i="1"/>
  <c r="H281" i="1"/>
  <c r="I281" i="1"/>
  <c r="J281" i="1"/>
  <c r="BA281" i="1"/>
  <c r="BB281" i="1"/>
  <c r="BD281" i="1"/>
  <c r="BF281" i="1"/>
  <c r="BG281" i="1"/>
  <c r="BH281" i="1"/>
  <c r="BI281" i="1"/>
  <c r="BY281" i="1"/>
  <c r="BZ281" i="1"/>
  <c r="B282" i="1"/>
  <c r="G282" i="1"/>
  <c r="H282" i="1"/>
  <c r="I282" i="1"/>
  <c r="J282" i="1"/>
  <c r="BA282" i="1"/>
  <c r="BB282" i="1"/>
  <c r="BD282" i="1"/>
  <c r="BF282" i="1"/>
  <c r="BG282" i="1"/>
  <c r="BH282" i="1"/>
  <c r="BI282" i="1"/>
  <c r="BY282" i="1"/>
  <c r="BZ282" i="1"/>
  <c r="B283" i="1"/>
  <c r="G283" i="1"/>
  <c r="H283" i="1"/>
  <c r="I283" i="1"/>
  <c r="J283" i="1"/>
  <c r="BA283" i="1"/>
  <c r="BB283" i="1"/>
  <c r="BD283" i="1"/>
  <c r="BF283" i="1"/>
  <c r="BG283" i="1"/>
  <c r="BH283" i="1"/>
  <c r="BI283" i="1"/>
  <c r="BY283" i="1"/>
  <c r="BZ283" i="1"/>
  <c r="B284" i="1"/>
  <c r="G284" i="1"/>
  <c r="H284" i="1"/>
  <c r="I284" i="1"/>
  <c r="J284" i="1"/>
  <c r="BA284" i="1"/>
  <c r="BB284" i="1"/>
  <c r="BD284" i="1"/>
  <c r="BF284" i="1"/>
  <c r="BG284" i="1"/>
  <c r="BH284" i="1"/>
  <c r="BI284" i="1"/>
  <c r="BK284" i="1"/>
  <c r="BL284" i="1"/>
  <c r="BM284" i="1"/>
  <c r="BN284" i="1"/>
  <c r="BY284" i="1"/>
  <c r="BZ284" i="1"/>
  <c r="B285" i="1"/>
  <c r="G285" i="1"/>
  <c r="H285" i="1"/>
  <c r="I285" i="1"/>
  <c r="J285" i="1"/>
  <c r="BA285" i="1"/>
  <c r="BB285" i="1"/>
  <c r="BD285" i="1"/>
  <c r="BF285" i="1"/>
  <c r="BG285" i="1"/>
  <c r="BH285" i="1"/>
  <c r="BI285" i="1"/>
  <c r="BK285" i="1"/>
  <c r="BL285" i="1"/>
  <c r="BM285" i="1"/>
  <c r="BN285" i="1"/>
  <c r="BY285" i="1"/>
  <c r="BZ285" i="1"/>
  <c r="B286" i="1"/>
  <c r="G286" i="1"/>
  <c r="H286" i="1"/>
  <c r="I286" i="1"/>
  <c r="J286" i="1"/>
  <c r="BA286" i="1"/>
  <c r="BB286" i="1"/>
  <c r="BD286" i="1"/>
  <c r="BF286" i="1"/>
  <c r="BG286" i="1"/>
  <c r="BH286" i="1"/>
  <c r="BI286" i="1"/>
  <c r="BY286" i="1"/>
  <c r="BZ286" i="1"/>
  <c r="B287" i="1"/>
  <c r="G287" i="1"/>
  <c r="H287" i="1"/>
  <c r="I287" i="1"/>
  <c r="J287" i="1"/>
  <c r="BA287" i="1"/>
  <c r="BB287" i="1"/>
  <c r="BD287" i="1"/>
  <c r="BF287" i="1"/>
  <c r="BG287" i="1"/>
  <c r="BH287" i="1"/>
  <c r="BI287" i="1"/>
  <c r="BY287" i="1"/>
  <c r="BZ287" i="1"/>
  <c r="B288" i="1"/>
  <c r="G288" i="1"/>
  <c r="H288" i="1"/>
  <c r="I288" i="1"/>
  <c r="J288" i="1"/>
  <c r="BA288" i="1"/>
  <c r="BB288" i="1"/>
  <c r="BD288" i="1"/>
  <c r="BF288" i="1"/>
  <c r="BG288" i="1"/>
  <c r="BH288" i="1"/>
  <c r="BI288" i="1"/>
  <c r="BY288" i="1"/>
  <c r="BZ288" i="1"/>
  <c r="B289" i="1"/>
  <c r="G289" i="1"/>
  <c r="H289" i="1"/>
  <c r="I289" i="1"/>
  <c r="J289" i="1"/>
  <c r="BA289" i="1"/>
  <c r="BB289" i="1"/>
  <c r="BD289" i="1"/>
  <c r="BF289" i="1"/>
  <c r="BG289" i="1"/>
  <c r="BH289" i="1"/>
  <c r="BI289" i="1"/>
  <c r="BY289" i="1"/>
  <c r="BZ289" i="1"/>
  <c r="B290" i="1"/>
  <c r="G290" i="1"/>
  <c r="H290" i="1"/>
  <c r="I290" i="1"/>
  <c r="J290" i="1"/>
  <c r="BA290" i="1"/>
  <c r="BB290" i="1"/>
  <c r="BD290" i="1"/>
  <c r="BF290" i="1"/>
  <c r="BG290" i="1"/>
  <c r="BH290" i="1"/>
  <c r="BI290" i="1"/>
  <c r="BY290" i="1"/>
  <c r="BZ290" i="1"/>
  <c r="B291" i="1"/>
  <c r="G291" i="1"/>
  <c r="H291" i="1"/>
  <c r="I291" i="1"/>
  <c r="J291" i="1"/>
  <c r="BA291" i="1"/>
  <c r="BB291" i="1"/>
  <c r="BD291" i="1"/>
  <c r="BF291" i="1"/>
  <c r="BG291" i="1"/>
  <c r="BH291" i="1"/>
  <c r="BI291" i="1"/>
  <c r="BY291" i="1"/>
  <c r="BZ291" i="1"/>
  <c r="B292" i="1"/>
  <c r="G292" i="1"/>
  <c r="H292" i="1"/>
  <c r="I292" i="1"/>
  <c r="J292" i="1"/>
  <c r="BA292" i="1"/>
  <c r="BB292" i="1"/>
  <c r="BD292" i="1"/>
  <c r="BF292" i="1"/>
  <c r="BG292" i="1"/>
  <c r="BH292" i="1"/>
  <c r="BI292" i="1"/>
  <c r="BY292" i="1"/>
  <c r="BZ292" i="1"/>
  <c r="B293" i="1"/>
  <c r="G293" i="1"/>
  <c r="H293" i="1"/>
  <c r="I293" i="1"/>
  <c r="J293" i="1"/>
  <c r="BA293" i="1"/>
  <c r="BB293" i="1"/>
  <c r="BD293" i="1"/>
  <c r="BF293" i="1"/>
  <c r="BG293" i="1"/>
  <c r="BH293" i="1"/>
  <c r="BI293" i="1"/>
  <c r="BY293" i="1"/>
  <c r="BZ293" i="1"/>
  <c r="B294" i="1"/>
  <c r="G294" i="1"/>
  <c r="H294" i="1"/>
  <c r="I294" i="1"/>
  <c r="J294" i="1"/>
  <c r="BA294" i="1"/>
  <c r="BB294" i="1"/>
  <c r="BD294" i="1"/>
  <c r="BF294" i="1"/>
  <c r="BG294" i="1"/>
  <c r="BH294" i="1"/>
  <c r="BI294" i="1"/>
  <c r="BY294" i="1"/>
  <c r="BZ294" i="1"/>
  <c r="B295" i="1"/>
  <c r="G295" i="1"/>
  <c r="H295" i="1"/>
  <c r="I295" i="1"/>
  <c r="J295" i="1"/>
  <c r="BA295" i="1"/>
  <c r="BB295" i="1"/>
  <c r="BD295" i="1"/>
  <c r="BF295" i="1"/>
  <c r="BG295" i="1"/>
  <c r="BH295" i="1"/>
  <c r="BI295" i="1"/>
  <c r="BY295" i="1"/>
  <c r="BZ295" i="1"/>
  <c r="B296" i="1"/>
  <c r="G296" i="1"/>
  <c r="H296" i="1"/>
  <c r="I296" i="1"/>
  <c r="J296" i="1"/>
  <c r="BA296" i="1"/>
  <c r="BB296" i="1"/>
  <c r="BD296" i="1"/>
  <c r="BF296" i="1"/>
  <c r="BG296" i="1"/>
  <c r="BH296" i="1"/>
  <c r="BI296" i="1"/>
  <c r="BK296" i="1"/>
  <c r="BL296" i="1"/>
  <c r="BM296" i="1"/>
  <c r="BN296" i="1"/>
  <c r="BY296" i="1"/>
  <c r="BZ296" i="1"/>
  <c r="B297" i="1"/>
  <c r="G297" i="1"/>
  <c r="H297" i="1"/>
  <c r="I297" i="1"/>
  <c r="J297" i="1"/>
  <c r="BA297" i="1"/>
  <c r="BB297" i="1"/>
  <c r="BD297" i="1"/>
  <c r="BF297" i="1"/>
  <c r="BG297" i="1"/>
  <c r="BH297" i="1"/>
  <c r="BI297" i="1"/>
  <c r="BY297" i="1"/>
  <c r="BZ297" i="1"/>
  <c r="B298" i="1"/>
  <c r="G298" i="1"/>
  <c r="H298" i="1"/>
  <c r="I298" i="1"/>
  <c r="J298" i="1"/>
  <c r="BA298" i="1"/>
  <c r="BB298" i="1"/>
  <c r="BD298" i="1"/>
  <c r="BF298" i="1"/>
  <c r="BG298" i="1"/>
  <c r="BH298" i="1"/>
  <c r="BI298" i="1"/>
  <c r="BY298" i="1"/>
  <c r="BZ298" i="1"/>
  <c r="B299" i="1"/>
  <c r="G299" i="1"/>
  <c r="H299" i="1"/>
  <c r="I299" i="1"/>
  <c r="J299" i="1"/>
  <c r="BA299" i="1"/>
  <c r="BB299" i="1"/>
  <c r="BD299" i="1"/>
  <c r="BF299" i="1"/>
  <c r="BG299" i="1"/>
  <c r="BH299" i="1"/>
  <c r="BI299" i="1"/>
  <c r="BY299" i="1"/>
  <c r="BZ299" i="1"/>
  <c r="B300" i="1"/>
  <c r="G300" i="1"/>
  <c r="H300" i="1"/>
  <c r="I300" i="1"/>
  <c r="J300" i="1"/>
  <c r="BA300" i="1"/>
  <c r="BB300" i="1"/>
  <c r="BD300" i="1"/>
  <c r="BF300" i="1"/>
  <c r="BG300" i="1"/>
  <c r="BH300" i="1"/>
  <c r="BI300" i="1"/>
  <c r="BY300" i="1"/>
  <c r="BZ300" i="1"/>
  <c r="B301" i="1"/>
  <c r="G301" i="1"/>
  <c r="H301" i="1"/>
  <c r="I301" i="1"/>
  <c r="J301" i="1"/>
  <c r="BA301" i="1"/>
  <c r="BB301" i="1"/>
  <c r="BD301" i="1"/>
  <c r="BF301" i="1"/>
  <c r="BG301" i="1"/>
  <c r="BH301" i="1"/>
  <c r="BI301" i="1"/>
  <c r="BK301" i="1"/>
  <c r="BL301" i="1"/>
  <c r="BM301" i="1"/>
  <c r="BN301" i="1"/>
  <c r="BY301" i="1"/>
  <c r="BZ301" i="1"/>
  <c r="B302" i="1"/>
  <c r="G302" i="1"/>
  <c r="H302" i="1"/>
  <c r="I302" i="1"/>
  <c r="J302" i="1"/>
  <c r="BA302" i="1"/>
  <c r="BB302" i="1"/>
  <c r="BD302" i="1"/>
  <c r="BF302" i="1"/>
  <c r="BG302" i="1"/>
  <c r="BH302" i="1"/>
  <c r="BI302" i="1"/>
  <c r="BK302" i="1"/>
  <c r="BL302" i="1"/>
  <c r="BM302" i="1"/>
  <c r="BN302" i="1"/>
  <c r="BY302" i="1"/>
  <c r="BZ302" i="1"/>
  <c r="B303" i="1"/>
  <c r="G303" i="1"/>
  <c r="H303" i="1"/>
  <c r="I303" i="1"/>
  <c r="J303" i="1"/>
  <c r="BA303" i="1"/>
  <c r="BB303" i="1"/>
  <c r="BD303" i="1"/>
  <c r="BF303" i="1"/>
  <c r="BG303" i="1"/>
  <c r="BH303" i="1"/>
  <c r="BI303" i="1"/>
  <c r="BK303" i="1"/>
  <c r="BL303" i="1"/>
  <c r="BM303" i="1"/>
  <c r="BN303" i="1"/>
  <c r="BY303" i="1"/>
  <c r="BZ303" i="1"/>
  <c r="B304" i="1"/>
  <c r="G304" i="1"/>
  <c r="H304" i="1"/>
  <c r="I304" i="1"/>
  <c r="J304" i="1"/>
  <c r="BA304" i="1"/>
  <c r="BB304" i="1"/>
  <c r="BD304" i="1"/>
  <c r="BF304" i="1"/>
  <c r="BG304" i="1"/>
  <c r="BH304" i="1"/>
  <c r="BI304" i="1"/>
  <c r="BK304" i="1"/>
  <c r="BL304" i="1"/>
  <c r="BM304" i="1"/>
  <c r="BN304" i="1"/>
  <c r="BY304" i="1"/>
  <c r="BZ304" i="1"/>
  <c r="B305" i="1"/>
  <c r="G305" i="1"/>
  <c r="H305" i="1"/>
  <c r="I305" i="1"/>
  <c r="J305" i="1"/>
  <c r="BA305" i="1"/>
  <c r="BB305" i="1"/>
  <c r="BD305" i="1"/>
  <c r="BF305" i="1"/>
  <c r="BG305" i="1"/>
  <c r="BH305" i="1"/>
  <c r="BI305" i="1"/>
  <c r="BY305" i="1"/>
  <c r="BZ305" i="1"/>
  <c r="B306" i="1"/>
  <c r="G306" i="1"/>
  <c r="H306" i="1"/>
  <c r="I306" i="1"/>
  <c r="J306" i="1"/>
  <c r="BA306" i="1"/>
  <c r="BB306" i="1"/>
  <c r="BD306" i="1"/>
  <c r="BF306" i="1"/>
  <c r="BG306" i="1"/>
  <c r="BH306" i="1"/>
  <c r="BI306" i="1"/>
  <c r="BY306" i="1"/>
  <c r="BZ306" i="1"/>
  <c r="B307" i="1"/>
  <c r="G307" i="1"/>
  <c r="H307" i="1"/>
  <c r="I307" i="1"/>
  <c r="J307" i="1"/>
  <c r="BA307" i="1"/>
  <c r="BB307" i="1"/>
  <c r="BD307" i="1"/>
  <c r="BF307" i="1"/>
  <c r="BG307" i="1"/>
  <c r="BH307" i="1"/>
  <c r="BI307" i="1"/>
  <c r="BY307" i="1"/>
  <c r="BZ307" i="1"/>
  <c r="B308" i="1"/>
  <c r="G308" i="1"/>
  <c r="H308" i="1"/>
  <c r="I308" i="1"/>
  <c r="J308" i="1"/>
  <c r="BA308" i="1"/>
  <c r="BB308" i="1"/>
  <c r="BD308" i="1"/>
  <c r="BF308" i="1"/>
  <c r="BG308" i="1"/>
  <c r="BH308" i="1"/>
  <c r="BI308" i="1"/>
  <c r="BK308" i="1"/>
  <c r="BL308" i="1"/>
  <c r="BM308" i="1"/>
  <c r="BN308" i="1"/>
  <c r="BY308" i="1"/>
  <c r="BZ308" i="1"/>
  <c r="B309" i="1"/>
  <c r="G309" i="1"/>
  <c r="H309" i="1"/>
  <c r="I309" i="1"/>
  <c r="J309" i="1"/>
  <c r="BA309" i="1"/>
  <c r="BB309" i="1"/>
  <c r="BD309" i="1"/>
  <c r="BF309" i="1"/>
  <c r="BG309" i="1"/>
  <c r="BH309" i="1"/>
  <c r="BI309" i="1"/>
  <c r="BY309" i="1"/>
  <c r="BZ309" i="1"/>
  <c r="B310" i="1"/>
  <c r="G310" i="1"/>
  <c r="H310" i="1"/>
  <c r="I310" i="1"/>
  <c r="J310" i="1"/>
  <c r="BA310" i="1"/>
  <c r="BB310" i="1"/>
  <c r="BD310" i="1"/>
  <c r="BF310" i="1"/>
  <c r="BG310" i="1"/>
  <c r="BH310" i="1"/>
  <c r="BI310" i="1"/>
  <c r="BY310" i="1"/>
  <c r="BZ310" i="1"/>
  <c r="B311" i="1"/>
  <c r="G311" i="1"/>
  <c r="H311" i="1"/>
  <c r="I311" i="1"/>
  <c r="J311" i="1"/>
  <c r="BA311" i="1"/>
  <c r="BB311" i="1"/>
  <c r="BD311" i="1"/>
  <c r="BF311" i="1"/>
  <c r="BG311" i="1"/>
  <c r="BH311" i="1"/>
  <c r="BI311" i="1"/>
  <c r="BY311" i="1"/>
  <c r="BZ311" i="1"/>
  <c r="B312" i="1"/>
  <c r="G312" i="1"/>
  <c r="H312" i="1"/>
  <c r="I312" i="1"/>
  <c r="J312" i="1"/>
  <c r="BA312" i="1"/>
  <c r="BB312" i="1"/>
  <c r="BD312" i="1"/>
  <c r="BF312" i="1"/>
  <c r="BG312" i="1"/>
  <c r="BH312" i="1"/>
  <c r="BI312" i="1"/>
  <c r="BY312" i="1"/>
  <c r="BZ312" i="1"/>
  <c r="B313" i="1"/>
  <c r="G313" i="1"/>
  <c r="H313" i="1"/>
  <c r="I313" i="1"/>
  <c r="J313" i="1"/>
  <c r="BA313" i="1"/>
  <c r="BB313" i="1"/>
  <c r="BD313" i="1"/>
  <c r="BF313" i="1"/>
  <c r="BG313" i="1"/>
  <c r="BH313" i="1"/>
  <c r="BI313" i="1"/>
  <c r="BY313" i="1"/>
  <c r="BZ313" i="1"/>
  <c r="B314" i="1"/>
  <c r="G314" i="1"/>
  <c r="H314" i="1"/>
  <c r="I314" i="1"/>
  <c r="J314" i="1"/>
  <c r="BA314" i="1"/>
  <c r="BB314" i="1"/>
  <c r="BD314" i="1"/>
  <c r="BF314" i="1"/>
  <c r="BG314" i="1"/>
  <c r="BH314" i="1"/>
  <c r="BI314" i="1"/>
  <c r="BK314" i="1"/>
  <c r="BL314" i="1"/>
  <c r="BM314" i="1"/>
  <c r="BN314" i="1"/>
  <c r="BP314" i="1"/>
  <c r="BQ314" i="1"/>
  <c r="BR314" i="1"/>
  <c r="BS314" i="1"/>
  <c r="BY314" i="1"/>
  <c r="BZ314" i="1"/>
  <c r="B315" i="1"/>
  <c r="G315" i="1"/>
  <c r="H315" i="1"/>
  <c r="I315" i="1"/>
  <c r="J315" i="1"/>
  <c r="BA315" i="1"/>
  <c r="BB315" i="1"/>
  <c r="BD315" i="1"/>
  <c r="BF315" i="1"/>
  <c r="BG315" i="1"/>
  <c r="BH315" i="1"/>
  <c r="BI315" i="1"/>
  <c r="BK315" i="1"/>
  <c r="BL315" i="1"/>
  <c r="BM315" i="1"/>
  <c r="BN315" i="1"/>
  <c r="BP315" i="1"/>
  <c r="BQ315" i="1"/>
  <c r="BR315" i="1"/>
  <c r="BS315" i="1"/>
  <c r="BY315" i="1"/>
  <c r="BZ315" i="1"/>
  <c r="B316" i="1"/>
  <c r="G316" i="1"/>
  <c r="H316" i="1"/>
  <c r="I316" i="1"/>
  <c r="J316" i="1"/>
  <c r="BA316" i="1"/>
  <c r="BB316" i="1"/>
  <c r="BD316" i="1"/>
  <c r="BF316" i="1"/>
  <c r="BG316" i="1"/>
  <c r="BH316" i="1"/>
  <c r="BI316" i="1"/>
  <c r="BK316" i="1"/>
  <c r="BL316" i="1"/>
  <c r="BM316" i="1"/>
  <c r="BN316" i="1"/>
  <c r="BP316" i="1"/>
  <c r="BQ316" i="1"/>
  <c r="BR316" i="1"/>
  <c r="BS316" i="1"/>
  <c r="BY316" i="1"/>
  <c r="BZ316" i="1"/>
  <c r="B317" i="1"/>
  <c r="G317" i="1"/>
  <c r="H317" i="1"/>
  <c r="I317" i="1"/>
  <c r="J317" i="1"/>
  <c r="BA317" i="1"/>
  <c r="BB317" i="1"/>
  <c r="BD317" i="1"/>
  <c r="BF317" i="1"/>
  <c r="BG317" i="1"/>
  <c r="BH317" i="1"/>
  <c r="BI317" i="1"/>
  <c r="BK317" i="1"/>
  <c r="BL317" i="1"/>
  <c r="BM317" i="1"/>
  <c r="BN317" i="1"/>
  <c r="BY317" i="1"/>
  <c r="BZ317" i="1"/>
  <c r="B318" i="1"/>
  <c r="G318" i="1"/>
  <c r="H318" i="1"/>
  <c r="I318" i="1"/>
  <c r="J318" i="1"/>
  <c r="BA318" i="1"/>
  <c r="BB318" i="1"/>
  <c r="BD318" i="1"/>
  <c r="BF318" i="1"/>
  <c r="BG318" i="1"/>
  <c r="BH318" i="1"/>
  <c r="BI318" i="1"/>
  <c r="BK318" i="1"/>
  <c r="BL318" i="1"/>
  <c r="BM318" i="1"/>
  <c r="BN318" i="1"/>
  <c r="BY318" i="1"/>
  <c r="BZ318" i="1"/>
  <c r="B319" i="1"/>
  <c r="G319" i="1"/>
  <c r="H319" i="1"/>
  <c r="I319" i="1"/>
  <c r="J319" i="1"/>
  <c r="BA319" i="1"/>
  <c r="BB319" i="1"/>
  <c r="BD319" i="1"/>
  <c r="BF319" i="1"/>
  <c r="BG319" i="1"/>
  <c r="BH319" i="1"/>
  <c r="BI319" i="1"/>
  <c r="BK319" i="1"/>
  <c r="BL319" i="1"/>
  <c r="BM319" i="1"/>
  <c r="BN319" i="1"/>
  <c r="BY319" i="1"/>
  <c r="BZ319" i="1"/>
  <c r="B320" i="1"/>
  <c r="G320" i="1"/>
  <c r="H320" i="1"/>
  <c r="I320" i="1"/>
  <c r="J320" i="1"/>
  <c r="BA320" i="1"/>
  <c r="BB320" i="1"/>
  <c r="BD320" i="1"/>
  <c r="BF320" i="1"/>
  <c r="BG320" i="1"/>
  <c r="BH320" i="1"/>
  <c r="BI320" i="1"/>
  <c r="BY320" i="1"/>
  <c r="BZ320" i="1"/>
  <c r="B321" i="1"/>
  <c r="G321" i="1"/>
  <c r="H321" i="1"/>
  <c r="I321" i="1"/>
  <c r="J321" i="1"/>
  <c r="BA321" i="1"/>
  <c r="BB321" i="1"/>
  <c r="BD321" i="1"/>
  <c r="BF321" i="1"/>
  <c r="BG321" i="1"/>
  <c r="BH321" i="1"/>
  <c r="BI321" i="1"/>
  <c r="BY321" i="1"/>
  <c r="BZ321" i="1"/>
  <c r="B322" i="1"/>
  <c r="G322" i="1"/>
  <c r="H322" i="1"/>
  <c r="I322" i="1"/>
  <c r="J322" i="1"/>
  <c r="BA322" i="1"/>
  <c r="BB322" i="1"/>
  <c r="BD322" i="1"/>
  <c r="BF322" i="1"/>
  <c r="BG322" i="1"/>
  <c r="BH322" i="1"/>
  <c r="BI322" i="1"/>
  <c r="BY322" i="1"/>
  <c r="BZ322" i="1"/>
  <c r="B323" i="1"/>
  <c r="G323" i="1"/>
  <c r="H323" i="1"/>
  <c r="I323" i="1"/>
  <c r="J323" i="1"/>
  <c r="BA323" i="1"/>
  <c r="BB323" i="1"/>
  <c r="BD323" i="1"/>
  <c r="BF323" i="1"/>
  <c r="BG323" i="1"/>
  <c r="BH323" i="1"/>
  <c r="BI323" i="1"/>
  <c r="BY323" i="1"/>
  <c r="BZ323" i="1"/>
  <c r="B324" i="1"/>
  <c r="G324" i="1"/>
  <c r="H324" i="1"/>
  <c r="I324" i="1"/>
  <c r="J324" i="1"/>
  <c r="BA324" i="1"/>
  <c r="BB324" i="1"/>
  <c r="BD324" i="1"/>
  <c r="BF324" i="1"/>
  <c r="BG324" i="1"/>
  <c r="BH324" i="1"/>
  <c r="BI324" i="1"/>
  <c r="BY324" i="1"/>
  <c r="BZ324" i="1"/>
  <c r="B325" i="1"/>
  <c r="G325" i="1"/>
  <c r="H325" i="1"/>
  <c r="I325" i="1"/>
  <c r="J325" i="1"/>
  <c r="BA325" i="1"/>
  <c r="BB325" i="1"/>
  <c r="BD325" i="1"/>
  <c r="BF325" i="1"/>
  <c r="BG325" i="1"/>
  <c r="BH325" i="1"/>
  <c r="BI325" i="1"/>
  <c r="BY325" i="1"/>
  <c r="BZ325" i="1"/>
  <c r="B326" i="1"/>
  <c r="G326" i="1"/>
  <c r="H326" i="1"/>
  <c r="I326" i="1"/>
  <c r="J326" i="1"/>
  <c r="BA326" i="1"/>
  <c r="BB326" i="1"/>
  <c r="BD326" i="1"/>
  <c r="BF326" i="1"/>
  <c r="BG326" i="1"/>
  <c r="BH326" i="1"/>
  <c r="BI326" i="1"/>
  <c r="BY326" i="1"/>
  <c r="BZ326" i="1"/>
  <c r="B327" i="1"/>
  <c r="G327" i="1"/>
  <c r="H327" i="1"/>
  <c r="I327" i="1"/>
  <c r="J327" i="1"/>
  <c r="BA327" i="1"/>
  <c r="BB327" i="1"/>
  <c r="BD327" i="1"/>
  <c r="BF327" i="1"/>
  <c r="BG327" i="1"/>
  <c r="BH327" i="1"/>
  <c r="BI327" i="1"/>
  <c r="BY327" i="1"/>
  <c r="BZ327" i="1"/>
  <c r="B328" i="1"/>
  <c r="G328" i="1"/>
  <c r="H328" i="1"/>
  <c r="I328" i="1"/>
  <c r="J328" i="1"/>
  <c r="BA328" i="1"/>
  <c r="BB328" i="1"/>
  <c r="BD328" i="1"/>
  <c r="BF328" i="1"/>
  <c r="BG328" i="1"/>
  <c r="BH328" i="1"/>
  <c r="BI328" i="1"/>
  <c r="BY328" i="1"/>
  <c r="BZ328" i="1"/>
  <c r="B329" i="1"/>
  <c r="G329" i="1"/>
  <c r="H329" i="1"/>
  <c r="I329" i="1"/>
  <c r="J329" i="1"/>
  <c r="BA329" i="1"/>
  <c r="BB329" i="1"/>
  <c r="BD329" i="1"/>
  <c r="BF329" i="1"/>
  <c r="BG329" i="1"/>
  <c r="BH329" i="1"/>
  <c r="BI329" i="1"/>
  <c r="BY329" i="1"/>
  <c r="BZ329" i="1"/>
  <c r="B330" i="1"/>
  <c r="G330" i="1"/>
  <c r="H330" i="1"/>
  <c r="I330" i="1"/>
  <c r="J330" i="1"/>
  <c r="BA330" i="1"/>
  <c r="BB330" i="1"/>
  <c r="BD330" i="1"/>
  <c r="BF330" i="1"/>
  <c r="BG330" i="1"/>
  <c r="BH330" i="1"/>
  <c r="BI330" i="1"/>
  <c r="BY330" i="1"/>
  <c r="BZ330" i="1"/>
  <c r="B331" i="1"/>
  <c r="G331" i="1"/>
  <c r="H331" i="1"/>
  <c r="I331" i="1"/>
  <c r="J331" i="1"/>
  <c r="BA331" i="1"/>
  <c r="BB331" i="1"/>
  <c r="BD331" i="1"/>
  <c r="BF331" i="1"/>
  <c r="BG331" i="1"/>
  <c r="BH331" i="1"/>
  <c r="BI331" i="1"/>
  <c r="BY331" i="1"/>
  <c r="BZ331" i="1"/>
  <c r="B332" i="1"/>
  <c r="G332" i="1"/>
  <c r="H332" i="1"/>
  <c r="I332" i="1"/>
  <c r="J332" i="1"/>
  <c r="BA332" i="1"/>
  <c r="BB332" i="1"/>
  <c r="BD332" i="1"/>
  <c r="BF332" i="1"/>
  <c r="BG332" i="1"/>
  <c r="BH332" i="1"/>
  <c r="BI332" i="1"/>
  <c r="BY332" i="1"/>
  <c r="BZ332" i="1"/>
  <c r="B333" i="1"/>
  <c r="G333" i="1"/>
  <c r="H333" i="1"/>
  <c r="I333" i="1"/>
  <c r="J333" i="1"/>
  <c r="BA333" i="1"/>
  <c r="BB333" i="1"/>
  <c r="BD333" i="1"/>
  <c r="BF333" i="1"/>
  <c r="BG333" i="1"/>
  <c r="BH333" i="1"/>
  <c r="BI333" i="1"/>
  <c r="BY333" i="1"/>
  <c r="BZ333" i="1"/>
  <c r="B334" i="1"/>
  <c r="G334" i="1"/>
  <c r="H334" i="1"/>
  <c r="I334" i="1"/>
  <c r="J334" i="1"/>
  <c r="BA334" i="1"/>
  <c r="BB334" i="1"/>
  <c r="BD334" i="1"/>
  <c r="BF334" i="1"/>
  <c r="BG334" i="1"/>
  <c r="BH334" i="1"/>
  <c r="BI334" i="1"/>
  <c r="BY334" i="1"/>
  <c r="BZ334" i="1"/>
  <c r="B335" i="1"/>
  <c r="G335" i="1"/>
  <c r="H335" i="1"/>
  <c r="I335" i="1"/>
  <c r="J335" i="1"/>
  <c r="BA335" i="1"/>
  <c r="BB335" i="1"/>
  <c r="BD335" i="1"/>
  <c r="BF335" i="1"/>
  <c r="BG335" i="1"/>
  <c r="BH335" i="1"/>
  <c r="BI335" i="1"/>
  <c r="BY335" i="1"/>
  <c r="BZ335" i="1"/>
  <c r="B336" i="1"/>
  <c r="G336" i="1"/>
  <c r="H336" i="1"/>
  <c r="I336" i="1"/>
  <c r="J336" i="1"/>
  <c r="BA336" i="1"/>
  <c r="BB336" i="1"/>
  <c r="BD336" i="1"/>
  <c r="BF336" i="1"/>
  <c r="BG336" i="1"/>
  <c r="BH336" i="1"/>
  <c r="BI336" i="1"/>
  <c r="BY336" i="1"/>
  <c r="BZ336" i="1"/>
  <c r="B337" i="1"/>
  <c r="G337" i="1"/>
  <c r="H337" i="1"/>
  <c r="I337" i="1"/>
  <c r="J337" i="1"/>
  <c r="BA337" i="1"/>
  <c r="BB337" i="1"/>
  <c r="BD337" i="1"/>
  <c r="BF337" i="1"/>
  <c r="BG337" i="1"/>
  <c r="BH337" i="1"/>
  <c r="BI337" i="1"/>
  <c r="BY337" i="1"/>
  <c r="BZ337" i="1"/>
  <c r="B338" i="1"/>
  <c r="G338" i="1"/>
  <c r="H338" i="1"/>
  <c r="I338" i="1"/>
  <c r="J338" i="1"/>
  <c r="BA338" i="1"/>
  <c r="BB338" i="1"/>
  <c r="BD338" i="1"/>
  <c r="BF338" i="1"/>
  <c r="BG338" i="1"/>
  <c r="BH338" i="1"/>
  <c r="BI338" i="1"/>
  <c r="BY338" i="1"/>
  <c r="BZ338" i="1"/>
  <c r="B339" i="1"/>
  <c r="G339" i="1"/>
  <c r="H339" i="1"/>
  <c r="I339" i="1"/>
  <c r="J339" i="1"/>
  <c r="BA339" i="1"/>
  <c r="BB339" i="1"/>
  <c r="BD339" i="1"/>
  <c r="BF339" i="1"/>
  <c r="BG339" i="1"/>
  <c r="BH339" i="1"/>
  <c r="BI339" i="1"/>
  <c r="BY339" i="1"/>
  <c r="BZ339" i="1"/>
  <c r="B340" i="1"/>
  <c r="G340" i="1"/>
  <c r="H340" i="1"/>
  <c r="I340" i="1"/>
  <c r="J340" i="1"/>
  <c r="BA340" i="1"/>
  <c r="BB340" i="1"/>
  <c r="BD340" i="1"/>
  <c r="BF340" i="1"/>
  <c r="BG340" i="1"/>
  <c r="BH340" i="1"/>
  <c r="BI340" i="1"/>
  <c r="BK340" i="1"/>
  <c r="BL340" i="1"/>
  <c r="BM340" i="1"/>
  <c r="BN340" i="1"/>
  <c r="BY340" i="1"/>
  <c r="BZ340" i="1"/>
  <c r="B341" i="1"/>
  <c r="G341" i="1"/>
  <c r="H341" i="1"/>
  <c r="I341" i="1"/>
  <c r="J341" i="1"/>
  <c r="BA341" i="1"/>
  <c r="BB341" i="1"/>
  <c r="BD341" i="1"/>
  <c r="BF341" i="1"/>
  <c r="BG341" i="1"/>
  <c r="BH341" i="1"/>
  <c r="BI341" i="1"/>
  <c r="BK341" i="1"/>
  <c r="BL341" i="1"/>
  <c r="BM341" i="1"/>
  <c r="BN341" i="1"/>
  <c r="BY341" i="1"/>
  <c r="BZ341" i="1"/>
  <c r="B342" i="1"/>
  <c r="G342" i="1"/>
  <c r="H342" i="1"/>
  <c r="I342" i="1"/>
  <c r="J342" i="1"/>
  <c r="BA342" i="1"/>
  <c r="BB342" i="1"/>
  <c r="BD342" i="1"/>
  <c r="BF342" i="1"/>
  <c r="BG342" i="1"/>
  <c r="BH342" i="1"/>
  <c r="BI342" i="1"/>
  <c r="BY342" i="1"/>
  <c r="BZ342" i="1"/>
  <c r="B343" i="1"/>
  <c r="G343" i="1"/>
  <c r="H343" i="1"/>
  <c r="I343" i="1"/>
  <c r="J343" i="1"/>
  <c r="BA343" i="1"/>
  <c r="BB343" i="1"/>
  <c r="BD343" i="1"/>
  <c r="BF343" i="1"/>
  <c r="BG343" i="1"/>
  <c r="BH343" i="1"/>
  <c r="BI343" i="1"/>
  <c r="BY343" i="1"/>
  <c r="BZ343" i="1"/>
  <c r="B344" i="1"/>
  <c r="G344" i="1"/>
  <c r="H344" i="1"/>
  <c r="I344" i="1"/>
  <c r="J344" i="1"/>
  <c r="BA344" i="1"/>
  <c r="BB344" i="1"/>
  <c r="BD344" i="1"/>
  <c r="BF344" i="1"/>
  <c r="BG344" i="1"/>
  <c r="BH344" i="1"/>
  <c r="BI344" i="1"/>
  <c r="BY344" i="1"/>
  <c r="BZ344" i="1"/>
  <c r="B345" i="1"/>
  <c r="G345" i="1"/>
  <c r="H345" i="1"/>
  <c r="I345" i="1"/>
  <c r="J345" i="1"/>
  <c r="BA345" i="1"/>
  <c r="BB345" i="1"/>
  <c r="BD345" i="1"/>
  <c r="BF345" i="1"/>
  <c r="BG345" i="1"/>
  <c r="BH345" i="1"/>
  <c r="BI345" i="1"/>
  <c r="BK345" i="1"/>
  <c r="BL345" i="1"/>
  <c r="BM345" i="1"/>
  <c r="BN345" i="1"/>
  <c r="BY345" i="1"/>
  <c r="BZ345" i="1"/>
  <c r="B346" i="1"/>
  <c r="G346" i="1"/>
  <c r="H346" i="1"/>
  <c r="I346" i="1"/>
  <c r="J346" i="1"/>
  <c r="BA346" i="1"/>
  <c r="BB346" i="1"/>
  <c r="BD346" i="1"/>
  <c r="BF346" i="1"/>
  <c r="BG346" i="1"/>
  <c r="BH346" i="1"/>
  <c r="BI346" i="1"/>
  <c r="BY346" i="1"/>
  <c r="BZ346" i="1"/>
  <c r="B347" i="1"/>
  <c r="G347" i="1"/>
  <c r="H347" i="1"/>
  <c r="I347" i="1"/>
  <c r="J347" i="1"/>
  <c r="BA347" i="1"/>
  <c r="BB347" i="1"/>
  <c r="BD347" i="1"/>
  <c r="BF347" i="1"/>
  <c r="BG347" i="1"/>
  <c r="BH347" i="1"/>
  <c r="BI347" i="1"/>
  <c r="BK347" i="1"/>
  <c r="BL347" i="1"/>
  <c r="BM347" i="1"/>
  <c r="BN347" i="1"/>
  <c r="BP347" i="1"/>
  <c r="BQ347" i="1"/>
  <c r="BR347" i="1"/>
  <c r="BS347" i="1"/>
  <c r="BY347" i="1"/>
  <c r="BZ347" i="1"/>
  <c r="B348" i="1"/>
  <c r="G348" i="1"/>
  <c r="H348" i="1"/>
  <c r="I348" i="1"/>
  <c r="J348" i="1"/>
  <c r="BA348" i="1"/>
  <c r="BB348" i="1"/>
  <c r="BD348" i="1"/>
  <c r="BF348" i="1"/>
  <c r="BG348" i="1"/>
  <c r="BH348" i="1"/>
  <c r="BI348" i="1"/>
  <c r="BK348" i="1"/>
  <c r="BL348" i="1"/>
  <c r="BM348" i="1"/>
  <c r="BN348" i="1"/>
  <c r="BP348" i="1"/>
  <c r="BQ348" i="1"/>
  <c r="BR348" i="1"/>
  <c r="BS348" i="1"/>
  <c r="BY348" i="1"/>
  <c r="BZ348" i="1"/>
  <c r="B349" i="1"/>
  <c r="G349" i="1"/>
  <c r="H349" i="1"/>
  <c r="I349" i="1"/>
  <c r="J349" i="1"/>
  <c r="BA349" i="1"/>
  <c r="BB349" i="1"/>
  <c r="BD349" i="1"/>
  <c r="BF349" i="1"/>
  <c r="BG349" i="1"/>
  <c r="BH349" i="1"/>
  <c r="BI349" i="1"/>
  <c r="BY349" i="1"/>
  <c r="BZ349" i="1"/>
  <c r="B350" i="1"/>
  <c r="G350" i="1"/>
  <c r="H350" i="1"/>
  <c r="I350" i="1"/>
  <c r="J350" i="1"/>
  <c r="BA350" i="1"/>
  <c r="BB350" i="1"/>
  <c r="BD350" i="1"/>
  <c r="BF350" i="1"/>
  <c r="BG350" i="1"/>
  <c r="BH350" i="1"/>
  <c r="BI350" i="1"/>
  <c r="BY350" i="1"/>
  <c r="BZ350" i="1"/>
  <c r="B351" i="1"/>
  <c r="G351" i="1"/>
  <c r="H351" i="1"/>
  <c r="I351" i="1"/>
  <c r="J351" i="1"/>
  <c r="BA351" i="1"/>
  <c r="BB351" i="1"/>
  <c r="BD351" i="1"/>
  <c r="BF351" i="1"/>
  <c r="BG351" i="1"/>
  <c r="BH351" i="1"/>
  <c r="BI351" i="1"/>
  <c r="BY351" i="1"/>
  <c r="BZ351" i="1"/>
  <c r="B352" i="1"/>
  <c r="G352" i="1"/>
  <c r="H352" i="1"/>
  <c r="I352" i="1"/>
  <c r="J352" i="1"/>
  <c r="BA352" i="1"/>
  <c r="BB352" i="1"/>
  <c r="BD352" i="1"/>
  <c r="BF352" i="1"/>
  <c r="BG352" i="1"/>
  <c r="BH352" i="1"/>
  <c r="BI352" i="1"/>
  <c r="BY352" i="1"/>
  <c r="BZ352" i="1"/>
  <c r="B353" i="1"/>
  <c r="G353" i="1"/>
  <c r="H353" i="1"/>
  <c r="I353" i="1"/>
  <c r="J353" i="1"/>
  <c r="BA353" i="1"/>
  <c r="BB353" i="1"/>
  <c r="BD353" i="1"/>
  <c r="BF353" i="1"/>
  <c r="BG353" i="1"/>
  <c r="BH353" i="1"/>
  <c r="BI353" i="1"/>
  <c r="BK353" i="1"/>
  <c r="BL353" i="1"/>
  <c r="BM353" i="1"/>
  <c r="BN353" i="1"/>
  <c r="BP353" i="1"/>
  <c r="BQ353" i="1"/>
  <c r="BR353" i="1"/>
  <c r="BS353" i="1"/>
  <c r="BY353" i="1"/>
  <c r="BZ353" i="1"/>
  <c r="B354" i="1"/>
  <c r="G354" i="1"/>
  <c r="H354" i="1"/>
  <c r="I354" i="1"/>
  <c r="J354" i="1"/>
  <c r="BA354" i="1"/>
  <c r="BB354" i="1"/>
  <c r="BD354" i="1"/>
  <c r="BF354" i="1"/>
  <c r="BG354" i="1"/>
  <c r="BH354" i="1"/>
  <c r="BI354" i="1"/>
  <c r="BK354" i="1"/>
  <c r="BL354" i="1"/>
  <c r="BM354" i="1"/>
  <c r="BN354" i="1"/>
  <c r="BP354" i="1"/>
  <c r="BQ354" i="1"/>
  <c r="BR354" i="1"/>
  <c r="BS354" i="1"/>
  <c r="BY354" i="1"/>
  <c r="BZ354" i="1"/>
  <c r="B355" i="1"/>
  <c r="G355" i="1"/>
  <c r="H355" i="1"/>
  <c r="I355" i="1"/>
  <c r="J355" i="1"/>
  <c r="BA355" i="1"/>
  <c r="BB355" i="1"/>
  <c r="BD355" i="1"/>
  <c r="BF355" i="1"/>
  <c r="BG355" i="1"/>
  <c r="BH355" i="1"/>
  <c r="BI355" i="1"/>
  <c r="BY355" i="1"/>
  <c r="BZ355" i="1"/>
  <c r="B356" i="1"/>
  <c r="G356" i="1"/>
  <c r="H356" i="1"/>
  <c r="I356" i="1"/>
  <c r="J356" i="1"/>
  <c r="BA356" i="1"/>
  <c r="BB356" i="1"/>
  <c r="BD356" i="1"/>
  <c r="BF356" i="1"/>
  <c r="BG356" i="1"/>
  <c r="BH356" i="1"/>
  <c r="BI356" i="1"/>
  <c r="BY356" i="1"/>
  <c r="BZ356" i="1"/>
  <c r="B357" i="1"/>
  <c r="G357" i="1"/>
  <c r="H357" i="1"/>
  <c r="I357" i="1"/>
  <c r="J357" i="1"/>
  <c r="BA357" i="1"/>
  <c r="BB357" i="1"/>
  <c r="BD357" i="1"/>
  <c r="BF357" i="1"/>
  <c r="BG357" i="1"/>
  <c r="BH357" i="1"/>
  <c r="BI357" i="1"/>
  <c r="BY357" i="1"/>
  <c r="BZ357" i="1"/>
  <c r="B358" i="1"/>
  <c r="G358" i="1"/>
  <c r="H358" i="1"/>
  <c r="I358" i="1"/>
  <c r="J358" i="1"/>
  <c r="BA358" i="1"/>
  <c r="BB358" i="1"/>
  <c r="BD358" i="1"/>
  <c r="BF358" i="1"/>
  <c r="BG358" i="1"/>
  <c r="BH358" i="1"/>
  <c r="BI358" i="1"/>
  <c r="BY358" i="1"/>
  <c r="BZ358" i="1"/>
  <c r="B359" i="1"/>
  <c r="G359" i="1"/>
  <c r="H359" i="1"/>
  <c r="I359" i="1"/>
  <c r="J359" i="1"/>
  <c r="BA359" i="1"/>
  <c r="BB359" i="1"/>
  <c r="BD359" i="1"/>
  <c r="BF359" i="1"/>
  <c r="BG359" i="1"/>
  <c r="BH359" i="1"/>
  <c r="BI359" i="1"/>
  <c r="BY359" i="1"/>
  <c r="BZ359" i="1"/>
  <c r="B360" i="1"/>
  <c r="G360" i="1"/>
  <c r="H360" i="1"/>
  <c r="I360" i="1"/>
  <c r="J360" i="1"/>
  <c r="BA360" i="1"/>
  <c r="BB360" i="1"/>
  <c r="BD360" i="1"/>
  <c r="BF360" i="1"/>
  <c r="BG360" i="1"/>
  <c r="BH360" i="1"/>
  <c r="BI360" i="1"/>
  <c r="BY360" i="1"/>
  <c r="BZ360" i="1"/>
  <c r="B361" i="1"/>
  <c r="G361" i="1"/>
  <c r="H361" i="1"/>
  <c r="I361" i="1"/>
  <c r="J361" i="1"/>
  <c r="BA361" i="1"/>
  <c r="BB361" i="1"/>
  <c r="BD361" i="1"/>
  <c r="BF361" i="1"/>
  <c r="BG361" i="1"/>
  <c r="BH361" i="1"/>
  <c r="BI361" i="1"/>
  <c r="BY361" i="1"/>
  <c r="BZ361" i="1"/>
  <c r="B362" i="1"/>
  <c r="G362" i="1"/>
  <c r="H362" i="1"/>
  <c r="I362" i="1"/>
  <c r="J362" i="1"/>
  <c r="BA362" i="1"/>
  <c r="BB362" i="1"/>
  <c r="BD362" i="1"/>
  <c r="BF362" i="1"/>
  <c r="BG362" i="1"/>
  <c r="BH362" i="1"/>
  <c r="BI362" i="1"/>
  <c r="BY362" i="1"/>
  <c r="BZ362" i="1"/>
  <c r="B363" i="1"/>
  <c r="G363" i="1"/>
  <c r="H363" i="1"/>
  <c r="I363" i="1"/>
  <c r="J363" i="1"/>
  <c r="BA363" i="1"/>
  <c r="BB363" i="1"/>
  <c r="BD363" i="1"/>
  <c r="BF363" i="1"/>
  <c r="BG363" i="1"/>
  <c r="BH363" i="1"/>
  <c r="BI363" i="1"/>
  <c r="BY363" i="1"/>
  <c r="BZ363" i="1"/>
  <c r="B364" i="1"/>
  <c r="G364" i="1"/>
  <c r="H364" i="1"/>
  <c r="I364" i="1"/>
  <c r="J364" i="1"/>
  <c r="BA364" i="1"/>
  <c r="BB364" i="1"/>
  <c r="BD364" i="1"/>
  <c r="BF364" i="1"/>
  <c r="BG364" i="1"/>
  <c r="BH364" i="1"/>
  <c r="BI364" i="1"/>
  <c r="BY364" i="1"/>
  <c r="BZ364" i="1"/>
  <c r="B365" i="1"/>
  <c r="G365" i="1"/>
  <c r="H365" i="1"/>
  <c r="I365" i="1"/>
  <c r="J365" i="1"/>
  <c r="BA365" i="1"/>
  <c r="BB365" i="1"/>
  <c r="BD365" i="1"/>
  <c r="BF365" i="1"/>
  <c r="BG365" i="1"/>
  <c r="BH365" i="1"/>
  <c r="BI365" i="1"/>
  <c r="BY365" i="1"/>
  <c r="BZ365" i="1"/>
  <c r="B366" i="1"/>
  <c r="G366" i="1"/>
  <c r="H366" i="1"/>
  <c r="I366" i="1"/>
  <c r="J366" i="1"/>
  <c r="BA366" i="1"/>
  <c r="BB366" i="1"/>
  <c r="BD366" i="1"/>
  <c r="BF366" i="1"/>
  <c r="BG366" i="1"/>
  <c r="BH366" i="1"/>
  <c r="BI366" i="1"/>
  <c r="BY366" i="1"/>
  <c r="BZ366" i="1"/>
  <c r="B367" i="1"/>
  <c r="G367" i="1"/>
  <c r="H367" i="1"/>
  <c r="I367" i="1"/>
  <c r="J367" i="1"/>
  <c r="BA367" i="1"/>
  <c r="BB367" i="1"/>
  <c r="BD367" i="1"/>
  <c r="BF367" i="1"/>
  <c r="BG367" i="1"/>
  <c r="BH367" i="1"/>
  <c r="BI367" i="1"/>
  <c r="BY367" i="1"/>
  <c r="BZ367" i="1"/>
  <c r="B368" i="1"/>
  <c r="G368" i="1"/>
  <c r="H368" i="1"/>
  <c r="I368" i="1"/>
  <c r="J368" i="1"/>
  <c r="BA368" i="1"/>
  <c r="BB368" i="1"/>
  <c r="BD368" i="1"/>
  <c r="BF368" i="1"/>
  <c r="BG368" i="1"/>
  <c r="BH368" i="1"/>
  <c r="BI368" i="1"/>
  <c r="BY368" i="1"/>
  <c r="BZ368" i="1"/>
  <c r="B369" i="1"/>
  <c r="G369" i="1"/>
  <c r="H369" i="1"/>
  <c r="I369" i="1"/>
  <c r="J369" i="1"/>
  <c r="BA369" i="1"/>
  <c r="BB369" i="1"/>
  <c r="BD369" i="1"/>
  <c r="BF369" i="1"/>
  <c r="BG369" i="1"/>
  <c r="BH369" i="1"/>
  <c r="BI369" i="1"/>
  <c r="BY369" i="1"/>
  <c r="BZ369" i="1"/>
  <c r="B370" i="1"/>
  <c r="G370" i="1"/>
  <c r="H370" i="1"/>
  <c r="I370" i="1"/>
  <c r="J370" i="1"/>
  <c r="BA370" i="1"/>
  <c r="BB370" i="1"/>
  <c r="BD370" i="1"/>
  <c r="BF370" i="1"/>
  <c r="BG370" i="1"/>
  <c r="BH370" i="1"/>
  <c r="BI370" i="1"/>
  <c r="BY370" i="1"/>
  <c r="BZ370" i="1"/>
  <c r="B371" i="1"/>
  <c r="G371" i="1"/>
  <c r="H371" i="1"/>
  <c r="I371" i="1"/>
  <c r="J371" i="1"/>
  <c r="BA371" i="1"/>
  <c r="BB371" i="1"/>
  <c r="BD371" i="1"/>
  <c r="BF371" i="1"/>
  <c r="BG371" i="1"/>
  <c r="BH371" i="1"/>
  <c r="BI371" i="1"/>
  <c r="BY371" i="1"/>
  <c r="BZ371" i="1"/>
  <c r="B372" i="1"/>
  <c r="G372" i="1"/>
  <c r="H372" i="1"/>
  <c r="I372" i="1"/>
  <c r="J372" i="1"/>
  <c r="BA372" i="1"/>
  <c r="BB372" i="1"/>
  <c r="BD372" i="1"/>
  <c r="BF372" i="1"/>
  <c r="BG372" i="1"/>
  <c r="BH372" i="1"/>
  <c r="BI372" i="1"/>
  <c r="BY372" i="1"/>
  <c r="BZ372" i="1"/>
  <c r="B373" i="1"/>
  <c r="G373" i="1"/>
  <c r="H373" i="1"/>
  <c r="I373" i="1"/>
  <c r="J373" i="1"/>
  <c r="BA373" i="1"/>
  <c r="BB373" i="1"/>
  <c r="BD373" i="1"/>
  <c r="BF373" i="1"/>
  <c r="BG373" i="1"/>
  <c r="BH373" i="1"/>
  <c r="BI373" i="1"/>
  <c r="BY373" i="1"/>
  <c r="BZ373" i="1"/>
  <c r="B374" i="1"/>
  <c r="G374" i="1"/>
  <c r="H374" i="1"/>
  <c r="I374" i="1"/>
  <c r="J374" i="1"/>
  <c r="BA374" i="1"/>
  <c r="BB374" i="1"/>
  <c r="BD374" i="1"/>
  <c r="BF374" i="1"/>
  <c r="BG374" i="1"/>
  <c r="BH374" i="1"/>
  <c r="BI374" i="1"/>
  <c r="BY374" i="1"/>
  <c r="BZ374" i="1"/>
  <c r="B375" i="1"/>
  <c r="G375" i="1"/>
  <c r="H375" i="1"/>
  <c r="I375" i="1"/>
  <c r="J375" i="1"/>
  <c r="BA375" i="1"/>
  <c r="BB375" i="1"/>
  <c r="BD375" i="1"/>
  <c r="BF375" i="1"/>
  <c r="BG375" i="1"/>
  <c r="BH375" i="1"/>
  <c r="BI375" i="1"/>
  <c r="BY375" i="1"/>
  <c r="BZ375" i="1"/>
  <c r="B376" i="1"/>
  <c r="G376" i="1"/>
  <c r="H376" i="1"/>
  <c r="I376" i="1"/>
  <c r="J376" i="1"/>
  <c r="BA376" i="1"/>
  <c r="BB376" i="1"/>
  <c r="BD376" i="1"/>
  <c r="BF376" i="1"/>
  <c r="BG376" i="1"/>
  <c r="BH376" i="1"/>
  <c r="BI376" i="1"/>
  <c r="BK376" i="1"/>
  <c r="BL376" i="1"/>
  <c r="BM376" i="1"/>
  <c r="BN376" i="1"/>
  <c r="BP376" i="1"/>
  <c r="BQ376" i="1"/>
  <c r="BR376" i="1"/>
  <c r="BS376" i="1"/>
  <c r="BY376" i="1"/>
  <c r="BZ376" i="1"/>
  <c r="B377" i="1"/>
  <c r="G377" i="1"/>
  <c r="H377" i="1"/>
  <c r="I377" i="1"/>
  <c r="J377" i="1"/>
  <c r="BA377" i="1"/>
  <c r="BB377" i="1"/>
  <c r="BD377" i="1"/>
  <c r="BF377" i="1"/>
  <c r="BG377" i="1"/>
  <c r="BH377" i="1"/>
  <c r="BI377" i="1"/>
  <c r="BK377" i="1"/>
  <c r="BL377" i="1"/>
  <c r="BM377" i="1"/>
  <c r="BN377" i="1"/>
  <c r="BP377" i="1"/>
  <c r="BQ377" i="1"/>
  <c r="BR377" i="1"/>
  <c r="BS377" i="1"/>
  <c r="BY377" i="1"/>
  <c r="BZ377" i="1"/>
  <c r="B378" i="1"/>
  <c r="G378" i="1"/>
  <c r="H378" i="1"/>
  <c r="I378" i="1"/>
  <c r="J378" i="1"/>
  <c r="BA378" i="1"/>
  <c r="BB378" i="1"/>
  <c r="BD378" i="1"/>
  <c r="BF378" i="1"/>
  <c r="BG378" i="1"/>
  <c r="BH378" i="1"/>
  <c r="BI378" i="1"/>
  <c r="BK378" i="1"/>
  <c r="BL378" i="1"/>
  <c r="BM378" i="1"/>
  <c r="BN378" i="1"/>
  <c r="BP378" i="1"/>
  <c r="BQ378" i="1"/>
  <c r="BR378" i="1"/>
  <c r="BS378" i="1"/>
  <c r="BY378" i="1"/>
  <c r="BZ378" i="1"/>
  <c r="B379" i="1"/>
  <c r="G379" i="1"/>
  <c r="H379" i="1"/>
  <c r="I379" i="1"/>
  <c r="J379" i="1"/>
  <c r="BA379" i="1"/>
  <c r="BB379" i="1"/>
  <c r="BD379" i="1"/>
  <c r="BF379" i="1"/>
  <c r="BG379" i="1"/>
  <c r="BH379" i="1"/>
  <c r="BI379" i="1"/>
  <c r="BK379" i="1"/>
  <c r="BL379" i="1"/>
  <c r="BM379" i="1"/>
  <c r="BN379" i="1"/>
  <c r="BP379" i="1"/>
  <c r="BQ379" i="1"/>
  <c r="BR379" i="1"/>
  <c r="BS379" i="1"/>
  <c r="BY379" i="1"/>
  <c r="BZ379" i="1"/>
  <c r="B380" i="1"/>
  <c r="G380" i="1"/>
  <c r="H380" i="1"/>
  <c r="I380" i="1"/>
  <c r="J380" i="1"/>
  <c r="BA380" i="1"/>
  <c r="BB380" i="1"/>
  <c r="BD380" i="1"/>
  <c r="BF380" i="1"/>
  <c r="BG380" i="1"/>
  <c r="BH380" i="1"/>
  <c r="BI380" i="1"/>
  <c r="BK380" i="1"/>
  <c r="BL380" i="1"/>
  <c r="BM380" i="1"/>
  <c r="BN380" i="1"/>
  <c r="BY380" i="1"/>
  <c r="BZ380" i="1"/>
  <c r="B381" i="1"/>
  <c r="G381" i="1"/>
  <c r="H381" i="1"/>
  <c r="I381" i="1"/>
  <c r="J381" i="1"/>
  <c r="BA381" i="1"/>
  <c r="BB381" i="1"/>
  <c r="BD381" i="1"/>
  <c r="BF381" i="1"/>
  <c r="BG381" i="1"/>
  <c r="BH381" i="1"/>
  <c r="BI381" i="1"/>
  <c r="BK381" i="1"/>
  <c r="BL381" i="1"/>
  <c r="BM381" i="1"/>
  <c r="BN381" i="1"/>
  <c r="BY381" i="1"/>
  <c r="BZ381" i="1"/>
  <c r="B382" i="1"/>
  <c r="G382" i="1"/>
  <c r="H382" i="1"/>
  <c r="I382" i="1"/>
  <c r="J382" i="1"/>
  <c r="BA382" i="1"/>
  <c r="BB382" i="1"/>
  <c r="BD382" i="1"/>
  <c r="BF382" i="1"/>
  <c r="BG382" i="1"/>
  <c r="BH382" i="1"/>
  <c r="BI382" i="1"/>
  <c r="BK382" i="1"/>
  <c r="BL382" i="1"/>
  <c r="BM382" i="1"/>
  <c r="BN382" i="1"/>
  <c r="BY382" i="1"/>
  <c r="BZ382" i="1"/>
  <c r="B383" i="1"/>
  <c r="G383" i="1"/>
  <c r="H383" i="1"/>
  <c r="I383" i="1"/>
  <c r="J383" i="1"/>
  <c r="BA383" i="1"/>
  <c r="BB383" i="1"/>
  <c r="BD383" i="1"/>
  <c r="BF383" i="1"/>
  <c r="BG383" i="1"/>
  <c r="BH383" i="1"/>
  <c r="BI383" i="1"/>
  <c r="BK383" i="1"/>
  <c r="BL383" i="1"/>
  <c r="BM383" i="1"/>
  <c r="BN383" i="1"/>
  <c r="BY383" i="1"/>
  <c r="BZ383" i="1"/>
  <c r="B384" i="1"/>
  <c r="G384" i="1"/>
  <c r="H384" i="1"/>
  <c r="I384" i="1"/>
  <c r="J384" i="1"/>
  <c r="BA384" i="1"/>
  <c r="BB384" i="1"/>
  <c r="BD384" i="1"/>
  <c r="BF384" i="1"/>
  <c r="BG384" i="1"/>
  <c r="BH384" i="1"/>
  <c r="BI384" i="1"/>
  <c r="BK384" i="1"/>
  <c r="BL384" i="1"/>
  <c r="BM384" i="1"/>
  <c r="BN384" i="1"/>
  <c r="BY384" i="1"/>
  <c r="BZ384" i="1"/>
  <c r="B385" i="1"/>
  <c r="G385" i="1"/>
  <c r="H385" i="1"/>
  <c r="I385" i="1"/>
  <c r="J385" i="1"/>
  <c r="BA385" i="1"/>
  <c r="BB385" i="1"/>
  <c r="BD385" i="1"/>
  <c r="BF385" i="1"/>
  <c r="BG385" i="1"/>
  <c r="BH385" i="1"/>
  <c r="BI385" i="1"/>
  <c r="BK385" i="1"/>
  <c r="BL385" i="1"/>
  <c r="BM385" i="1"/>
  <c r="BN385" i="1"/>
  <c r="BY385" i="1"/>
  <c r="BZ385" i="1"/>
  <c r="B386" i="1"/>
  <c r="G386" i="1"/>
  <c r="H386" i="1"/>
  <c r="I386" i="1"/>
  <c r="J386" i="1"/>
  <c r="BA386" i="1"/>
  <c r="BB386" i="1"/>
  <c r="BD386" i="1"/>
  <c r="BF386" i="1"/>
  <c r="BG386" i="1"/>
  <c r="BH386" i="1"/>
  <c r="BI386" i="1"/>
  <c r="BY386" i="1"/>
  <c r="BZ386" i="1"/>
  <c r="B387" i="1"/>
  <c r="G387" i="1"/>
  <c r="H387" i="1"/>
  <c r="I387" i="1"/>
  <c r="J387" i="1"/>
  <c r="BA387" i="1"/>
  <c r="BB387" i="1"/>
  <c r="BD387" i="1"/>
  <c r="BF387" i="1"/>
  <c r="BG387" i="1"/>
  <c r="BH387" i="1"/>
  <c r="BI387" i="1"/>
  <c r="BY387" i="1"/>
  <c r="BZ387" i="1"/>
  <c r="B388" i="1"/>
  <c r="G388" i="1"/>
  <c r="H388" i="1"/>
  <c r="I388" i="1"/>
  <c r="J388" i="1"/>
  <c r="BA388" i="1"/>
  <c r="BB388" i="1"/>
  <c r="BD388" i="1"/>
  <c r="BF388" i="1"/>
  <c r="BG388" i="1"/>
  <c r="BH388" i="1"/>
  <c r="BI388" i="1"/>
  <c r="BY388" i="1"/>
  <c r="BZ388" i="1"/>
  <c r="B389" i="1"/>
  <c r="G389" i="1"/>
  <c r="H389" i="1"/>
  <c r="I389" i="1"/>
  <c r="J389" i="1"/>
  <c r="BA389" i="1"/>
  <c r="BB389" i="1"/>
  <c r="BD389" i="1"/>
  <c r="BF389" i="1"/>
  <c r="BG389" i="1"/>
  <c r="BH389" i="1"/>
  <c r="BI389" i="1"/>
  <c r="BY389" i="1"/>
  <c r="BZ389" i="1"/>
  <c r="B390" i="1"/>
  <c r="G390" i="1"/>
  <c r="H390" i="1"/>
  <c r="I390" i="1"/>
  <c r="J390" i="1"/>
  <c r="BA390" i="1"/>
  <c r="BB390" i="1"/>
  <c r="BD390" i="1"/>
  <c r="BF390" i="1"/>
  <c r="BG390" i="1"/>
  <c r="BH390" i="1"/>
  <c r="BI390" i="1"/>
  <c r="BK390" i="1"/>
  <c r="BL390" i="1"/>
  <c r="BM390" i="1"/>
  <c r="BN390" i="1"/>
  <c r="BP390" i="1"/>
  <c r="BQ390" i="1"/>
  <c r="BR390" i="1"/>
  <c r="BS390" i="1"/>
  <c r="BY390" i="1"/>
  <c r="BZ390" i="1"/>
  <c r="B391" i="1"/>
  <c r="G391" i="1"/>
  <c r="H391" i="1"/>
  <c r="I391" i="1"/>
  <c r="J391" i="1"/>
  <c r="BA391" i="1"/>
  <c r="BB391" i="1"/>
  <c r="BD391" i="1"/>
  <c r="BF391" i="1"/>
  <c r="BG391" i="1"/>
  <c r="BH391" i="1"/>
  <c r="BI391" i="1"/>
  <c r="BK391" i="1"/>
  <c r="BL391" i="1"/>
  <c r="BM391" i="1"/>
  <c r="BN391" i="1"/>
  <c r="BP391" i="1"/>
  <c r="BQ391" i="1"/>
  <c r="BR391" i="1"/>
  <c r="BS391" i="1"/>
  <c r="BY391" i="1"/>
  <c r="BZ391" i="1"/>
  <c r="B392" i="1"/>
  <c r="G392" i="1"/>
  <c r="H392" i="1"/>
  <c r="I392" i="1"/>
  <c r="J392" i="1"/>
  <c r="BA392" i="1"/>
  <c r="BB392" i="1"/>
  <c r="BD392" i="1"/>
  <c r="BF392" i="1"/>
  <c r="BG392" i="1"/>
  <c r="BH392" i="1"/>
  <c r="BI392" i="1"/>
  <c r="BY392" i="1"/>
  <c r="BZ392" i="1"/>
  <c r="B393" i="1"/>
  <c r="G393" i="1"/>
  <c r="H393" i="1"/>
  <c r="I393" i="1"/>
  <c r="J393" i="1"/>
  <c r="BA393" i="1"/>
  <c r="BB393" i="1"/>
  <c r="BD393" i="1"/>
  <c r="BF393" i="1"/>
  <c r="BG393" i="1"/>
  <c r="BH393" i="1"/>
  <c r="BI393" i="1"/>
  <c r="BY393" i="1"/>
  <c r="BZ393" i="1"/>
  <c r="B394" i="1"/>
  <c r="G394" i="1"/>
  <c r="H394" i="1"/>
  <c r="I394" i="1"/>
  <c r="J394" i="1"/>
  <c r="BA394" i="1"/>
  <c r="BB394" i="1"/>
  <c r="BD394" i="1"/>
  <c r="BF394" i="1"/>
  <c r="BG394" i="1"/>
  <c r="BH394" i="1"/>
  <c r="BI394" i="1"/>
  <c r="BK394" i="1"/>
  <c r="BL394" i="1"/>
  <c r="BM394" i="1"/>
  <c r="BN394" i="1"/>
  <c r="BY394" i="1"/>
  <c r="BZ394" i="1"/>
  <c r="B395" i="1"/>
  <c r="G395" i="1"/>
  <c r="H395" i="1"/>
  <c r="I395" i="1"/>
  <c r="J395" i="1"/>
  <c r="BA395" i="1"/>
  <c r="BB395" i="1"/>
  <c r="BD395" i="1"/>
  <c r="BF395" i="1"/>
  <c r="BG395" i="1"/>
  <c r="BH395" i="1"/>
  <c r="BI395" i="1"/>
  <c r="BY395" i="1"/>
  <c r="BZ395" i="1"/>
  <c r="B396" i="1"/>
  <c r="G396" i="1"/>
  <c r="H396" i="1"/>
  <c r="I396" i="1"/>
  <c r="J396" i="1"/>
  <c r="BA396" i="1"/>
  <c r="BB396" i="1"/>
  <c r="BD396" i="1"/>
  <c r="BF396" i="1"/>
  <c r="BG396" i="1"/>
  <c r="BH396" i="1"/>
  <c r="BI396" i="1"/>
  <c r="BY396" i="1"/>
  <c r="BZ396" i="1"/>
  <c r="B397" i="1"/>
  <c r="G397" i="1"/>
  <c r="H397" i="1"/>
  <c r="I397" i="1"/>
  <c r="J397" i="1"/>
  <c r="BA397" i="1"/>
  <c r="BB397" i="1"/>
  <c r="BD397" i="1"/>
  <c r="BF397" i="1"/>
  <c r="BG397" i="1"/>
  <c r="BH397" i="1"/>
  <c r="BI397" i="1"/>
  <c r="BK397" i="1"/>
  <c r="BL397" i="1"/>
  <c r="BM397" i="1"/>
  <c r="BN397" i="1"/>
  <c r="BY397" i="1"/>
  <c r="BZ397" i="1"/>
  <c r="B398" i="1"/>
  <c r="G398" i="1"/>
  <c r="H398" i="1"/>
  <c r="I398" i="1"/>
  <c r="J398" i="1"/>
  <c r="BA398" i="1"/>
  <c r="BB398" i="1"/>
  <c r="BD398" i="1"/>
  <c r="BF398" i="1"/>
  <c r="BG398" i="1"/>
  <c r="BH398" i="1"/>
  <c r="BI398" i="1"/>
  <c r="BY398" i="1"/>
  <c r="BZ398" i="1"/>
  <c r="B399" i="1"/>
  <c r="G399" i="1"/>
  <c r="H399" i="1"/>
  <c r="I399" i="1"/>
  <c r="J399" i="1"/>
  <c r="BA399" i="1"/>
  <c r="BB399" i="1"/>
  <c r="BD399" i="1"/>
  <c r="BF399" i="1"/>
  <c r="BG399" i="1"/>
  <c r="BH399" i="1"/>
  <c r="BI399" i="1"/>
  <c r="BY399" i="1"/>
  <c r="BZ399" i="1"/>
  <c r="B400" i="1"/>
  <c r="G400" i="1"/>
  <c r="H400" i="1"/>
  <c r="I400" i="1"/>
  <c r="J400" i="1"/>
  <c r="BA400" i="1"/>
  <c r="BB400" i="1"/>
  <c r="BD400" i="1"/>
  <c r="BF400" i="1"/>
  <c r="BG400" i="1"/>
  <c r="BH400" i="1"/>
  <c r="BI400" i="1"/>
  <c r="BY400" i="1"/>
  <c r="BZ400" i="1"/>
  <c r="B401" i="1"/>
  <c r="G401" i="1"/>
  <c r="H401" i="1"/>
  <c r="I401" i="1"/>
  <c r="J401" i="1"/>
  <c r="BA401" i="1"/>
  <c r="BB401" i="1"/>
  <c r="BD401" i="1"/>
  <c r="BF401" i="1"/>
  <c r="BG401" i="1"/>
  <c r="BH401" i="1"/>
  <c r="BI401" i="1"/>
  <c r="BY401" i="1"/>
  <c r="BZ401" i="1"/>
  <c r="B402" i="1"/>
  <c r="G402" i="1"/>
  <c r="H402" i="1"/>
  <c r="I402" i="1"/>
  <c r="J402" i="1"/>
  <c r="BA402" i="1"/>
  <c r="BB402" i="1"/>
  <c r="BD402" i="1"/>
  <c r="BF402" i="1"/>
  <c r="BG402" i="1"/>
  <c r="BH402" i="1"/>
  <c r="BI402" i="1"/>
  <c r="BY402" i="1"/>
  <c r="BZ402" i="1"/>
  <c r="B403" i="1"/>
  <c r="G403" i="1"/>
  <c r="H403" i="1"/>
  <c r="I403" i="1"/>
  <c r="J403" i="1"/>
  <c r="BA403" i="1"/>
  <c r="BB403" i="1"/>
  <c r="BD403" i="1"/>
  <c r="BF403" i="1"/>
  <c r="BG403" i="1"/>
  <c r="BH403" i="1"/>
  <c r="BI403" i="1"/>
  <c r="BY403" i="1"/>
  <c r="BZ403" i="1"/>
  <c r="B404" i="1"/>
  <c r="G404" i="1"/>
  <c r="H404" i="1"/>
  <c r="I404" i="1"/>
  <c r="J404" i="1"/>
  <c r="BA404" i="1"/>
  <c r="BB404" i="1"/>
  <c r="BD404" i="1"/>
  <c r="BF404" i="1"/>
  <c r="BG404" i="1"/>
  <c r="BH404" i="1"/>
  <c r="BI404" i="1"/>
  <c r="BK404" i="1"/>
  <c r="BL404" i="1"/>
  <c r="BM404" i="1"/>
  <c r="BN404" i="1"/>
  <c r="BY404" i="1"/>
  <c r="BZ404" i="1"/>
  <c r="B405" i="1"/>
  <c r="G405" i="1"/>
  <c r="H405" i="1"/>
  <c r="I405" i="1"/>
  <c r="J405" i="1"/>
  <c r="BA405" i="1"/>
  <c r="BB405" i="1"/>
  <c r="BD405" i="1"/>
  <c r="BF405" i="1"/>
  <c r="BG405" i="1"/>
  <c r="BH405" i="1"/>
  <c r="BI405" i="1"/>
  <c r="BK405" i="1"/>
  <c r="BL405" i="1"/>
  <c r="BM405" i="1"/>
  <c r="BN405" i="1"/>
  <c r="BY405" i="1"/>
  <c r="BZ405" i="1"/>
  <c r="B406" i="1"/>
  <c r="G406" i="1"/>
  <c r="H406" i="1"/>
  <c r="I406" i="1"/>
  <c r="J406" i="1"/>
  <c r="BA406" i="1"/>
  <c r="BB406" i="1"/>
  <c r="BD406" i="1"/>
  <c r="BF406" i="1"/>
  <c r="BG406" i="1"/>
  <c r="BH406" i="1"/>
  <c r="BI406" i="1"/>
  <c r="BY406" i="1"/>
  <c r="BZ406" i="1"/>
  <c r="B407" i="1"/>
  <c r="G407" i="1"/>
  <c r="H407" i="1"/>
  <c r="I407" i="1"/>
  <c r="J407" i="1"/>
  <c r="BA407" i="1"/>
  <c r="BB407" i="1"/>
  <c r="BD407" i="1"/>
  <c r="BF407" i="1"/>
  <c r="BG407" i="1"/>
  <c r="BH407" i="1"/>
  <c r="BI407" i="1"/>
  <c r="BY407" i="1"/>
  <c r="BZ407" i="1"/>
  <c r="B408" i="1"/>
  <c r="G408" i="1"/>
  <c r="H408" i="1"/>
  <c r="I408" i="1"/>
  <c r="J408" i="1"/>
  <c r="BA408" i="1"/>
  <c r="BB408" i="1"/>
  <c r="BD408" i="1"/>
  <c r="BF408" i="1"/>
  <c r="BG408" i="1"/>
  <c r="BH408" i="1"/>
  <c r="BI408" i="1"/>
  <c r="BY408" i="1"/>
  <c r="BZ408" i="1"/>
  <c r="B409" i="1"/>
  <c r="G409" i="1"/>
  <c r="H409" i="1"/>
  <c r="I409" i="1"/>
  <c r="J409" i="1"/>
  <c r="BA409" i="1"/>
  <c r="BB409" i="1"/>
  <c r="BD409" i="1"/>
  <c r="BF409" i="1"/>
  <c r="BG409" i="1"/>
  <c r="BH409" i="1"/>
  <c r="BI409" i="1"/>
  <c r="BY409" i="1"/>
  <c r="BZ409" i="1"/>
  <c r="B410" i="1"/>
  <c r="G410" i="1"/>
  <c r="H410" i="1"/>
  <c r="I410" i="1"/>
  <c r="J410" i="1"/>
  <c r="BA410" i="1"/>
  <c r="BB410" i="1"/>
  <c r="BD410" i="1"/>
  <c r="BF410" i="1"/>
  <c r="BG410" i="1"/>
  <c r="BH410" i="1"/>
  <c r="BI410" i="1"/>
  <c r="BY410" i="1"/>
  <c r="BZ410" i="1"/>
  <c r="B411" i="1"/>
  <c r="G411" i="1"/>
  <c r="H411" i="1"/>
  <c r="I411" i="1"/>
  <c r="J411" i="1"/>
  <c r="BA411" i="1"/>
  <c r="BB411" i="1"/>
  <c r="BD411" i="1"/>
  <c r="BF411" i="1"/>
  <c r="BG411" i="1"/>
  <c r="BH411" i="1"/>
  <c r="BI411" i="1"/>
  <c r="BY411" i="1"/>
  <c r="BZ411" i="1"/>
  <c r="B412" i="1"/>
  <c r="G412" i="1"/>
  <c r="H412" i="1"/>
  <c r="I412" i="1"/>
  <c r="J412" i="1"/>
  <c r="BA412" i="1"/>
  <c r="BB412" i="1"/>
  <c r="BD412" i="1"/>
  <c r="BF412" i="1"/>
  <c r="BG412" i="1"/>
  <c r="BH412" i="1"/>
  <c r="BI412" i="1"/>
  <c r="BY412" i="1"/>
  <c r="BZ412" i="1"/>
  <c r="B413" i="1"/>
  <c r="G413" i="1"/>
  <c r="H413" i="1"/>
  <c r="I413" i="1"/>
  <c r="J413" i="1"/>
  <c r="BA413" i="1"/>
  <c r="BB413" i="1"/>
  <c r="BD413" i="1"/>
  <c r="BF413" i="1"/>
  <c r="BG413" i="1"/>
  <c r="BH413" i="1"/>
  <c r="BI413" i="1"/>
  <c r="BY413" i="1"/>
  <c r="BZ413" i="1"/>
  <c r="B414" i="1"/>
  <c r="G414" i="1"/>
  <c r="H414" i="1"/>
  <c r="I414" i="1"/>
  <c r="J414" i="1"/>
  <c r="BA414" i="1"/>
  <c r="BB414" i="1"/>
  <c r="BD414" i="1"/>
  <c r="BF414" i="1"/>
  <c r="BG414" i="1"/>
  <c r="BH414" i="1"/>
  <c r="BI414" i="1"/>
  <c r="BY414" i="1"/>
  <c r="BZ414" i="1"/>
  <c r="B415" i="1"/>
  <c r="G415" i="1"/>
  <c r="H415" i="1"/>
  <c r="I415" i="1"/>
  <c r="J415" i="1"/>
  <c r="BA415" i="1"/>
  <c r="BB415" i="1"/>
  <c r="BD415" i="1"/>
  <c r="BF415" i="1"/>
  <c r="BG415" i="1"/>
  <c r="BH415" i="1"/>
  <c r="BI415" i="1"/>
  <c r="BY415" i="1"/>
  <c r="BZ415" i="1"/>
  <c r="B416" i="1"/>
  <c r="G416" i="1"/>
  <c r="H416" i="1"/>
  <c r="I416" i="1"/>
  <c r="J416" i="1"/>
  <c r="BA416" i="1"/>
  <c r="BB416" i="1"/>
  <c r="BD416" i="1"/>
  <c r="BF416" i="1"/>
  <c r="BG416" i="1"/>
  <c r="BH416" i="1"/>
  <c r="BI416" i="1"/>
  <c r="BY416" i="1"/>
  <c r="BZ416" i="1"/>
  <c r="B417" i="1"/>
  <c r="G417" i="1"/>
  <c r="H417" i="1"/>
  <c r="I417" i="1"/>
  <c r="J417" i="1"/>
  <c r="BA417" i="1"/>
  <c r="BB417" i="1"/>
  <c r="BD417" i="1"/>
  <c r="BF417" i="1"/>
  <c r="BG417" i="1"/>
  <c r="BH417" i="1"/>
  <c r="BI417" i="1"/>
  <c r="BY417" i="1"/>
  <c r="BZ417" i="1"/>
  <c r="B418" i="1"/>
  <c r="G418" i="1"/>
  <c r="H418" i="1"/>
  <c r="I418" i="1"/>
  <c r="J418" i="1"/>
  <c r="BA418" i="1"/>
  <c r="BB418" i="1"/>
  <c r="BD418" i="1"/>
  <c r="BF418" i="1"/>
  <c r="BG418" i="1"/>
  <c r="BH418" i="1"/>
  <c r="BI418" i="1"/>
  <c r="BY418" i="1"/>
  <c r="BZ418" i="1"/>
  <c r="B419" i="1"/>
  <c r="G419" i="1"/>
  <c r="H419" i="1"/>
  <c r="I419" i="1"/>
  <c r="J419" i="1"/>
  <c r="BA419" i="1"/>
  <c r="BB419" i="1"/>
  <c r="BD419" i="1"/>
  <c r="BF419" i="1"/>
  <c r="BG419" i="1"/>
  <c r="BH419" i="1"/>
  <c r="BI419" i="1"/>
  <c r="BY419" i="1"/>
  <c r="BZ419" i="1"/>
  <c r="B420" i="1"/>
  <c r="G420" i="1"/>
  <c r="H420" i="1"/>
  <c r="I420" i="1"/>
  <c r="J420" i="1"/>
  <c r="BA420" i="1"/>
  <c r="BB420" i="1"/>
  <c r="BD420" i="1"/>
  <c r="BF420" i="1"/>
  <c r="BG420" i="1"/>
  <c r="BH420" i="1"/>
  <c r="BI420" i="1"/>
  <c r="BY420" i="1"/>
  <c r="BZ420" i="1"/>
  <c r="B421" i="1"/>
  <c r="G421" i="1"/>
  <c r="H421" i="1"/>
  <c r="I421" i="1"/>
  <c r="J421" i="1"/>
  <c r="BA421" i="1"/>
  <c r="BB421" i="1"/>
  <c r="BD421" i="1"/>
  <c r="BF421" i="1"/>
  <c r="BG421" i="1"/>
  <c r="BH421" i="1"/>
  <c r="BI421" i="1"/>
  <c r="BY421" i="1"/>
  <c r="BZ421" i="1"/>
  <c r="B422" i="1"/>
  <c r="G422" i="1"/>
  <c r="H422" i="1"/>
  <c r="I422" i="1"/>
  <c r="J422" i="1"/>
  <c r="BA422" i="1"/>
  <c r="BB422" i="1"/>
  <c r="BD422" i="1"/>
  <c r="BF422" i="1"/>
  <c r="BG422" i="1"/>
  <c r="BH422" i="1"/>
  <c r="BI422" i="1"/>
  <c r="BY422" i="1"/>
  <c r="BZ422" i="1"/>
  <c r="B423" i="1"/>
  <c r="G423" i="1"/>
  <c r="H423" i="1"/>
  <c r="I423" i="1"/>
  <c r="J423" i="1"/>
  <c r="BA423" i="1"/>
  <c r="BB423" i="1"/>
  <c r="BD423" i="1"/>
  <c r="BF423" i="1"/>
  <c r="BG423" i="1"/>
  <c r="BH423" i="1"/>
  <c r="BI423" i="1"/>
  <c r="BY423" i="1"/>
  <c r="BZ423" i="1"/>
  <c r="B424" i="1"/>
  <c r="G424" i="1"/>
  <c r="H424" i="1"/>
  <c r="I424" i="1"/>
  <c r="J424" i="1"/>
  <c r="BA424" i="1"/>
  <c r="BB424" i="1"/>
  <c r="BD424" i="1"/>
  <c r="BF424" i="1"/>
  <c r="BG424" i="1"/>
  <c r="BH424" i="1"/>
  <c r="BI424" i="1"/>
  <c r="BK424" i="1"/>
  <c r="BL424" i="1"/>
  <c r="BM424" i="1"/>
  <c r="BN424" i="1"/>
  <c r="BP424" i="1"/>
  <c r="BQ424" i="1"/>
  <c r="BR424" i="1"/>
  <c r="BS424" i="1"/>
  <c r="BY424" i="1"/>
  <c r="BZ424" i="1"/>
  <c r="B425" i="1"/>
  <c r="G425" i="1"/>
  <c r="H425" i="1"/>
  <c r="I425" i="1"/>
  <c r="J425" i="1"/>
  <c r="BA425" i="1"/>
  <c r="BB425" i="1"/>
  <c r="BD425" i="1"/>
  <c r="BF425" i="1"/>
  <c r="BG425" i="1"/>
  <c r="BH425" i="1"/>
  <c r="BI425" i="1"/>
  <c r="BY425" i="1"/>
  <c r="BZ425" i="1"/>
  <c r="B426" i="1"/>
  <c r="G426" i="1"/>
  <c r="H426" i="1"/>
  <c r="I426" i="1"/>
  <c r="J426" i="1"/>
  <c r="BA426" i="1"/>
  <c r="BB426" i="1"/>
  <c r="BD426" i="1"/>
  <c r="BF426" i="1"/>
  <c r="BG426" i="1"/>
  <c r="BH426" i="1"/>
  <c r="BI426" i="1"/>
  <c r="BY426" i="1"/>
  <c r="BZ426" i="1"/>
  <c r="B427" i="1"/>
  <c r="G427" i="1"/>
  <c r="H427" i="1"/>
  <c r="I427" i="1"/>
  <c r="J427" i="1"/>
  <c r="BA427" i="1"/>
  <c r="BB427" i="1"/>
  <c r="BD427" i="1"/>
  <c r="BF427" i="1"/>
  <c r="BG427" i="1"/>
  <c r="BH427" i="1"/>
  <c r="BI427" i="1"/>
  <c r="BY427" i="1"/>
  <c r="BZ427" i="1"/>
  <c r="B428" i="1"/>
  <c r="G428" i="1"/>
  <c r="H428" i="1"/>
  <c r="I428" i="1"/>
  <c r="J428" i="1"/>
  <c r="BA428" i="1"/>
  <c r="BB428" i="1"/>
  <c r="BD428" i="1"/>
  <c r="BF428" i="1"/>
  <c r="BG428" i="1"/>
  <c r="BH428" i="1"/>
  <c r="BI428" i="1"/>
  <c r="BY428" i="1"/>
  <c r="BZ428" i="1"/>
  <c r="B429" i="1"/>
  <c r="G429" i="1"/>
  <c r="H429" i="1"/>
  <c r="I429" i="1"/>
  <c r="J429" i="1"/>
  <c r="BA429" i="1"/>
  <c r="BB429" i="1"/>
  <c r="BD429" i="1"/>
  <c r="BF429" i="1"/>
  <c r="BG429" i="1"/>
  <c r="BH429" i="1"/>
  <c r="BI429" i="1"/>
  <c r="BY429" i="1"/>
  <c r="BZ429" i="1"/>
  <c r="B430" i="1"/>
  <c r="G430" i="1"/>
  <c r="H430" i="1"/>
  <c r="I430" i="1"/>
  <c r="J430" i="1"/>
  <c r="BA430" i="1"/>
  <c r="BB430" i="1"/>
  <c r="BD430" i="1"/>
  <c r="BF430" i="1"/>
  <c r="BG430" i="1"/>
  <c r="BH430" i="1"/>
  <c r="BI430" i="1"/>
  <c r="BY430" i="1"/>
  <c r="BZ430" i="1"/>
  <c r="B431" i="1"/>
  <c r="G431" i="1"/>
  <c r="H431" i="1"/>
  <c r="I431" i="1"/>
  <c r="J431" i="1"/>
  <c r="BA431" i="1"/>
  <c r="BB431" i="1"/>
  <c r="BD431" i="1"/>
  <c r="BF431" i="1"/>
  <c r="BG431" i="1"/>
  <c r="BH431" i="1"/>
  <c r="BI431" i="1"/>
  <c r="BY431" i="1"/>
  <c r="BZ431" i="1"/>
  <c r="B432" i="1"/>
  <c r="G432" i="1"/>
  <c r="H432" i="1"/>
  <c r="I432" i="1"/>
  <c r="J432" i="1"/>
  <c r="BA432" i="1"/>
  <c r="BB432" i="1"/>
  <c r="BD432" i="1"/>
  <c r="BF432" i="1"/>
  <c r="BG432" i="1"/>
  <c r="BH432" i="1"/>
  <c r="BI432" i="1"/>
  <c r="BY432" i="1"/>
  <c r="BZ432" i="1"/>
  <c r="B433" i="1"/>
  <c r="G433" i="1"/>
  <c r="H433" i="1"/>
  <c r="I433" i="1"/>
  <c r="J433" i="1"/>
  <c r="BA433" i="1"/>
  <c r="BB433" i="1"/>
  <c r="BD433" i="1"/>
  <c r="BF433" i="1"/>
  <c r="BG433" i="1"/>
  <c r="BH433" i="1"/>
  <c r="BI433" i="1"/>
  <c r="BY433" i="1"/>
  <c r="BZ433" i="1"/>
  <c r="B434" i="1"/>
  <c r="G434" i="1"/>
  <c r="H434" i="1"/>
  <c r="I434" i="1"/>
  <c r="J434" i="1"/>
  <c r="BA434" i="1"/>
  <c r="BB434" i="1"/>
  <c r="BD434" i="1"/>
  <c r="BF434" i="1"/>
  <c r="BG434" i="1"/>
  <c r="BH434" i="1"/>
  <c r="BI434" i="1"/>
  <c r="BY434" i="1"/>
  <c r="BZ434" i="1"/>
  <c r="B435" i="1"/>
  <c r="G435" i="1"/>
  <c r="H435" i="1"/>
  <c r="I435" i="1"/>
  <c r="J435" i="1"/>
  <c r="BA435" i="1"/>
  <c r="BB435" i="1"/>
  <c r="BD435" i="1"/>
  <c r="BF435" i="1"/>
  <c r="BG435" i="1"/>
  <c r="BH435" i="1"/>
  <c r="BI435" i="1"/>
  <c r="BY435" i="1"/>
  <c r="BZ435" i="1"/>
  <c r="B436" i="1"/>
  <c r="G436" i="1"/>
  <c r="H436" i="1"/>
  <c r="I436" i="1"/>
  <c r="J436" i="1"/>
  <c r="BA436" i="1"/>
  <c r="BB436" i="1"/>
  <c r="BD436" i="1"/>
  <c r="BF436" i="1"/>
  <c r="BG436" i="1"/>
  <c r="BH436" i="1"/>
  <c r="BI436" i="1"/>
  <c r="BY436" i="1"/>
  <c r="BZ436" i="1"/>
  <c r="B437" i="1"/>
  <c r="G437" i="1"/>
  <c r="H437" i="1"/>
  <c r="I437" i="1"/>
  <c r="J437" i="1"/>
  <c r="BA437" i="1"/>
  <c r="BB437" i="1"/>
  <c r="BD437" i="1"/>
  <c r="BF437" i="1"/>
  <c r="BG437" i="1"/>
  <c r="BH437" i="1"/>
  <c r="BI437" i="1"/>
  <c r="BY437" i="1"/>
  <c r="BZ437" i="1"/>
  <c r="B438" i="1"/>
  <c r="G438" i="1"/>
  <c r="H438" i="1"/>
  <c r="I438" i="1"/>
  <c r="J438" i="1"/>
  <c r="BA438" i="1"/>
  <c r="BB438" i="1"/>
  <c r="BD438" i="1"/>
  <c r="BF438" i="1"/>
  <c r="BG438" i="1"/>
  <c r="BH438" i="1"/>
  <c r="BI438" i="1"/>
  <c r="BY438" i="1"/>
  <c r="BZ438" i="1"/>
  <c r="B439" i="1"/>
  <c r="G439" i="1"/>
  <c r="H439" i="1"/>
  <c r="I439" i="1"/>
  <c r="J439" i="1"/>
  <c r="BA439" i="1"/>
  <c r="BB439" i="1"/>
  <c r="BD439" i="1"/>
  <c r="BF439" i="1"/>
  <c r="BG439" i="1"/>
  <c r="BH439" i="1"/>
  <c r="BI439" i="1"/>
  <c r="BY439" i="1"/>
  <c r="BZ439" i="1"/>
  <c r="B440" i="1"/>
  <c r="G440" i="1"/>
  <c r="H440" i="1"/>
  <c r="I440" i="1"/>
  <c r="J440" i="1"/>
  <c r="BA440" i="1"/>
  <c r="BB440" i="1"/>
  <c r="BD440" i="1"/>
  <c r="BF440" i="1"/>
  <c r="BG440" i="1"/>
  <c r="BH440" i="1"/>
  <c r="BI440" i="1"/>
  <c r="BY440" i="1"/>
  <c r="BZ440" i="1"/>
  <c r="B441" i="1"/>
  <c r="G441" i="1"/>
  <c r="H441" i="1"/>
  <c r="I441" i="1"/>
  <c r="J441" i="1"/>
  <c r="BA441" i="1"/>
  <c r="BB441" i="1"/>
  <c r="BD441" i="1"/>
  <c r="BF441" i="1"/>
  <c r="BG441" i="1"/>
  <c r="BH441" i="1"/>
  <c r="BI441" i="1"/>
  <c r="BK441" i="1"/>
  <c r="BL441" i="1"/>
  <c r="BM441" i="1"/>
  <c r="BN441" i="1"/>
  <c r="BY441" i="1"/>
  <c r="BZ441" i="1"/>
  <c r="B442" i="1"/>
  <c r="G442" i="1"/>
  <c r="H442" i="1"/>
  <c r="I442" i="1"/>
  <c r="J442" i="1"/>
  <c r="BA442" i="1"/>
  <c r="BB442" i="1"/>
  <c r="BD442" i="1"/>
  <c r="BF442" i="1"/>
  <c r="BG442" i="1"/>
  <c r="BH442" i="1"/>
  <c r="BI442" i="1"/>
  <c r="BY442" i="1"/>
  <c r="BZ442" i="1"/>
  <c r="B443" i="1"/>
  <c r="G443" i="1"/>
  <c r="H443" i="1"/>
  <c r="I443" i="1"/>
  <c r="J443" i="1"/>
  <c r="BA443" i="1"/>
  <c r="BB443" i="1"/>
  <c r="BD443" i="1"/>
  <c r="BF443" i="1"/>
  <c r="BG443" i="1"/>
  <c r="BH443" i="1"/>
  <c r="BI443" i="1"/>
  <c r="BY443" i="1"/>
  <c r="BZ443" i="1"/>
  <c r="B444" i="1"/>
  <c r="G444" i="1"/>
  <c r="H444" i="1"/>
  <c r="I444" i="1"/>
  <c r="J444" i="1"/>
  <c r="BA444" i="1"/>
  <c r="BB444" i="1"/>
  <c r="BD444" i="1"/>
  <c r="BF444" i="1"/>
  <c r="BG444" i="1"/>
  <c r="BH444" i="1"/>
  <c r="BI444" i="1"/>
  <c r="BY444" i="1"/>
  <c r="BZ444" i="1"/>
  <c r="B445" i="1"/>
  <c r="G445" i="1"/>
  <c r="H445" i="1"/>
  <c r="I445" i="1"/>
  <c r="J445" i="1"/>
  <c r="BA445" i="1"/>
  <c r="BB445" i="1"/>
  <c r="BD445" i="1"/>
  <c r="BF445" i="1"/>
  <c r="BG445" i="1"/>
  <c r="BH445" i="1"/>
  <c r="BI445" i="1"/>
  <c r="BY445" i="1"/>
  <c r="BZ445" i="1"/>
  <c r="B446" i="1"/>
  <c r="G446" i="1"/>
  <c r="H446" i="1"/>
  <c r="I446" i="1"/>
  <c r="J446" i="1"/>
  <c r="BA446" i="1"/>
  <c r="BB446" i="1"/>
  <c r="BD446" i="1"/>
  <c r="BF446" i="1"/>
  <c r="BG446" i="1"/>
  <c r="BH446" i="1"/>
  <c r="BI446" i="1"/>
  <c r="BK446" i="1"/>
  <c r="BL446" i="1"/>
  <c r="BM446" i="1"/>
  <c r="BN446" i="1"/>
  <c r="BY446" i="1"/>
  <c r="BZ446" i="1"/>
  <c r="B447" i="1"/>
  <c r="G447" i="1"/>
  <c r="H447" i="1"/>
  <c r="I447" i="1"/>
  <c r="J447" i="1"/>
  <c r="BA447" i="1"/>
  <c r="BB447" i="1"/>
  <c r="BD447" i="1"/>
  <c r="BF447" i="1"/>
  <c r="BG447" i="1"/>
  <c r="BH447" i="1"/>
  <c r="BI447" i="1"/>
  <c r="BK447" i="1"/>
  <c r="BL447" i="1"/>
  <c r="BM447" i="1"/>
  <c r="BN447" i="1"/>
  <c r="BY447" i="1"/>
  <c r="BZ447" i="1"/>
  <c r="B448" i="1"/>
  <c r="G448" i="1"/>
  <c r="H448" i="1"/>
  <c r="I448" i="1"/>
  <c r="J448" i="1"/>
  <c r="BA448" i="1"/>
  <c r="BB448" i="1"/>
  <c r="BD448" i="1"/>
  <c r="BF448" i="1"/>
  <c r="BG448" i="1"/>
  <c r="BH448" i="1"/>
  <c r="BI448" i="1"/>
  <c r="BK448" i="1"/>
  <c r="BL448" i="1"/>
  <c r="BM448" i="1"/>
  <c r="BN448" i="1"/>
  <c r="BY448" i="1"/>
  <c r="BZ448" i="1"/>
  <c r="B449" i="1"/>
  <c r="G449" i="1"/>
  <c r="H449" i="1"/>
  <c r="I449" i="1"/>
  <c r="J449" i="1"/>
  <c r="BA449" i="1"/>
  <c r="BB449" i="1"/>
  <c r="BD449" i="1"/>
  <c r="BF449" i="1"/>
  <c r="BG449" i="1"/>
  <c r="BH449" i="1"/>
  <c r="BI449" i="1"/>
  <c r="BK449" i="1"/>
  <c r="BL449" i="1"/>
  <c r="BM449" i="1"/>
  <c r="BN449" i="1"/>
  <c r="BY449" i="1"/>
  <c r="BZ449" i="1"/>
  <c r="B450" i="1"/>
  <c r="G450" i="1"/>
  <c r="H450" i="1"/>
  <c r="I450" i="1"/>
  <c r="J450" i="1"/>
  <c r="BA450" i="1"/>
  <c r="BB450" i="1"/>
  <c r="BD450" i="1"/>
  <c r="BF450" i="1"/>
  <c r="BG450" i="1"/>
  <c r="BH450" i="1"/>
  <c r="BI450" i="1"/>
  <c r="BY450" i="1"/>
  <c r="BZ450" i="1"/>
  <c r="B451" i="1"/>
  <c r="G451" i="1"/>
  <c r="H451" i="1"/>
  <c r="I451" i="1"/>
  <c r="J451" i="1"/>
  <c r="BA451" i="1"/>
  <c r="BB451" i="1"/>
  <c r="BD451" i="1"/>
  <c r="BF451" i="1"/>
  <c r="BG451" i="1"/>
  <c r="BH451" i="1"/>
  <c r="BI451" i="1"/>
  <c r="BY451" i="1"/>
  <c r="BZ451" i="1"/>
  <c r="B452" i="1"/>
  <c r="G452" i="1"/>
  <c r="H452" i="1"/>
  <c r="I452" i="1"/>
  <c r="J452" i="1"/>
  <c r="BA452" i="1"/>
  <c r="BB452" i="1"/>
  <c r="BD452" i="1"/>
  <c r="BF452" i="1"/>
  <c r="BG452" i="1"/>
  <c r="BH452" i="1"/>
  <c r="BI452" i="1"/>
  <c r="BY452" i="1"/>
  <c r="BZ452" i="1"/>
  <c r="B453" i="1"/>
  <c r="G453" i="1"/>
  <c r="H453" i="1"/>
  <c r="I453" i="1"/>
  <c r="J453" i="1"/>
  <c r="BA453" i="1"/>
  <c r="BB453" i="1"/>
  <c r="BD453" i="1"/>
  <c r="BF453" i="1"/>
  <c r="BG453" i="1"/>
  <c r="BH453" i="1"/>
  <c r="BI453" i="1"/>
  <c r="BY453" i="1"/>
  <c r="BZ453" i="1"/>
  <c r="B454" i="1"/>
  <c r="G454" i="1"/>
  <c r="H454" i="1"/>
  <c r="I454" i="1"/>
  <c r="J454" i="1"/>
  <c r="BA454" i="1"/>
  <c r="BB454" i="1"/>
  <c r="BD454" i="1"/>
  <c r="BF454" i="1"/>
  <c r="BG454" i="1"/>
  <c r="BH454" i="1"/>
  <c r="BI454" i="1"/>
  <c r="BY454" i="1"/>
  <c r="BZ454" i="1"/>
  <c r="B455" i="1"/>
  <c r="G455" i="1"/>
  <c r="H455" i="1"/>
  <c r="I455" i="1"/>
  <c r="J455" i="1"/>
  <c r="BA455" i="1"/>
  <c r="BB455" i="1"/>
  <c r="BD455" i="1"/>
  <c r="BF455" i="1"/>
  <c r="BG455" i="1"/>
  <c r="BH455" i="1"/>
  <c r="BI455" i="1"/>
  <c r="BY455" i="1"/>
  <c r="BZ455" i="1"/>
  <c r="B456" i="1"/>
  <c r="G456" i="1"/>
  <c r="H456" i="1"/>
  <c r="I456" i="1"/>
  <c r="J456" i="1"/>
  <c r="BA456" i="1"/>
  <c r="BB456" i="1"/>
  <c r="BD456" i="1"/>
  <c r="BF456" i="1"/>
  <c r="BG456" i="1"/>
  <c r="BH456" i="1"/>
  <c r="BI456" i="1"/>
  <c r="BY456" i="1"/>
  <c r="BZ456" i="1"/>
  <c r="B457" i="1"/>
  <c r="G457" i="1"/>
  <c r="H457" i="1"/>
  <c r="I457" i="1"/>
  <c r="J457" i="1"/>
  <c r="BA457" i="1"/>
  <c r="BB457" i="1"/>
  <c r="BD457" i="1"/>
  <c r="BF457" i="1"/>
  <c r="BG457" i="1"/>
  <c r="BH457" i="1"/>
  <c r="BI457" i="1"/>
  <c r="BY457" i="1"/>
  <c r="BZ457" i="1"/>
  <c r="B458" i="1"/>
  <c r="G458" i="1"/>
  <c r="H458" i="1"/>
  <c r="I458" i="1"/>
  <c r="J458" i="1"/>
  <c r="BA458" i="1"/>
  <c r="BB458" i="1"/>
  <c r="BD458" i="1"/>
  <c r="BF458" i="1"/>
  <c r="BG458" i="1"/>
  <c r="BH458" i="1"/>
  <c r="BI458" i="1"/>
  <c r="BY458" i="1"/>
  <c r="BZ458" i="1"/>
  <c r="B459" i="1"/>
  <c r="G459" i="1"/>
  <c r="H459" i="1"/>
  <c r="I459" i="1"/>
  <c r="J459" i="1"/>
  <c r="BA459" i="1"/>
  <c r="BB459" i="1"/>
  <c r="BD459" i="1"/>
  <c r="BF459" i="1"/>
  <c r="BG459" i="1"/>
  <c r="BH459" i="1"/>
  <c r="BI459" i="1"/>
  <c r="BY459" i="1"/>
  <c r="BZ459" i="1"/>
  <c r="B460" i="1"/>
  <c r="G460" i="1"/>
  <c r="H460" i="1"/>
  <c r="I460" i="1"/>
  <c r="J460" i="1"/>
  <c r="BA460" i="1"/>
  <c r="BB460" i="1"/>
  <c r="BD460" i="1"/>
  <c r="BF460" i="1"/>
  <c r="BG460" i="1"/>
  <c r="BH460" i="1"/>
  <c r="BI460" i="1"/>
  <c r="BY460" i="1"/>
  <c r="BZ460" i="1"/>
  <c r="B461" i="1"/>
  <c r="G461" i="1"/>
  <c r="H461" i="1"/>
  <c r="I461" i="1"/>
  <c r="J461" i="1"/>
  <c r="BA461" i="1"/>
  <c r="BB461" i="1"/>
  <c r="BD461" i="1"/>
  <c r="BF461" i="1"/>
  <c r="BG461" i="1"/>
  <c r="BH461" i="1"/>
  <c r="BI461" i="1"/>
  <c r="BY461" i="1"/>
  <c r="BZ461" i="1"/>
  <c r="B462" i="1"/>
  <c r="G462" i="1"/>
  <c r="H462" i="1"/>
  <c r="I462" i="1"/>
  <c r="J462" i="1"/>
  <c r="BA462" i="1"/>
  <c r="BB462" i="1"/>
  <c r="BD462" i="1"/>
  <c r="BF462" i="1"/>
  <c r="BG462" i="1"/>
  <c r="BH462" i="1"/>
  <c r="BI462" i="1"/>
  <c r="BY462" i="1"/>
  <c r="BZ462" i="1"/>
  <c r="B463" i="1"/>
  <c r="G463" i="1"/>
  <c r="H463" i="1"/>
  <c r="I463" i="1"/>
  <c r="J463" i="1"/>
  <c r="BA463" i="1"/>
  <c r="BB463" i="1"/>
  <c r="BD463" i="1"/>
  <c r="BF463" i="1"/>
  <c r="BG463" i="1"/>
  <c r="BH463" i="1"/>
  <c r="BI463" i="1"/>
  <c r="BY463" i="1"/>
  <c r="BZ463" i="1"/>
  <c r="B464" i="1"/>
  <c r="G464" i="1"/>
  <c r="H464" i="1"/>
  <c r="I464" i="1"/>
  <c r="J464" i="1"/>
  <c r="BA464" i="1"/>
  <c r="BB464" i="1"/>
  <c r="BD464" i="1"/>
  <c r="BF464" i="1"/>
  <c r="BG464" i="1"/>
  <c r="BH464" i="1"/>
  <c r="BI464" i="1"/>
  <c r="BY464" i="1"/>
  <c r="BZ464" i="1"/>
  <c r="B465" i="1"/>
  <c r="G465" i="1"/>
  <c r="H465" i="1"/>
  <c r="I465" i="1"/>
  <c r="J465" i="1"/>
  <c r="BA465" i="1"/>
  <c r="BB465" i="1"/>
  <c r="BD465" i="1"/>
  <c r="BF465" i="1"/>
  <c r="BG465" i="1"/>
  <c r="BH465" i="1"/>
  <c r="BI465" i="1"/>
  <c r="BY465" i="1"/>
  <c r="BZ465" i="1"/>
  <c r="B466" i="1"/>
  <c r="G466" i="1"/>
  <c r="H466" i="1"/>
  <c r="I466" i="1"/>
  <c r="J466" i="1"/>
  <c r="BA466" i="1"/>
  <c r="BB466" i="1"/>
  <c r="BD466" i="1"/>
  <c r="BF466" i="1"/>
  <c r="BG466" i="1"/>
  <c r="BH466" i="1"/>
  <c r="BI466" i="1"/>
  <c r="BY466" i="1"/>
  <c r="BZ466" i="1"/>
  <c r="B467" i="1"/>
  <c r="G467" i="1"/>
  <c r="H467" i="1"/>
  <c r="I467" i="1"/>
  <c r="J467" i="1"/>
  <c r="BA467" i="1"/>
  <c r="BB467" i="1"/>
  <c r="BD467" i="1"/>
  <c r="BF467" i="1"/>
  <c r="BG467" i="1"/>
  <c r="BH467" i="1"/>
  <c r="BI467" i="1"/>
  <c r="BY467" i="1"/>
  <c r="BZ467" i="1"/>
  <c r="B468" i="1"/>
  <c r="G468" i="1"/>
  <c r="H468" i="1"/>
  <c r="I468" i="1"/>
  <c r="J468" i="1"/>
  <c r="BA468" i="1"/>
  <c r="BB468" i="1"/>
  <c r="BD468" i="1"/>
  <c r="BF468" i="1"/>
  <c r="BG468" i="1"/>
  <c r="BH468" i="1"/>
  <c r="BI468" i="1"/>
  <c r="BY468" i="1"/>
  <c r="BZ468" i="1"/>
  <c r="B469" i="1"/>
  <c r="G469" i="1"/>
  <c r="H469" i="1"/>
  <c r="I469" i="1"/>
  <c r="J469" i="1"/>
  <c r="BA469" i="1"/>
  <c r="BB469" i="1"/>
  <c r="BD469" i="1"/>
  <c r="BF469" i="1"/>
  <c r="BG469" i="1"/>
  <c r="BH469" i="1"/>
  <c r="BI469" i="1"/>
  <c r="BY469" i="1"/>
  <c r="BZ469" i="1"/>
  <c r="B470" i="1"/>
  <c r="G470" i="1"/>
  <c r="H470" i="1"/>
  <c r="I470" i="1"/>
  <c r="J470" i="1"/>
  <c r="BA470" i="1"/>
  <c r="BB470" i="1"/>
  <c r="BD470" i="1"/>
  <c r="BF470" i="1"/>
  <c r="BG470" i="1"/>
  <c r="BH470" i="1"/>
  <c r="BI470" i="1"/>
  <c r="BY470" i="1"/>
  <c r="BZ470" i="1"/>
  <c r="B471" i="1"/>
  <c r="G471" i="1"/>
  <c r="H471" i="1"/>
  <c r="I471" i="1"/>
  <c r="J471" i="1"/>
  <c r="BA471" i="1"/>
  <c r="BB471" i="1"/>
  <c r="BD471" i="1"/>
  <c r="BF471" i="1"/>
  <c r="BG471" i="1"/>
  <c r="BH471" i="1"/>
  <c r="BI471" i="1"/>
  <c r="BY471" i="1"/>
  <c r="BZ471" i="1"/>
  <c r="B472" i="1"/>
  <c r="G472" i="1"/>
  <c r="H472" i="1"/>
  <c r="I472" i="1"/>
  <c r="J472" i="1"/>
  <c r="BA472" i="1"/>
  <c r="BB472" i="1"/>
  <c r="BD472" i="1"/>
  <c r="BF472" i="1"/>
  <c r="BG472" i="1"/>
  <c r="BH472" i="1"/>
  <c r="BI472" i="1"/>
  <c r="BY472" i="1"/>
  <c r="BZ472" i="1"/>
  <c r="B473" i="1"/>
  <c r="G473" i="1"/>
  <c r="H473" i="1"/>
  <c r="I473" i="1"/>
  <c r="J473" i="1"/>
  <c r="BA473" i="1"/>
  <c r="BB473" i="1"/>
  <c r="BD473" i="1"/>
  <c r="BF473" i="1"/>
  <c r="BG473" i="1"/>
  <c r="BH473" i="1"/>
  <c r="BI473" i="1"/>
  <c r="BY473" i="1"/>
  <c r="BZ473" i="1"/>
  <c r="B474" i="1"/>
  <c r="G474" i="1"/>
  <c r="H474" i="1"/>
  <c r="I474" i="1"/>
  <c r="J474" i="1"/>
  <c r="BA474" i="1"/>
  <c r="BB474" i="1"/>
  <c r="BD474" i="1"/>
  <c r="BF474" i="1"/>
  <c r="BG474" i="1"/>
  <c r="BH474" i="1"/>
  <c r="BI474" i="1"/>
  <c r="BY474" i="1"/>
  <c r="BZ474" i="1"/>
  <c r="B475" i="1"/>
  <c r="G475" i="1"/>
  <c r="H475" i="1"/>
  <c r="I475" i="1"/>
  <c r="J475" i="1"/>
  <c r="BA475" i="1"/>
  <c r="BB475" i="1"/>
  <c r="BD475" i="1"/>
  <c r="BF475" i="1"/>
  <c r="BG475" i="1"/>
  <c r="BH475" i="1"/>
  <c r="BI475" i="1"/>
  <c r="BY475" i="1"/>
  <c r="BZ475" i="1"/>
  <c r="B476" i="1"/>
  <c r="G476" i="1"/>
  <c r="H476" i="1"/>
  <c r="I476" i="1"/>
  <c r="J476" i="1"/>
  <c r="BA476" i="1"/>
  <c r="BB476" i="1"/>
  <c r="BD476" i="1"/>
  <c r="BF476" i="1"/>
  <c r="BG476" i="1"/>
  <c r="BH476" i="1"/>
  <c r="BI476" i="1"/>
  <c r="BY476" i="1"/>
  <c r="BZ476" i="1"/>
  <c r="B477" i="1"/>
  <c r="G477" i="1"/>
  <c r="H477" i="1"/>
  <c r="I477" i="1"/>
  <c r="J477" i="1"/>
  <c r="BA477" i="1"/>
  <c r="BB477" i="1"/>
  <c r="BD477" i="1"/>
  <c r="BF477" i="1"/>
  <c r="BG477" i="1"/>
  <c r="BH477" i="1"/>
  <c r="BI477" i="1"/>
  <c r="BY477" i="1"/>
  <c r="BZ477" i="1"/>
  <c r="B478" i="1"/>
  <c r="G478" i="1"/>
  <c r="H478" i="1"/>
  <c r="I478" i="1"/>
  <c r="J478" i="1"/>
  <c r="BA478" i="1"/>
  <c r="BB478" i="1"/>
  <c r="BD478" i="1"/>
  <c r="BF478" i="1"/>
  <c r="BG478" i="1"/>
  <c r="BH478" i="1"/>
  <c r="BI478" i="1"/>
  <c r="BY478" i="1"/>
  <c r="BZ478" i="1"/>
  <c r="B479" i="1"/>
  <c r="G479" i="1"/>
  <c r="H479" i="1"/>
  <c r="I479" i="1"/>
  <c r="J479" i="1"/>
  <c r="BA479" i="1"/>
  <c r="BB479" i="1"/>
  <c r="BD479" i="1"/>
  <c r="BF479" i="1"/>
  <c r="BG479" i="1"/>
  <c r="BH479" i="1"/>
  <c r="BI479" i="1"/>
  <c r="BY479" i="1"/>
  <c r="BZ479" i="1"/>
  <c r="B480" i="1"/>
  <c r="G480" i="1"/>
  <c r="H480" i="1"/>
  <c r="I480" i="1"/>
  <c r="J480" i="1"/>
  <c r="BA480" i="1"/>
  <c r="BB480" i="1"/>
  <c r="BD480" i="1"/>
  <c r="BF480" i="1"/>
  <c r="BG480" i="1"/>
  <c r="BH480" i="1"/>
  <c r="BI480" i="1"/>
  <c r="BY480" i="1"/>
  <c r="BZ480" i="1"/>
  <c r="B481" i="1"/>
  <c r="G481" i="1"/>
  <c r="H481" i="1"/>
  <c r="I481" i="1"/>
  <c r="J481" i="1"/>
  <c r="BA481" i="1"/>
  <c r="BB481" i="1"/>
  <c r="BD481" i="1"/>
  <c r="BF481" i="1"/>
  <c r="BG481" i="1"/>
  <c r="BH481" i="1"/>
  <c r="BI481" i="1"/>
  <c r="BY481" i="1"/>
  <c r="BZ481" i="1"/>
  <c r="B482" i="1"/>
  <c r="G482" i="1"/>
  <c r="H482" i="1"/>
  <c r="I482" i="1"/>
  <c r="J482" i="1"/>
  <c r="BA482" i="1"/>
  <c r="BB482" i="1"/>
  <c r="BD482" i="1"/>
  <c r="BF482" i="1"/>
  <c r="BG482" i="1"/>
  <c r="BH482" i="1"/>
  <c r="BI482" i="1"/>
  <c r="BY482" i="1"/>
  <c r="BZ482" i="1"/>
  <c r="B483" i="1"/>
  <c r="G483" i="1"/>
  <c r="H483" i="1"/>
  <c r="I483" i="1"/>
  <c r="J483" i="1"/>
  <c r="BA483" i="1"/>
  <c r="BB483" i="1"/>
  <c r="BD483" i="1"/>
  <c r="BF483" i="1"/>
  <c r="BG483" i="1"/>
  <c r="BH483" i="1"/>
  <c r="BI483" i="1"/>
  <c r="BY483" i="1"/>
  <c r="BZ483" i="1"/>
  <c r="B484" i="1"/>
  <c r="G484" i="1"/>
  <c r="H484" i="1"/>
  <c r="I484" i="1"/>
  <c r="J484" i="1"/>
  <c r="BA484" i="1"/>
  <c r="BB484" i="1"/>
  <c r="BD484" i="1"/>
  <c r="BF484" i="1"/>
  <c r="BG484" i="1"/>
  <c r="BH484" i="1"/>
  <c r="BI484" i="1"/>
  <c r="BY484" i="1"/>
  <c r="BZ484" i="1"/>
  <c r="B485" i="1"/>
  <c r="G485" i="1"/>
  <c r="H485" i="1"/>
  <c r="I485" i="1"/>
  <c r="J485" i="1"/>
  <c r="BA485" i="1"/>
  <c r="BB485" i="1"/>
  <c r="BD485" i="1"/>
  <c r="BF485" i="1"/>
  <c r="BG485" i="1"/>
  <c r="BH485" i="1"/>
  <c r="BI485" i="1"/>
  <c r="BY485" i="1"/>
  <c r="BZ485" i="1"/>
  <c r="B486" i="1"/>
  <c r="G486" i="1"/>
  <c r="H486" i="1"/>
  <c r="I486" i="1"/>
  <c r="J486" i="1"/>
  <c r="BA486" i="1"/>
  <c r="BB486" i="1"/>
  <c r="BD486" i="1"/>
  <c r="BF486" i="1"/>
  <c r="BG486" i="1"/>
  <c r="BH486" i="1"/>
  <c r="BI486" i="1"/>
  <c r="BY486" i="1"/>
  <c r="BZ486" i="1"/>
  <c r="B487" i="1"/>
  <c r="G487" i="1"/>
  <c r="H487" i="1"/>
  <c r="I487" i="1"/>
  <c r="J487" i="1"/>
  <c r="BA487" i="1"/>
  <c r="BB487" i="1"/>
  <c r="BD487" i="1"/>
  <c r="BF487" i="1"/>
  <c r="BG487" i="1"/>
  <c r="BH487" i="1"/>
  <c r="BI487" i="1"/>
  <c r="BY487" i="1"/>
  <c r="BZ487" i="1"/>
  <c r="B488" i="1"/>
  <c r="G488" i="1"/>
  <c r="H488" i="1"/>
  <c r="I488" i="1"/>
  <c r="J488" i="1"/>
  <c r="BA488" i="1"/>
  <c r="BB488" i="1"/>
  <c r="BD488" i="1"/>
  <c r="BF488" i="1"/>
  <c r="BG488" i="1"/>
  <c r="BH488" i="1"/>
  <c r="BI488" i="1"/>
  <c r="BY488" i="1"/>
  <c r="BZ488" i="1"/>
  <c r="B489" i="1"/>
  <c r="G489" i="1"/>
  <c r="H489" i="1"/>
  <c r="I489" i="1"/>
  <c r="J489" i="1"/>
  <c r="BA489" i="1"/>
  <c r="BB489" i="1"/>
  <c r="BD489" i="1"/>
  <c r="BF489" i="1"/>
  <c r="BG489" i="1"/>
  <c r="BH489" i="1"/>
  <c r="BI489" i="1"/>
  <c r="BY489" i="1"/>
  <c r="BZ489" i="1"/>
  <c r="B490" i="1"/>
  <c r="G490" i="1"/>
  <c r="H490" i="1"/>
  <c r="I490" i="1"/>
  <c r="J490" i="1"/>
  <c r="BA490" i="1"/>
  <c r="BB490" i="1"/>
  <c r="BD490" i="1"/>
  <c r="BF490" i="1"/>
  <c r="BG490" i="1"/>
  <c r="BH490" i="1"/>
  <c r="BI490" i="1"/>
  <c r="BY490" i="1"/>
  <c r="BZ490" i="1"/>
  <c r="B491" i="1"/>
  <c r="G491" i="1"/>
  <c r="H491" i="1"/>
  <c r="I491" i="1"/>
  <c r="J491" i="1"/>
  <c r="BA491" i="1"/>
  <c r="BB491" i="1"/>
  <c r="BD491" i="1"/>
  <c r="BF491" i="1"/>
  <c r="BG491" i="1"/>
  <c r="BH491" i="1"/>
  <c r="BI491" i="1"/>
  <c r="BY491" i="1"/>
  <c r="BZ491" i="1"/>
  <c r="B492" i="1"/>
  <c r="G492" i="1"/>
  <c r="H492" i="1"/>
  <c r="I492" i="1"/>
  <c r="J492" i="1"/>
  <c r="BA492" i="1"/>
  <c r="BB492" i="1"/>
  <c r="BD492" i="1"/>
  <c r="BF492" i="1"/>
  <c r="BG492" i="1"/>
  <c r="BH492" i="1"/>
  <c r="BI492" i="1"/>
  <c r="BY492" i="1"/>
  <c r="BZ492" i="1"/>
  <c r="B493" i="1"/>
  <c r="G493" i="1"/>
  <c r="H493" i="1"/>
  <c r="I493" i="1"/>
  <c r="J493" i="1"/>
  <c r="BA493" i="1"/>
  <c r="BB493" i="1"/>
  <c r="BD493" i="1"/>
  <c r="BF493" i="1"/>
  <c r="BG493" i="1"/>
  <c r="BH493" i="1"/>
  <c r="BI493" i="1"/>
  <c r="BY493" i="1"/>
  <c r="BZ493" i="1"/>
  <c r="B494" i="1"/>
  <c r="G494" i="1"/>
  <c r="H494" i="1"/>
  <c r="I494" i="1"/>
  <c r="J494" i="1"/>
  <c r="BA494" i="1"/>
  <c r="BB494" i="1"/>
  <c r="BD494" i="1"/>
  <c r="BF494" i="1"/>
  <c r="BG494" i="1"/>
  <c r="BH494" i="1"/>
  <c r="BI494" i="1"/>
  <c r="BY494" i="1"/>
  <c r="BZ494" i="1"/>
  <c r="B495" i="1"/>
  <c r="G495" i="1"/>
  <c r="H495" i="1"/>
  <c r="I495" i="1"/>
  <c r="J495" i="1"/>
  <c r="BA495" i="1"/>
  <c r="BB495" i="1"/>
  <c r="BD495" i="1"/>
  <c r="BF495" i="1"/>
  <c r="BG495" i="1"/>
  <c r="BH495" i="1"/>
  <c r="BI495" i="1"/>
  <c r="BY495" i="1"/>
  <c r="BZ495" i="1"/>
  <c r="B496" i="1"/>
  <c r="G496" i="1"/>
  <c r="H496" i="1"/>
  <c r="I496" i="1"/>
  <c r="J496" i="1"/>
  <c r="BA496" i="1"/>
  <c r="BB496" i="1"/>
  <c r="BD496" i="1"/>
  <c r="BF496" i="1"/>
  <c r="BG496" i="1"/>
  <c r="BH496" i="1"/>
  <c r="BI496" i="1"/>
  <c r="BY496" i="1"/>
  <c r="BZ496" i="1"/>
  <c r="B497" i="1"/>
  <c r="G497" i="1"/>
  <c r="H497" i="1"/>
  <c r="I497" i="1"/>
  <c r="J497" i="1"/>
  <c r="BA497" i="1"/>
  <c r="BB497" i="1"/>
  <c r="BD497" i="1"/>
  <c r="BF497" i="1"/>
  <c r="BG497" i="1"/>
  <c r="BH497" i="1"/>
  <c r="BI497" i="1"/>
  <c r="BY497" i="1"/>
  <c r="BZ497" i="1"/>
  <c r="B498" i="1"/>
  <c r="G498" i="1"/>
  <c r="H498" i="1"/>
  <c r="I498" i="1"/>
  <c r="J498" i="1"/>
  <c r="BA498" i="1"/>
  <c r="BB498" i="1"/>
  <c r="BD498" i="1"/>
  <c r="BF498" i="1"/>
  <c r="BG498" i="1"/>
  <c r="BH498" i="1"/>
  <c r="BI498" i="1"/>
  <c r="BK498" i="1"/>
  <c r="BL498" i="1"/>
  <c r="BM498" i="1"/>
  <c r="BN498" i="1"/>
  <c r="BY498" i="1"/>
  <c r="BZ498" i="1"/>
  <c r="B499" i="1"/>
  <c r="G499" i="1"/>
  <c r="H499" i="1"/>
  <c r="I499" i="1"/>
  <c r="J499" i="1"/>
  <c r="BA499" i="1"/>
  <c r="BB499" i="1"/>
  <c r="BD499" i="1"/>
  <c r="BF499" i="1"/>
  <c r="BG499" i="1"/>
  <c r="BH499" i="1"/>
  <c r="BI499" i="1"/>
  <c r="BY499" i="1"/>
  <c r="BZ499" i="1"/>
  <c r="B500" i="1"/>
  <c r="G500" i="1"/>
  <c r="H500" i="1"/>
  <c r="I500" i="1"/>
  <c r="J500" i="1"/>
  <c r="BA500" i="1"/>
  <c r="BB500" i="1"/>
  <c r="BD500" i="1"/>
  <c r="BF500" i="1"/>
  <c r="BG500" i="1"/>
  <c r="BH500" i="1"/>
  <c r="BI500" i="1"/>
  <c r="BK500" i="1"/>
  <c r="BL500" i="1"/>
  <c r="BM500" i="1"/>
  <c r="BN500" i="1"/>
  <c r="BP500" i="1"/>
  <c r="BQ500" i="1"/>
  <c r="BR500" i="1"/>
  <c r="BS500" i="1"/>
  <c r="BY500" i="1"/>
  <c r="BZ500" i="1"/>
  <c r="B501" i="1"/>
  <c r="G501" i="1"/>
  <c r="H501" i="1"/>
  <c r="I501" i="1"/>
  <c r="J501" i="1"/>
  <c r="BA501" i="1"/>
  <c r="BB501" i="1"/>
  <c r="BD501" i="1"/>
  <c r="BF501" i="1"/>
  <c r="BG501" i="1"/>
  <c r="BH501" i="1"/>
  <c r="BI501" i="1"/>
  <c r="BK501" i="1"/>
  <c r="BL501" i="1"/>
  <c r="BM501" i="1"/>
  <c r="BN501" i="1"/>
  <c r="BP501" i="1"/>
  <c r="BQ501" i="1"/>
  <c r="BR501" i="1"/>
  <c r="BS501" i="1"/>
  <c r="BY501" i="1"/>
  <c r="BZ501" i="1"/>
  <c r="B502" i="1"/>
  <c r="G502" i="1"/>
  <c r="H502" i="1"/>
  <c r="I502" i="1"/>
  <c r="J502" i="1"/>
  <c r="BA502" i="1"/>
  <c r="BB502" i="1"/>
  <c r="BD502" i="1"/>
  <c r="BF502" i="1"/>
  <c r="BG502" i="1"/>
  <c r="BH502" i="1"/>
  <c r="BI502" i="1"/>
  <c r="BK502" i="1"/>
  <c r="BL502" i="1"/>
  <c r="BM502" i="1"/>
  <c r="BN502" i="1"/>
  <c r="BP502" i="1"/>
  <c r="BQ502" i="1"/>
  <c r="BR502" i="1"/>
  <c r="BS502" i="1"/>
  <c r="BY502" i="1"/>
  <c r="BZ502" i="1"/>
  <c r="B503" i="1"/>
  <c r="G503" i="1"/>
  <c r="H503" i="1"/>
  <c r="I503" i="1"/>
  <c r="J503" i="1"/>
  <c r="BA503" i="1"/>
  <c r="BB503" i="1"/>
  <c r="BD503" i="1"/>
  <c r="BF503" i="1"/>
  <c r="BG503" i="1"/>
  <c r="BH503" i="1"/>
  <c r="BI503" i="1"/>
  <c r="BK503" i="1"/>
  <c r="BL503" i="1"/>
  <c r="BM503" i="1"/>
  <c r="BN503" i="1"/>
  <c r="BP503" i="1"/>
  <c r="BQ503" i="1"/>
  <c r="BR503" i="1"/>
  <c r="BS503" i="1"/>
  <c r="BY503" i="1"/>
  <c r="BZ503" i="1"/>
  <c r="B504" i="1"/>
  <c r="G504" i="1"/>
  <c r="H504" i="1"/>
  <c r="I504" i="1"/>
  <c r="J504" i="1"/>
  <c r="BA504" i="1"/>
  <c r="BB504" i="1"/>
  <c r="BD504" i="1"/>
  <c r="BF504" i="1"/>
  <c r="BG504" i="1"/>
  <c r="BH504" i="1"/>
  <c r="BI504" i="1"/>
  <c r="BK504" i="1"/>
  <c r="BL504" i="1"/>
  <c r="BM504" i="1"/>
  <c r="BN504" i="1"/>
  <c r="BP504" i="1"/>
  <c r="BQ504" i="1"/>
  <c r="BR504" i="1"/>
  <c r="BS504" i="1"/>
  <c r="BY504" i="1"/>
  <c r="BZ504" i="1"/>
  <c r="B505" i="1"/>
  <c r="G505" i="1"/>
  <c r="H505" i="1"/>
  <c r="I505" i="1"/>
  <c r="J505" i="1"/>
  <c r="BA505" i="1"/>
  <c r="BB505" i="1"/>
  <c r="BD505" i="1"/>
  <c r="BF505" i="1"/>
  <c r="BG505" i="1"/>
  <c r="BH505" i="1"/>
  <c r="BI505" i="1"/>
  <c r="BK505" i="1"/>
  <c r="BL505" i="1"/>
  <c r="BM505" i="1"/>
  <c r="BN505" i="1"/>
  <c r="BP505" i="1"/>
  <c r="BQ505" i="1"/>
  <c r="BR505" i="1"/>
  <c r="BS505" i="1"/>
  <c r="BY505" i="1"/>
  <c r="BZ505" i="1"/>
  <c r="B506" i="1"/>
  <c r="G506" i="1"/>
  <c r="H506" i="1"/>
  <c r="I506" i="1"/>
  <c r="J506" i="1"/>
  <c r="BA506" i="1"/>
  <c r="BB506" i="1"/>
  <c r="BD506" i="1"/>
  <c r="BF506" i="1"/>
  <c r="BG506" i="1"/>
  <c r="BH506" i="1"/>
  <c r="BI506" i="1"/>
  <c r="BK506" i="1"/>
  <c r="BL506" i="1"/>
  <c r="BM506" i="1"/>
  <c r="BN506" i="1"/>
  <c r="BP506" i="1"/>
  <c r="BQ506" i="1"/>
  <c r="BR506" i="1"/>
  <c r="BS506" i="1"/>
  <c r="BY506" i="1"/>
  <c r="BZ506" i="1"/>
  <c r="B507" i="1"/>
  <c r="G507" i="1"/>
  <c r="H507" i="1"/>
  <c r="I507" i="1"/>
  <c r="J507" i="1"/>
  <c r="BA507" i="1"/>
  <c r="BB507" i="1"/>
  <c r="BD507" i="1"/>
  <c r="BF507" i="1"/>
  <c r="BG507" i="1"/>
  <c r="BH507" i="1"/>
  <c r="BI507" i="1"/>
  <c r="BK507" i="1"/>
  <c r="BL507" i="1"/>
  <c r="BM507" i="1"/>
  <c r="BN507" i="1"/>
  <c r="BP507" i="1"/>
  <c r="BQ507" i="1"/>
  <c r="BR507" i="1"/>
  <c r="BS507" i="1"/>
  <c r="BY507" i="1"/>
  <c r="BZ507" i="1"/>
  <c r="B508" i="1"/>
  <c r="G508" i="1"/>
  <c r="H508" i="1"/>
  <c r="I508" i="1"/>
  <c r="J508" i="1"/>
  <c r="BA508" i="1"/>
  <c r="BB508" i="1"/>
  <c r="BD508" i="1"/>
  <c r="BF508" i="1"/>
  <c r="BG508" i="1"/>
  <c r="BH508" i="1"/>
  <c r="BI508" i="1"/>
  <c r="BY508" i="1"/>
  <c r="BZ508" i="1"/>
  <c r="B509" i="1"/>
  <c r="G509" i="1"/>
  <c r="H509" i="1"/>
  <c r="I509" i="1"/>
  <c r="J509" i="1"/>
  <c r="BA509" i="1"/>
  <c r="BB509" i="1"/>
  <c r="BD509" i="1"/>
  <c r="BF509" i="1"/>
  <c r="BG509" i="1"/>
  <c r="BH509" i="1"/>
  <c r="BI509" i="1"/>
  <c r="BY509" i="1"/>
  <c r="BZ509" i="1"/>
  <c r="B510" i="1"/>
  <c r="G510" i="1"/>
  <c r="H510" i="1"/>
  <c r="I510" i="1"/>
  <c r="J510" i="1"/>
  <c r="BA510" i="1"/>
  <c r="BB510" i="1"/>
  <c r="BD510" i="1"/>
  <c r="BF510" i="1"/>
  <c r="BG510" i="1"/>
  <c r="BH510" i="1"/>
  <c r="BI510" i="1"/>
  <c r="BY510" i="1"/>
  <c r="BZ510" i="1"/>
  <c r="B511" i="1"/>
  <c r="G511" i="1"/>
  <c r="H511" i="1"/>
  <c r="I511" i="1"/>
  <c r="J511" i="1"/>
  <c r="BA511" i="1"/>
  <c r="BB511" i="1"/>
  <c r="BD511" i="1"/>
  <c r="BF511" i="1"/>
  <c r="BG511" i="1"/>
  <c r="BH511" i="1"/>
  <c r="BI511" i="1"/>
  <c r="BY511" i="1"/>
  <c r="BZ511" i="1"/>
  <c r="B512" i="1"/>
  <c r="G512" i="1"/>
  <c r="H512" i="1"/>
  <c r="I512" i="1"/>
  <c r="J512" i="1"/>
  <c r="BA512" i="1"/>
  <c r="BB512" i="1"/>
  <c r="BD512" i="1"/>
  <c r="BF512" i="1"/>
  <c r="BG512" i="1"/>
  <c r="BH512" i="1"/>
  <c r="BI512" i="1"/>
  <c r="BY512" i="1"/>
  <c r="BZ512" i="1"/>
  <c r="B513" i="1"/>
  <c r="G513" i="1"/>
  <c r="H513" i="1"/>
  <c r="I513" i="1"/>
  <c r="J513" i="1"/>
  <c r="BA513" i="1"/>
  <c r="BB513" i="1"/>
  <c r="BD513" i="1"/>
  <c r="BF513" i="1"/>
  <c r="BG513" i="1"/>
  <c r="BH513" i="1"/>
  <c r="BI513" i="1"/>
  <c r="BY513" i="1"/>
  <c r="BZ513" i="1"/>
  <c r="B514" i="1"/>
  <c r="G514" i="1"/>
  <c r="H514" i="1"/>
  <c r="I514" i="1"/>
  <c r="J514" i="1"/>
  <c r="BA514" i="1"/>
  <c r="BB514" i="1"/>
  <c r="BD514" i="1"/>
  <c r="BF514" i="1"/>
  <c r="BG514" i="1"/>
  <c r="BH514" i="1"/>
  <c r="BI514" i="1"/>
  <c r="BK514" i="1"/>
  <c r="BL514" i="1"/>
  <c r="BM514" i="1"/>
  <c r="BN514" i="1"/>
  <c r="BY514" i="1"/>
  <c r="BZ514" i="1"/>
  <c r="B515" i="1"/>
  <c r="G515" i="1"/>
  <c r="H515" i="1"/>
  <c r="I515" i="1"/>
  <c r="J515" i="1"/>
  <c r="BA515" i="1"/>
  <c r="BB515" i="1"/>
  <c r="BD515" i="1"/>
  <c r="BF515" i="1"/>
  <c r="BG515" i="1"/>
  <c r="BH515" i="1"/>
  <c r="BI515" i="1"/>
  <c r="BK515" i="1"/>
  <c r="BL515" i="1"/>
  <c r="BM515" i="1"/>
  <c r="BN515" i="1"/>
  <c r="BY515" i="1"/>
  <c r="BZ515" i="1"/>
  <c r="B516" i="1"/>
  <c r="G516" i="1"/>
  <c r="H516" i="1"/>
  <c r="I516" i="1"/>
  <c r="J516" i="1"/>
  <c r="BA516" i="1"/>
  <c r="BB516" i="1"/>
  <c r="BD516" i="1"/>
  <c r="BF516" i="1"/>
  <c r="BG516" i="1"/>
  <c r="BH516" i="1"/>
  <c r="BI516" i="1"/>
  <c r="BK516" i="1"/>
  <c r="BL516" i="1"/>
  <c r="BM516" i="1"/>
  <c r="BN516" i="1"/>
  <c r="BY516" i="1"/>
  <c r="BZ516" i="1"/>
  <c r="B517" i="1"/>
  <c r="G517" i="1"/>
  <c r="H517" i="1"/>
  <c r="I517" i="1"/>
  <c r="J517" i="1"/>
  <c r="BA517" i="1"/>
  <c r="BB517" i="1"/>
  <c r="BD517" i="1"/>
  <c r="BF517" i="1"/>
  <c r="BG517" i="1"/>
  <c r="BH517" i="1"/>
  <c r="BI517" i="1"/>
  <c r="BK517" i="1"/>
  <c r="BL517" i="1"/>
  <c r="BM517" i="1"/>
  <c r="BN517" i="1"/>
  <c r="BY517" i="1"/>
  <c r="BZ517" i="1"/>
  <c r="B518" i="1"/>
  <c r="G518" i="1"/>
  <c r="H518" i="1"/>
  <c r="I518" i="1"/>
  <c r="J518" i="1"/>
  <c r="BA518" i="1"/>
  <c r="BB518" i="1"/>
  <c r="BD518" i="1"/>
  <c r="BF518" i="1"/>
  <c r="BG518" i="1"/>
  <c r="BH518" i="1"/>
  <c r="BI518" i="1"/>
  <c r="BK518" i="1"/>
  <c r="BL518" i="1"/>
  <c r="BM518" i="1"/>
  <c r="BN518" i="1"/>
  <c r="BY518" i="1"/>
  <c r="BZ518" i="1"/>
  <c r="B519" i="1"/>
  <c r="G519" i="1"/>
  <c r="H519" i="1"/>
  <c r="I519" i="1"/>
  <c r="J519" i="1"/>
  <c r="BA519" i="1"/>
  <c r="BB519" i="1"/>
  <c r="BD519" i="1"/>
  <c r="BF519" i="1"/>
  <c r="BG519" i="1"/>
  <c r="BH519" i="1"/>
  <c r="BI519" i="1"/>
  <c r="BK519" i="1"/>
  <c r="BL519" i="1"/>
  <c r="BM519" i="1"/>
  <c r="BN519" i="1"/>
  <c r="BP519" i="1"/>
  <c r="BQ519" i="1"/>
  <c r="BR519" i="1"/>
  <c r="BS519" i="1"/>
  <c r="BY519" i="1"/>
  <c r="BZ519" i="1"/>
  <c r="B520" i="1"/>
  <c r="G520" i="1"/>
  <c r="H520" i="1"/>
  <c r="I520" i="1"/>
  <c r="J520" i="1"/>
  <c r="BA520" i="1"/>
  <c r="BB520" i="1"/>
  <c r="BD520" i="1"/>
  <c r="BF520" i="1"/>
  <c r="BG520" i="1"/>
  <c r="BH520" i="1"/>
  <c r="BI520" i="1"/>
  <c r="BK520" i="1"/>
  <c r="BL520" i="1"/>
  <c r="BM520" i="1"/>
  <c r="BN520" i="1"/>
  <c r="BP520" i="1"/>
  <c r="BQ520" i="1"/>
  <c r="BR520" i="1"/>
  <c r="BS520" i="1"/>
  <c r="BY520" i="1"/>
  <c r="BZ520" i="1"/>
  <c r="B521" i="1"/>
  <c r="G521" i="1"/>
  <c r="H521" i="1"/>
  <c r="I521" i="1"/>
  <c r="J521" i="1"/>
  <c r="BA521" i="1"/>
  <c r="BB521" i="1"/>
  <c r="BD521" i="1"/>
  <c r="BF521" i="1"/>
  <c r="BG521" i="1"/>
  <c r="BH521" i="1"/>
  <c r="BI521" i="1"/>
  <c r="BY521" i="1"/>
  <c r="BZ521" i="1"/>
  <c r="B522" i="1"/>
  <c r="G522" i="1"/>
  <c r="H522" i="1"/>
  <c r="I522" i="1"/>
  <c r="J522" i="1"/>
  <c r="BA522" i="1"/>
  <c r="BB522" i="1"/>
  <c r="BD522" i="1"/>
  <c r="BF522" i="1"/>
  <c r="BG522" i="1"/>
  <c r="BH522" i="1"/>
  <c r="BI522" i="1"/>
  <c r="BY522" i="1"/>
  <c r="BZ522" i="1"/>
  <c r="B523" i="1"/>
  <c r="G523" i="1"/>
  <c r="H523" i="1"/>
  <c r="I523" i="1"/>
  <c r="J523" i="1"/>
  <c r="BA523" i="1"/>
  <c r="BB523" i="1"/>
  <c r="BD523" i="1"/>
  <c r="BF523" i="1"/>
  <c r="BG523" i="1"/>
  <c r="BH523" i="1"/>
  <c r="BI523" i="1"/>
  <c r="BY523" i="1"/>
  <c r="BZ523" i="1"/>
  <c r="B524" i="1"/>
  <c r="G524" i="1"/>
  <c r="H524" i="1"/>
  <c r="I524" i="1"/>
  <c r="J524" i="1"/>
  <c r="BA524" i="1"/>
  <c r="BB524" i="1"/>
  <c r="BD524" i="1"/>
  <c r="BF524" i="1"/>
  <c r="BG524" i="1"/>
  <c r="BH524" i="1"/>
  <c r="BI524" i="1"/>
  <c r="BY524" i="1"/>
  <c r="BZ524" i="1"/>
  <c r="B525" i="1"/>
  <c r="G525" i="1"/>
  <c r="H525" i="1"/>
  <c r="I525" i="1"/>
  <c r="J525" i="1"/>
  <c r="BA525" i="1"/>
  <c r="BB525" i="1"/>
  <c r="BD525" i="1"/>
  <c r="BF525" i="1"/>
  <c r="BG525" i="1"/>
  <c r="BH525" i="1"/>
  <c r="BI525" i="1"/>
  <c r="BK525" i="1"/>
  <c r="BL525" i="1"/>
  <c r="BM525" i="1"/>
  <c r="BN525" i="1"/>
  <c r="BY525" i="1"/>
  <c r="BZ525" i="1"/>
  <c r="B526" i="1"/>
  <c r="G526" i="1"/>
  <c r="H526" i="1"/>
  <c r="I526" i="1"/>
  <c r="J526" i="1"/>
  <c r="BA526" i="1"/>
  <c r="BB526" i="1"/>
  <c r="BD526" i="1"/>
  <c r="BF526" i="1"/>
  <c r="BG526" i="1"/>
  <c r="BH526" i="1"/>
  <c r="BI526" i="1"/>
  <c r="BK526" i="1"/>
  <c r="BL526" i="1"/>
  <c r="BM526" i="1"/>
  <c r="BN526" i="1"/>
  <c r="BY526" i="1"/>
  <c r="BZ526" i="1"/>
  <c r="B527" i="1"/>
  <c r="G527" i="1"/>
  <c r="H527" i="1"/>
  <c r="I527" i="1"/>
  <c r="J527" i="1"/>
  <c r="BA527" i="1"/>
  <c r="BB527" i="1"/>
  <c r="BD527" i="1"/>
  <c r="BF527" i="1"/>
  <c r="BG527" i="1"/>
  <c r="BH527" i="1"/>
  <c r="BI527" i="1"/>
  <c r="BK527" i="1"/>
  <c r="BL527" i="1"/>
  <c r="BM527" i="1"/>
  <c r="BN527" i="1"/>
  <c r="BY527" i="1"/>
  <c r="BZ527" i="1"/>
  <c r="B528" i="1"/>
  <c r="G528" i="1"/>
  <c r="H528" i="1"/>
  <c r="I528" i="1"/>
  <c r="J528" i="1"/>
  <c r="BA528" i="1"/>
  <c r="BB528" i="1"/>
  <c r="BD528" i="1"/>
  <c r="BF528" i="1"/>
  <c r="BG528" i="1"/>
  <c r="BH528" i="1"/>
  <c r="BI528" i="1"/>
  <c r="BK528" i="1"/>
  <c r="BL528" i="1"/>
  <c r="BM528" i="1"/>
  <c r="BN528" i="1"/>
  <c r="BY528" i="1"/>
  <c r="BZ528" i="1"/>
  <c r="B529" i="1"/>
  <c r="G529" i="1"/>
  <c r="H529" i="1"/>
  <c r="I529" i="1"/>
  <c r="J529" i="1"/>
  <c r="BA529" i="1"/>
  <c r="BB529" i="1"/>
  <c r="BD529" i="1"/>
  <c r="BF529" i="1"/>
  <c r="BG529" i="1"/>
  <c r="BH529" i="1"/>
  <c r="BI529" i="1"/>
  <c r="BY529" i="1"/>
  <c r="BZ529" i="1"/>
  <c r="B530" i="1"/>
  <c r="G530" i="1"/>
  <c r="H530" i="1"/>
  <c r="I530" i="1"/>
  <c r="J530" i="1"/>
  <c r="BA530" i="1"/>
  <c r="BB530" i="1"/>
  <c r="BD530" i="1"/>
  <c r="BF530" i="1"/>
  <c r="BG530" i="1"/>
  <c r="BH530" i="1"/>
  <c r="BI530" i="1"/>
  <c r="BY530" i="1"/>
  <c r="BZ530" i="1"/>
  <c r="B531" i="1"/>
  <c r="G531" i="1"/>
  <c r="H531" i="1"/>
  <c r="I531" i="1"/>
  <c r="J531" i="1"/>
  <c r="BA531" i="1"/>
  <c r="BB531" i="1"/>
  <c r="BD531" i="1"/>
  <c r="BF531" i="1"/>
  <c r="BG531" i="1"/>
  <c r="BH531" i="1"/>
  <c r="BI531" i="1"/>
  <c r="BY531" i="1"/>
  <c r="BZ531" i="1"/>
  <c r="B532" i="1"/>
  <c r="G532" i="1"/>
  <c r="H532" i="1"/>
  <c r="I532" i="1"/>
  <c r="J532" i="1"/>
  <c r="BA532" i="1"/>
  <c r="BB532" i="1"/>
  <c r="BD532" i="1"/>
  <c r="BF532" i="1"/>
  <c r="BG532" i="1"/>
  <c r="BH532" i="1"/>
  <c r="BI532" i="1"/>
  <c r="BY532" i="1"/>
  <c r="BZ532" i="1"/>
  <c r="B533" i="1"/>
  <c r="G533" i="1"/>
  <c r="H533" i="1"/>
  <c r="I533" i="1"/>
  <c r="J533" i="1"/>
  <c r="BA533" i="1"/>
  <c r="BB533" i="1"/>
  <c r="BD533" i="1"/>
  <c r="BF533" i="1"/>
  <c r="BG533" i="1"/>
  <c r="BH533" i="1"/>
  <c r="BI533" i="1"/>
  <c r="BY533" i="1"/>
  <c r="BZ533" i="1"/>
  <c r="B534" i="1"/>
  <c r="G534" i="1"/>
  <c r="H534" i="1"/>
  <c r="I534" i="1"/>
  <c r="J534" i="1"/>
  <c r="BA534" i="1"/>
  <c r="BB534" i="1"/>
  <c r="BD534" i="1"/>
  <c r="BF534" i="1"/>
  <c r="BG534" i="1"/>
  <c r="BH534" i="1"/>
  <c r="BI534" i="1"/>
  <c r="BY534" i="1"/>
  <c r="BZ534" i="1"/>
  <c r="B535" i="1"/>
  <c r="G535" i="1"/>
  <c r="H535" i="1"/>
  <c r="I535" i="1"/>
  <c r="J535" i="1"/>
  <c r="BA535" i="1"/>
  <c r="BB535" i="1"/>
  <c r="BD535" i="1"/>
  <c r="BF535" i="1"/>
  <c r="BG535" i="1"/>
  <c r="BH535" i="1"/>
  <c r="BI535" i="1"/>
  <c r="BK535" i="1"/>
  <c r="BL535" i="1"/>
  <c r="BM535" i="1"/>
  <c r="BN535" i="1"/>
  <c r="BY535" i="1"/>
  <c r="BZ535" i="1"/>
  <c r="B536" i="1"/>
  <c r="G536" i="1"/>
  <c r="H536" i="1"/>
  <c r="I536" i="1"/>
  <c r="J536" i="1"/>
  <c r="BA536" i="1"/>
  <c r="BB536" i="1"/>
  <c r="BD536" i="1"/>
  <c r="BF536" i="1"/>
  <c r="BG536" i="1"/>
  <c r="BH536" i="1"/>
  <c r="BI536" i="1"/>
  <c r="BK536" i="1"/>
  <c r="BL536" i="1"/>
  <c r="BM536" i="1"/>
  <c r="BN536" i="1"/>
  <c r="BY536" i="1"/>
  <c r="BZ536" i="1"/>
  <c r="B537" i="1"/>
  <c r="G537" i="1"/>
  <c r="H537" i="1"/>
  <c r="I537" i="1"/>
  <c r="J537" i="1"/>
  <c r="BA537" i="1"/>
  <c r="BB537" i="1"/>
  <c r="BD537" i="1"/>
  <c r="BF537" i="1"/>
  <c r="BG537" i="1"/>
  <c r="BH537" i="1"/>
  <c r="BI537" i="1"/>
  <c r="BK537" i="1"/>
  <c r="BL537" i="1"/>
  <c r="BM537" i="1"/>
  <c r="BN537" i="1"/>
  <c r="BY537" i="1"/>
  <c r="BZ537" i="1"/>
  <c r="B538" i="1"/>
  <c r="G538" i="1"/>
  <c r="H538" i="1"/>
  <c r="I538" i="1"/>
  <c r="J538" i="1"/>
  <c r="BA538" i="1"/>
  <c r="BB538" i="1"/>
  <c r="BD538" i="1"/>
  <c r="BF538" i="1"/>
  <c r="BG538" i="1"/>
  <c r="BH538" i="1"/>
  <c r="BI538" i="1"/>
  <c r="BK538" i="1"/>
  <c r="BL538" i="1"/>
  <c r="BM538" i="1"/>
  <c r="BN538" i="1"/>
  <c r="BY538" i="1"/>
  <c r="BZ538" i="1"/>
  <c r="B539" i="1"/>
  <c r="G539" i="1"/>
  <c r="H539" i="1"/>
  <c r="I539" i="1"/>
  <c r="J539" i="1"/>
  <c r="BA539" i="1"/>
  <c r="BB539" i="1"/>
  <c r="BD539" i="1"/>
  <c r="BF539" i="1"/>
  <c r="BG539" i="1"/>
  <c r="BH539" i="1"/>
  <c r="BI539" i="1"/>
  <c r="BK539" i="1"/>
  <c r="BL539" i="1"/>
  <c r="BM539" i="1"/>
  <c r="BN539" i="1"/>
  <c r="BY539" i="1"/>
  <c r="BZ539" i="1"/>
  <c r="B540" i="1"/>
  <c r="G540" i="1"/>
  <c r="H540" i="1"/>
  <c r="I540" i="1"/>
  <c r="J540" i="1"/>
  <c r="BA540" i="1"/>
  <c r="BB540" i="1"/>
  <c r="BD540" i="1"/>
  <c r="BF540" i="1"/>
  <c r="BG540" i="1"/>
  <c r="BH540" i="1"/>
  <c r="BI540" i="1"/>
  <c r="BK540" i="1"/>
  <c r="BL540" i="1"/>
  <c r="BM540" i="1"/>
  <c r="BN540" i="1"/>
  <c r="BY540" i="1"/>
  <c r="BZ540" i="1"/>
  <c r="B541" i="1"/>
  <c r="G541" i="1"/>
  <c r="H541" i="1"/>
  <c r="I541" i="1"/>
  <c r="J541" i="1"/>
  <c r="BA541" i="1"/>
  <c r="BB541" i="1"/>
  <c r="BD541" i="1"/>
  <c r="BF541" i="1"/>
  <c r="BG541" i="1"/>
  <c r="BH541" i="1"/>
  <c r="BI541" i="1"/>
  <c r="BY541" i="1"/>
  <c r="BZ541" i="1"/>
  <c r="B542" i="1"/>
  <c r="G542" i="1"/>
  <c r="H542" i="1"/>
  <c r="I542" i="1"/>
  <c r="J542" i="1"/>
  <c r="BA542" i="1"/>
  <c r="BB542" i="1"/>
  <c r="BD542" i="1"/>
  <c r="BF542" i="1"/>
  <c r="BG542" i="1"/>
  <c r="BH542" i="1"/>
  <c r="BI542" i="1"/>
  <c r="BY542" i="1"/>
  <c r="BZ542" i="1"/>
  <c r="B543" i="1"/>
  <c r="G543" i="1"/>
  <c r="H543" i="1"/>
  <c r="I543" i="1"/>
  <c r="J543" i="1"/>
  <c r="BA543" i="1"/>
  <c r="BB543" i="1"/>
  <c r="BD543" i="1"/>
  <c r="BF543" i="1"/>
  <c r="BG543" i="1"/>
  <c r="BH543" i="1"/>
  <c r="BI543" i="1"/>
  <c r="BY543" i="1"/>
  <c r="BZ543" i="1"/>
  <c r="B544" i="1"/>
  <c r="G544" i="1"/>
  <c r="H544" i="1"/>
  <c r="I544" i="1"/>
  <c r="J544" i="1"/>
  <c r="BA544" i="1"/>
  <c r="BB544" i="1"/>
  <c r="BD544" i="1"/>
  <c r="BF544" i="1"/>
  <c r="BG544" i="1"/>
  <c r="BH544" i="1"/>
  <c r="BI544" i="1"/>
  <c r="BY544" i="1"/>
  <c r="BZ544" i="1"/>
  <c r="B545" i="1"/>
  <c r="G545" i="1"/>
  <c r="H545" i="1"/>
  <c r="I545" i="1"/>
  <c r="J545" i="1"/>
  <c r="BA545" i="1"/>
  <c r="BB545" i="1"/>
  <c r="BD545" i="1"/>
  <c r="BF545" i="1"/>
  <c r="BG545" i="1"/>
  <c r="BH545" i="1"/>
  <c r="BI545" i="1"/>
  <c r="BY545" i="1"/>
  <c r="BZ545" i="1"/>
  <c r="B546" i="1"/>
  <c r="G546" i="1"/>
  <c r="H546" i="1"/>
  <c r="I546" i="1"/>
  <c r="J546" i="1"/>
  <c r="BA546" i="1"/>
  <c r="BB546" i="1"/>
  <c r="BD546" i="1"/>
  <c r="BF546" i="1"/>
  <c r="BG546" i="1"/>
  <c r="BH546" i="1"/>
  <c r="BI546" i="1"/>
  <c r="BY546" i="1"/>
  <c r="BZ546" i="1"/>
  <c r="B547" i="1"/>
  <c r="G547" i="1"/>
  <c r="H547" i="1"/>
  <c r="I547" i="1"/>
  <c r="J547" i="1"/>
  <c r="BA547" i="1"/>
  <c r="BB547" i="1"/>
  <c r="BD547" i="1"/>
  <c r="BF547" i="1"/>
  <c r="BG547" i="1"/>
  <c r="BH547" i="1"/>
  <c r="BI547" i="1"/>
  <c r="BY547" i="1"/>
  <c r="BZ547" i="1"/>
  <c r="B548" i="1"/>
  <c r="G548" i="1"/>
  <c r="H548" i="1"/>
  <c r="I548" i="1"/>
  <c r="J548" i="1"/>
  <c r="BA548" i="1"/>
  <c r="BB548" i="1"/>
  <c r="BD548" i="1"/>
  <c r="BF548" i="1"/>
  <c r="BG548" i="1"/>
  <c r="BH548" i="1"/>
  <c r="BI548" i="1"/>
  <c r="BY548" i="1"/>
  <c r="BZ548" i="1"/>
  <c r="B549" i="1"/>
  <c r="G549" i="1"/>
  <c r="H549" i="1"/>
  <c r="I549" i="1"/>
  <c r="J549" i="1"/>
  <c r="BA549" i="1"/>
  <c r="BB549" i="1"/>
  <c r="BD549" i="1"/>
  <c r="BF549" i="1"/>
  <c r="BG549" i="1"/>
  <c r="BH549" i="1"/>
  <c r="BI549" i="1"/>
  <c r="BY549" i="1"/>
  <c r="BZ549" i="1"/>
  <c r="B550" i="1"/>
  <c r="G550" i="1"/>
  <c r="H550" i="1"/>
  <c r="I550" i="1"/>
  <c r="J550" i="1"/>
  <c r="BA550" i="1"/>
  <c r="BB550" i="1"/>
  <c r="BD550" i="1"/>
  <c r="BF550" i="1"/>
  <c r="BG550" i="1"/>
  <c r="BH550" i="1"/>
  <c r="BI550" i="1"/>
  <c r="BY550" i="1"/>
  <c r="BZ550" i="1"/>
  <c r="B551" i="1"/>
  <c r="G551" i="1"/>
  <c r="H551" i="1"/>
  <c r="I551" i="1"/>
  <c r="J551" i="1"/>
  <c r="BA551" i="1"/>
  <c r="BB551" i="1"/>
  <c r="BD551" i="1"/>
  <c r="BF551" i="1"/>
  <c r="BG551" i="1"/>
  <c r="BH551" i="1"/>
  <c r="BI551" i="1"/>
  <c r="BY551" i="1"/>
  <c r="BZ551" i="1"/>
  <c r="B552" i="1"/>
  <c r="G552" i="1"/>
  <c r="H552" i="1"/>
  <c r="I552" i="1"/>
  <c r="J552" i="1"/>
  <c r="BA552" i="1"/>
  <c r="BB552" i="1"/>
  <c r="BD552" i="1"/>
  <c r="BF552" i="1"/>
  <c r="BG552" i="1"/>
  <c r="BH552" i="1"/>
  <c r="BI552" i="1"/>
  <c r="BY552" i="1"/>
  <c r="BZ552" i="1"/>
  <c r="B553" i="1"/>
  <c r="G553" i="1"/>
  <c r="H553" i="1"/>
  <c r="I553" i="1"/>
  <c r="J553" i="1"/>
  <c r="BA553" i="1"/>
  <c r="BB553" i="1"/>
  <c r="BD553" i="1"/>
  <c r="BF553" i="1"/>
  <c r="BG553" i="1"/>
  <c r="BH553" i="1"/>
  <c r="BI553" i="1"/>
  <c r="BK553" i="1"/>
  <c r="BL553" i="1"/>
  <c r="BM553" i="1"/>
  <c r="BN553" i="1"/>
  <c r="BY553" i="1"/>
  <c r="BZ553" i="1"/>
  <c r="B554" i="1"/>
  <c r="G554" i="1"/>
  <c r="H554" i="1"/>
  <c r="I554" i="1"/>
  <c r="J554" i="1"/>
  <c r="BA554" i="1"/>
  <c r="BB554" i="1"/>
  <c r="BD554" i="1"/>
  <c r="BF554" i="1"/>
  <c r="BG554" i="1"/>
  <c r="BH554" i="1"/>
  <c r="BI554" i="1"/>
  <c r="BK554" i="1"/>
  <c r="BL554" i="1"/>
  <c r="BM554" i="1"/>
  <c r="BN554" i="1"/>
  <c r="BY554" i="1"/>
  <c r="BZ554" i="1"/>
  <c r="B555" i="1"/>
  <c r="G555" i="1"/>
  <c r="H555" i="1"/>
  <c r="I555" i="1"/>
  <c r="J555" i="1"/>
  <c r="BA555" i="1"/>
  <c r="BB555" i="1"/>
  <c r="BD555" i="1"/>
  <c r="BF555" i="1"/>
  <c r="BG555" i="1"/>
  <c r="BH555" i="1"/>
  <c r="BI555" i="1"/>
  <c r="BY555" i="1"/>
  <c r="BZ555" i="1"/>
  <c r="B556" i="1"/>
  <c r="G556" i="1"/>
  <c r="H556" i="1"/>
  <c r="I556" i="1"/>
  <c r="J556" i="1"/>
  <c r="BA556" i="1"/>
  <c r="BB556" i="1"/>
  <c r="BD556" i="1"/>
  <c r="BF556" i="1"/>
  <c r="BG556" i="1"/>
  <c r="BH556" i="1"/>
  <c r="BI556" i="1"/>
  <c r="BY556" i="1"/>
  <c r="BZ556" i="1"/>
  <c r="B557" i="1"/>
  <c r="G557" i="1"/>
  <c r="H557" i="1"/>
  <c r="I557" i="1"/>
  <c r="J557" i="1"/>
  <c r="BA557" i="1"/>
  <c r="BB557" i="1"/>
  <c r="BD557" i="1"/>
  <c r="BF557" i="1"/>
  <c r="BG557" i="1"/>
  <c r="BH557" i="1"/>
  <c r="BI557" i="1"/>
  <c r="BY557" i="1"/>
  <c r="BZ557" i="1"/>
  <c r="B558" i="1"/>
  <c r="G558" i="1"/>
  <c r="H558" i="1"/>
  <c r="I558" i="1"/>
  <c r="J558" i="1"/>
  <c r="BA558" i="1"/>
  <c r="BB558" i="1"/>
  <c r="BD558" i="1"/>
  <c r="BF558" i="1"/>
  <c r="BG558" i="1"/>
  <c r="BH558" i="1"/>
  <c r="BI558" i="1"/>
  <c r="BY558" i="1"/>
  <c r="BZ558" i="1"/>
  <c r="B559" i="1"/>
  <c r="G559" i="1"/>
  <c r="H559" i="1"/>
  <c r="I559" i="1"/>
  <c r="J559" i="1"/>
  <c r="BA559" i="1"/>
  <c r="BB559" i="1"/>
  <c r="BD559" i="1"/>
  <c r="BF559" i="1"/>
  <c r="BG559" i="1"/>
  <c r="BH559" i="1"/>
  <c r="BI559" i="1"/>
  <c r="BK559" i="1"/>
  <c r="BL559" i="1"/>
  <c r="BM559" i="1"/>
  <c r="BN559" i="1"/>
  <c r="BY559" i="1"/>
  <c r="BZ559" i="1"/>
  <c r="B560" i="1"/>
  <c r="G560" i="1"/>
  <c r="H560" i="1"/>
  <c r="I560" i="1"/>
  <c r="J560" i="1"/>
  <c r="BA560" i="1"/>
  <c r="BB560" i="1"/>
  <c r="BD560" i="1"/>
  <c r="BF560" i="1"/>
  <c r="BG560" i="1"/>
  <c r="BH560" i="1"/>
  <c r="BI560" i="1"/>
  <c r="BY560" i="1"/>
  <c r="BZ560" i="1"/>
  <c r="B561" i="1"/>
  <c r="G561" i="1"/>
  <c r="H561" i="1"/>
  <c r="I561" i="1"/>
  <c r="J561" i="1"/>
  <c r="BA561" i="1"/>
  <c r="BB561" i="1"/>
  <c r="BD561" i="1"/>
  <c r="BF561" i="1"/>
  <c r="BG561" i="1"/>
  <c r="BH561" i="1"/>
  <c r="BI561" i="1"/>
  <c r="BY561" i="1"/>
  <c r="BZ561" i="1"/>
  <c r="B562" i="1"/>
  <c r="G562" i="1"/>
  <c r="H562" i="1"/>
  <c r="I562" i="1"/>
  <c r="J562" i="1"/>
  <c r="BA562" i="1"/>
  <c r="BB562" i="1"/>
  <c r="BD562" i="1"/>
  <c r="BF562" i="1"/>
  <c r="BG562" i="1"/>
  <c r="BH562" i="1"/>
  <c r="BI562" i="1"/>
  <c r="BY562" i="1"/>
  <c r="BZ562" i="1"/>
  <c r="B563" i="1"/>
  <c r="G563" i="1"/>
  <c r="H563" i="1"/>
  <c r="I563" i="1"/>
  <c r="J563" i="1"/>
  <c r="BA563" i="1"/>
  <c r="BB563" i="1"/>
  <c r="BD563" i="1"/>
  <c r="BF563" i="1"/>
  <c r="BG563" i="1"/>
  <c r="BH563" i="1"/>
  <c r="BI563" i="1"/>
  <c r="BY563" i="1"/>
  <c r="BZ563" i="1"/>
  <c r="B564" i="1"/>
  <c r="G564" i="1"/>
  <c r="H564" i="1"/>
  <c r="I564" i="1"/>
  <c r="J564" i="1"/>
  <c r="BA564" i="1"/>
  <c r="BB564" i="1"/>
  <c r="BD564" i="1"/>
  <c r="BF564" i="1"/>
  <c r="BG564" i="1"/>
  <c r="BH564" i="1"/>
  <c r="BI564" i="1"/>
  <c r="BY564" i="1"/>
  <c r="BZ564" i="1"/>
  <c r="B565" i="1"/>
  <c r="G565" i="1"/>
  <c r="H565" i="1"/>
  <c r="I565" i="1"/>
  <c r="J565" i="1"/>
  <c r="BA565" i="1"/>
  <c r="BB565" i="1"/>
  <c r="BD565" i="1"/>
  <c r="BF565" i="1"/>
  <c r="BG565" i="1"/>
  <c r="BH565" i="1"/>
  <c r="BI565" i="1"/>
  <c r="BY565" i="1"/>
  <c r="BZ565" i="1"/>
  <c r="B566" i="1"/>
  <c r="G566" i="1"/>
  <c r="H566" i="1"/>
  <c r="I566" i="1"/>
  <c r="J566" i="1"/>
  <c r="BA566" i="1"/>
  <c r="BB566" i="1"/>
  <c r="BD566" i="1"/>
  <c r="BF566" i="1"/>
  <c r="BG566" i="1"/>
  <c r="BH566" i="1"/>
  <c r="BI566" i="1"/>
  <c r="BY566" i="1"/>
  <c r="BZ566" i="1"/>
  <c r="B567" i="1"/>
  <c r="G567" i="1"/>
  <c r="H567" i="1"/>
  <c r="I567" i="1"/>
  <c r="J567" i="1"/>
  <c r="BA567" i="1"/>
  <c r="BB567" i="1"/>
  <c r="BD567" i="1"/>
  <c r="BF567" i="1"/>
  <c r="BG567" i="1"/>
  <c r="BH567" i="1"/>
  <c r="BI567" i="1"/>
  <c r="BY567" i="1"/>
  <c r="BZ567" i="1"/>
  <c r="B568" i="1"/>
  <c r="G568" i="1"/>
  <c r="H568" i="1"/>
  <c r="I568" i="1"/>
  <c r="J568" i="1"/>
  <c r="BA568" i="1"/>
  <c r="BB568" i="1"/>
  <c r="BD568" i="1"/>
  <c r="BF568" i="1"/>
  <c r="BG568" i="1"/>
  <c r="BH568" i="1"/>
  <c r="BI568" i="1"/>
  <c r="BK568" i="1"/>
  <c r="BL568" i="1"/>
  <c r="BM568" i="1"/>
  <c r="BN568" i="1"/>
  <c r="BY568" i="1"/>
  <c r="BZ568" i="1"/>
  <c r="B569" i="1"/>
  <c r="G569" i="1"/>
  <c r="H569" i="1"/>
  <c r="I569" i="1"/>
  <c r="J569" i="1"/>
  <c r="BA569" i="1"/>
  <c r="BB569" i="1"/>
  <c r="BD569" i="1"/>
  <c r="BF569" i="1"/>
  <c r="BG569" i="1"/>
  <c r="BH569" i="1"/>
  <c r="BI569" i="1"/>
  <c r="BY569" i="1"/>
  <c r="BZ569" i="1"/>
  <c r="B570" i="1"/>
  <c r="G570" i="1"/>
  <c r="H570" i="1"/>
  <c r="I570" i="1"/>
  <c r="J570" i="1"/>
  <c r="BA570" i="1"/>
  <c r="BB570" i="1"/>
  <c r="BD570" i="1"/>
  <c r="BF570" i="1"/>
  <c r="BG570" i="1"/>
  <c r="BH570" i="1"/>
  <c r="BI570" i="1"/>
  <c r="BK570" i="1"/>
  <c r="BL570" i="1"/>
  <c r="BM570" i="1"/>
  <c r="BN570" i="1"/>
  <c r="BP570" i="1"/>
  <c r="BQ570" i="1"/>
  <c r="BR570" i="1"/>
  <c r="BS570" i="1"/>
  <c r="BY570" i="1"/>
  <c r="BZ570" i="1"/>
  <c r="B571" i="1"/>
  <c r="G571" i="1"/>
  <c r="H571" i="1"/>
  <c r="I571" i="1"/>
  <c r="J571" i="1"/>
  <c r="BA571" i="1"/>
  <c r="BB571" i="1"/>
  <c r="BD571" i="1"/>
  <c r="BF571" i="1"/>
  <c r="BG571" i="1"/>
  <c r="BH571" i="1"/>
  <c r="BI571" i="1"/>
  <c r="BK571" i="1"/>
  <c r="BL571" i="1"/>
  <c r="BM571" i="1"/>
  <c r="BN571" i="1"/>
  <c r="BP571" i="1"/>
  <c r="BQ571" i="1"/>
  <c r="BR571" i="1"/>
  <c r="BS571" i="1"/>
  <c r="BY571" i="1"/>
  <c r="BZ571" i="1"/>
  <c r="B572" i="1"/>
  <c r="G572" i="1"/>
  <c r="H572" i="1"/>
  <c r="I572" i="1"/>
  <c r="J572" i="1"/>
  <c r="BA572" i="1"/>
  <c r="BB572" i="1"/>
  <c r="BD572" i="1"/>
  <c r="BF572" i="1"/>
  <c r="BG572" i="1"/>
  <c r="BH572" i="1"/>
  <c r="BI572" i="1"/>
  <c r="BK572" i="1"/>
  <c r="BL572" i="1"/>
  <c r="BM572" i="1"/>
  <c r="BN572" i="1"/>
  <c r="BP572" i="1"/>
  <c r="BQ572" i="1"/>
  <c r="BR572" i="1"/>
  <c r="BS572" i="1"/>
  <c r="BY572" i="1"/>
  <c r="BZ572" i="1"/>
  <c r="B573" i="1"/>
  <c r="G573" i="1"/>
  <c r="H573" i="1"/>
  <c r="I573" i="1"/>
  <c r="J573" i="1"/>
  <c r="BA573" i="1"/>
  <c r="BB573" i="1"/>
  <c r="BD573" i="1"/>
  <c r="BF573" i="1"/>
  <c r="BG573" i="1"/>
  <c r="BH573" i="1"/>
  <c r="BI573" i="1"/>
  <c r="BK573" i="1"/>
  <c r="BL573" i="1"/>
  <c r="BM573" i="1"/>
  <c r="BN573" i="1"/>
  <c r="BP573" i="1"/>
  <c r="BQ573" i="1"/>
  <c r="BR573" i="1"/>
  <c r="BS573" i="1"/>
  <c r="BY573" i="1"/>
  <c r="BZ573" i="1"/>
  <c r="B574" i="1"/>
  <c r="G574" i="1"/>
  <c r="H574" i="1"/>
  <c r="I574" i="1"/>
  <c r="J574" i="1"/>
  <c r="BA574" i="1"/>
  <c r="BB574" i="1"/>
  <c r="BD574" i="1"/>
  <c r="BF574" i="1"/>
  <c r="BG574" i="1"/>
  <c r="BH574" i="1"/>
  <c r="BI574" i="1"/>
  <c r="BK574" i="1"/>
  <c r="BL574" i="1"/>
  <c r="BM574" i="1"/>
  <c r="BN574" i="1"/>
  <c r="BP574" i="1"/>
  <c r="BQ574" i="1"/>
  <c r="BR574" i="1"/>
  <c r="BS574" i="1"/>
  <c r="BY574" i="1"/>
  <c r="BZ574" i="1"/>
  <c r="B575" i="1"/>
  <c r="G575" i="1"/>
  <c r="H575" i="1"/>
  <c r="I575" i="1"/>
  <c r="J575" i="1"/>
  <c r="BA575" i="1"/>
  <c r="BB575" i="1"/>
  <c r="BD575" i="1"/>
  <c r="BF575" i="1"/>
  <c r="BG575" i="1"/>
  <c r="BH575" i="1"/>
  <c r="BI575" i="1"/>
  <c r="BK575" i="1"/>
  <c r="BL575" i="1"/>
  <c r="BM575" i="1"/>
  <c r="BN575" i="1"/>
  <c r="BP575" i="1"/>
  <c r="BQ575" i="1"/>
  <c r="BR575" i="1"/>
  <c r="BS575" i="1"/>
  <c r="BY575" i="1"/>
  <c r="BZ575" i="1"/>
  <c r="B576" i="1"/>
  <c r="G576" i="1"/>
  <c r="H576" i="1"/>
  <c r="I576" i="1"/>
  <c r="J576" i="1"/>
  <c r="BA576" i="1"/>
  <c r="BB576" i="1"/>
  <c r="BD576" i="1"/>
  <c r="BF576" i="1"/>
  <c r="BG576" i="1"/>
  <c r="BH576" i="1"/>
  <c r="BI576" i="1"/>
  <c r="BY576" i="1"/>
  <c r="BZ576" i="1"/>
  <c r="B577" i="1"/>
  <c r="G577" i="1"/>
  <c r="H577" i="1"/>
  <c r="I577" i="1"/>
  <c r="J577" i="1"/>
  <c r="BA577" i="1"/>
  <c r="BB577" i="1"/>
  <c r="BD577" i="1"/>
  <c r="BF577" i="1"/>
  <c r="BG577" i="1"/>
  <c r="BH577" i="1"/>
  <c r="BI577" i="1"/>
  <c r="BY577" i="1"/>
  <c r="BZ577" i="1"/>
  <c r="B578" i="1"/>
  <c r="G578" i="1"/>
  <c r="H578" i="1"/>
  <c r="I578" i="1"/>
  <c r="J578" i="1"/>
  <c r="BA578" i="1"/>
  <c r="BB578" i="1"/>
  <c r="BD578" i="1"/>
  <c r="BF578" i="1"/>
  <c r="BG578" i="1"/>
  <c r="BH578" i="1"/>
  <c r="BI578" i="1"/>
  <c r="BY578" i="1"/>
  <c r="BZ578" i="1"/>
  <c r="B579" i="1"/>
  <c r="G579" i="1"/>
  <c r="H579" i="1"/>
  <c r="I579" i="1"/>
  <c r="J579" i="1"/>
  <c r="BA579" i="1"/>
  <c r="BB579" i="1"/>
  <c r="BD579" i="1"/>
  <c r="BF579" i="1"/>
  <c r="BG579" i="1"/>
  <c r="BH579" i="1"/>
  <c r="BI579" i="1"/>
  <c r="BY579" i="1"/>
  <c r="BZ579" i="1"/>
  <c r="B580" i="1"/>
  <c r="G580" i="1"/>
  <c r="H580" i="1"/>
  <c r="I580" i="1"/>
  <c r="J580" i="1"/>
  <c r="BA580" i="1"/>
  <c r="BB580" i="1"/>
  <c r="BD580" i="1"/>
  <c r="BF580" i="1"/>
  <c r="BG580" i="1"/>
  <c r="BH580" i="1"/>
  <c r="BI580" i="1"/>
  <c r="BY580" i="1"/>
  <c r="BZ580" i="1"/>
  <c r="B581" i="1"/>
  <c r="G581" i="1"/>
  <c r="H581" i="1"/>
  <c r="I581" i="1"/>
  <c r="J581" i="1"/>
  <c r="BA581" i="1"/>
  <c r="BB581" i="1"/>
  <c r="BD581" i="1"/>
  <c r="BF581" i="1"/>
  <c r="BG581" i="1"/>
  <c r="BH581" i="1"/>
  <c r="BI581" i="1"/>
  <c r="BY581" i="1"/>
  <c r="BZ581" i="1"/>
  <c r="B582" i="1"/>
  <c r="G582" i="1"/>
  <c r="H582" i="1"/>
  <c r="I582" i="1"/>
  <c r="J582" i="1"/>
  <c r="BA582" i="1"/>
  <c r="BB582" i="1"/>
  <c r="BD582" i="1"/>
  <c r="BF582" i="1"/>
  <c r="BG582" i="1"/>
  <c r="BH582" i="1"/>
  <c r="BI582" i="1"/>
  <c r="BY582" i="1"/>
  <c r="BZ582" i="1"/>
  <c r="B583" i="1"/>
  <c r="G583" i="1"/>
  <c r="H583" i="1"/>
  <c r="I583" i="1"/>
  <c r="J583" i="1"/>
  <c r="BA583" i="1"/>
  <c r="BB583" i="1"/>
  <c r="BD583" i="1"/>
  <c r="BF583" i="1"/>
  <c r="BG583" i="1"/>
  <c r="BH583" i="1"/>
  <c r="BI583" i="1"/>
  <c r="BY583" i="1"/>
  <c r="BZ583" i="1"/>
  <c r="B584" i="1"/>
  <c r="G584" i="1"/>
  <c r="H584" i="1"/>
  <c r="I584" i="1"/>
  <c r="J584" i="1"/>
  <c r="BA584" i="1"/>
  <c r="BB584" i="1"/>
  <c r="BD584" i="1"/>
  <c r="BF584" i="1"/>
  <c r="BG584" i="1"/>
  <c r="BH584" i="1"/>
  <c r="BI584" i="1"/>
  <c r="BY584" i="1"/>
  <c r="BZ584" i="1"/>
  <c r="B585" i="1"/>
  <c r="G585" i="1"/>
  <c r="H585" i="1"/>
  <c r="I585" i="1"/>
  <c r="J585" i="1"/>
  <c r="BA585" i="1"/>
  <c r="BB585" i="1"/>
  <c r="BD585" i="1"/>
  <c r="BF585" i="1"/>
  <c r="BG585" i="1"/>
  <c r="BH585" i="1"/>
  <c r="BI585" i="1"/>
  <c r="BK585" i="1"/>
  <c r="BL585" i="1"/>
  <c r="BM585" i="1"/>
  <c r="BN585" i="1"/>
  <c r="BP585" i="1"/>
  <c r="BQ585" i="1"/>
  <c r="BR585" i="1"/>
  <c r="BS585" i="1"/>
  <c r="BU585" i="1"/>
  <c r="BV585" i="1"/>
  <c r="BW585" i="1"/>
  <c r="BX585" i="1"/>
  <c r="BY585" i="1"/>
  <c r="BZ585" i="1"/>
  <c r="B586" i="1"/>
  <c r="G586" i="1"/>
  <c r="H586" i="1"/>
  <c r="I586" i="1"/>
  <c r="J586" i="1"/>
  <c r="BA586" i="1"/>
  <c r="BB586" i="1"/>
  <c r="BD586" i="1"/>
  <c r="BF586" i="1"/>
  <c r="BG586" i="1"/>
  <c r="BH586" i="1"/>
  <c r="BI586" i="1"/>
  <c r="BK586" i="1"/>
  <c r="BL586" i="1"/>
  <c r="BM586" i="1"/>
  <c r="BN586" i="1"/>
  <c r="BP586" i="1"/>
  <c r="BQ586" i="1"/>
  <c r="BR586" i="1"/>
  <c r="BS586" i="1"/>
  <c r="BU586" i="1"/>
  <c r="BV586" i="1"/>
  <c r="BW586" i="1"/>
  <c r="BX586" i="1"/>
  <c r="BY586" i="1"/>
  <c r="BZ586" i="1"/>
  <c r="B587" i="1"/>
  <c r="G587" i="1"/>
  <c r="H587" i="1"/>
  <c r="I587" i="1"/>
  <c r="J587" i="1"/>
  <c r="BA587" i="1"/>
  <c r="BB587" i="1"/>
  <c r="BD587" i="1"/>
  <c r="BF587" i="1"/>
  <c r="BG587" i="1"/>
  <c r="BH587" i="1"/>
  <c r="BI587" i="1"/>
  <c r="BK587" i="1"/>
  <c r="BL587" i="1"/>
  <c r="BM587" i="1"/>
  <c r="BN587" i="1"/>
  <c r="BP587" i="1"/>
  <c r="BQ587" i="1"/>
  <c r="BR587" i="1"/>
  <c r="BS587" i="1"/>
  <c r="BU587" i="1"/>
  <c r="BV587" i="1"/>
  <c r="BW587" i="1"/>
  <c r="BX587" i="1"/>
  <c r="BY587" i="1"/>
  <c r="BZ587" i="1"/>
  <c r="B588" i="1"/>
  <c r="G588" i="1"/>
  <c r="H588" i="1"/>
  <c r="I588" i="1"/>
  <c r="J588" i="1"/>
  <c r="BA588" i="1"/>
  <c r="BB588" i="1"/>
  <c r="BD588" i="1"/>
  <c r="BF588" i="1"/>
  <c r="BG588" i="1"/>
  <c r="BH588" i="1"/>
  <c r="BI588" i="1"/>
  <c r="BK588" i="1"/>
  <c r="BL588" i="1"/>
  <c r="BM588" i="1"/>
  <c r="BN588" i="1"/>
  <c r="BP588" i="1"/>
  <c r="BQ588" i="1"/>
  <c r="BR588" i="1"/>
  <c r="BS588" i="1"/>
  <c r="BU588" i="1"/>
  <c r="BV588" i="1"/>
  <c r="BW588" i="1"/>
  <c r="BX588" i="1"/>
  <c r="BY588" i="1"/>
  <c r="BZ588" i="1"/>
  <c r="B589" i="1"/>
  <c r="G589" i="1"/>
  <c r="H589" i="1"/>
  <c r="I589" i="1"/>
  <c r="J589" i="1"/>
  <c r="BA589" i="1"/>
  <c r="BB589" i="1"/>
  <c r="BD589" i="1"/>
  <c r="BF589" i="1"/>
  <c r="BG589" i="1"/>
  <c r="BH589" i="1"/>
  <c r="BI589" i="1"/>
  <c r="BY589" i="1"/>
  <c r="BZ589" i="1"/>
  <c r="B590" i="1"/>
  <c r="G590" i="1"/>
  <c r="H590" i="1"/>
  <c r="I590" i="1"/>
  <c r="J590" i="1"/>
  <c r="BA590" i="1"/>
  <c r="BB590" i="1"/>
  <c r="BD590" i="1"/>
  <c r="BF590" i="1"/>
  <c r="BG590" i="1"/>
  <c r="BH590" i="1"/>
  <c r="BI590" i="1"/>
  <c r="BY590" i="1"/>
  <c r="BZ590" i="1"/>
  <c r="B591" i="1"/>
  <c r="G591" i="1"/>
  <c r="H591" i="1"/>
  <c r="I591" i="1"/>
  <c r="J591" i="1"/>
  <c r="BA591" i="1"/>
  <c r="BB591" i="1"/>
  <c r="BD591" i="1"/>
  <c r="BF591" i="1"/>
  <c r="BG591" i="1"/>
  <c r="BH591" i="1"/>
  <c r="BI591" i="1"/>
  <c r="BY591" i="1"/>
  <c r="BZ591" i="1"/>
  <c r="B592" i="1"/>
  <c r="G592" i="1"/>
  <c r="H592" i="1"/>
  <c r="I592" i="1"/>
  <c r="J592" i="1"/>
  <c r="BA592" i="1"/>
  <c r="BB592" i="1"/>
  <c r="BD592" i="1"/>
  <c r="BF592" i="1"/>
  <c r="BG592" i="1"/>
  <c r="BH592" i="1"/>
  <c r="BI592" i="1"/>
  <c r="BY592" i="1"/>
  <c r="BZ592" i="1"/>
  <c r="B593" i="1"/>
  <c r="G593" i="1"/>
  <c r="H593" i="1"/>
  <c r="I593" i="1"/>
  <c r="J593" i="1"/>
  <c r="BA593" i="1"/>
  <c r="BB593" i="1"/>
  <c r="BD593" i="1"/>
  <c r="BF593" i="1"/>
  <c r="BG593" i="1"/>
  <c r="BH593" i="1"/>
  <c r="BI593" i="1"/>
  <c r="BY593" i="1"/>
  <c r="BZ593" i="1"/>
  <c r="B594" i="1"/>
  <c r="G594" i="1"/>
  <c r="H594" i="1"/>
  <c r="I594" i="1"/>
  <c r="J594" i="1"/>
  <c r="BA594" i="1"/>
  <c r="BB594" i="1"/>
  <c r="BD594" i="1"/>
  <c r="BF594" i="1"/>
  <c r="BG594" i="1"/>
  <c r="BH594" i="1"/>
  <c r="BI594" i="1"/>
  <c r="BY594" i="1"/>
  <c r="BZ594" i="1"/>
  <c r="B595" i="1"/>
  <c r="G595" i="1"/>
  <c r="H595" i="1"/>
  <c r="I595" i="1"/>
  <c r="J595" i="1"/>
  <c r="BA595" i="1"/>
  <c r="BB595" i="1"/>
  <c r="BD595" i="1"/>
  <c r="BF595" i="1"/>
  <c r="BG595" i="1"/>
  <c r="BH595" i="1"/>
  <c r="BI595" i="1"/>
  <c r="BY595" i="1"/>
  <c r="BZ595" i="1"/>
  <c r="B596" i="1"/>
  <c r="G596" i="1"/>
  <c r="H596" i="1"/>
  <c r="I596" i="1"/>
  <c r="J596" i="1"/>
  <c r="BA596" i="1"/>
  <c r="BB596" i="1"/>
  <c r="BD596" i="1"/>
  <c r="BF596" i="1"/>
  <c r="BG596" i="1"/>
  <c r="BH596" i="1"/>
  <c r="BI596" i="1"/>
  <c r="BY596" i="1"/>
  <c r="BZ596" i="1"/>
  <c r="B597" i="1"/>
  <c r="G597" i="1"/>
  <c r="H597" i="1"/>
  <c r="I597" i="1"/>
  <c r="J597" i="1"/>
  <c r="BA597" i="1"/>
  <c r="BB597" i="1"/>
  <c r="BD597" i="1"/>
  <c r="BF597" i="1"/>
  <c r="BG597" i="1"/>
  <c r="BH597" i="1"/>
  <c r="BI597" i="1"/>
  <c r="BY597" i="1"/>
  <c r="BZ597" i="1"/>
  <c r="B598" i="1"/>
  <c r="G598" i="1"/>
  <c r="H598" i="1"/>
  <c r="I598" i="1"/>
  <c r="J598" i="1"/>
  <c r="BA598" i="1"/>
  <c r="BB598" i="1"/>
  <c r="BD598" i="1"/>
  <c r="BF598" i="1"/>
  <c r="BG598" i="1"/>
  <c r="BH598" i="1"/>
  <c r="BI598" i="1"/>
  <c r="BY598" i="1"/>
  <c r="BZ598" i="1"/>
  <c r="B599" i="1"/>
  <c r="G599" i="1"/>
  <c r="H599" i="1"/>
  <c r="I599" i="1"/>
  <c r="J599" i="1"/>
  <c r="BA599" i="1"/>
  <c r="BB599" i="1"/>
  <c r="BD599" i="1"/>
  <c r="BF599" i="1"/>
  <c r="BG599" i="1"/>
  <c r="BH599" i="1"/>
  <c r="BI599" i="1"/>
  <c r="BY599" i="1"/>
  <c r="BZ599" i="1"/>
  <c r="B600" i="1"/>
  <c r="G600" i="1"/>
  <c r="H600" i="1"/>
  <c r="I600" i="1"/>
  <c r="J600" i="1"/>
  <c r="BA600" i="1"/>
  <c r="BB600" i="1"/>
  <c r="BD600" i="1"/>
  <c r="BF600" i="1"/>
  <c r="BG600" i="1"/>
  <c r="BH600" i="1"/>
  <c r="BI600" i="1"/>
  <c r="BY600" i="1"/>
  <c r="BZ600" i="1"/>
  <c r="B601" i="1"/>
  <c r="G601" i="1"/>
  <c r="H601" i="1"/>
  <c r="I601" i="1"/>
  <c r="J601" i="1"/>
  <c r="BA601" i="1"/>
  <c r="BB601" i="1"/>
  <c r="BD601" i="1"/>
  <c r="BF601" i="1"/>
  <c r="BG601" i="1"/>
  <c r="BH601" i="1"/>
  <c r="BI601" i="1"/>
  <c r="BY601" i="1"/>
  <c r="BZ601" i="1"/>
  <c r="B602" i="1"/>
  <c r="G602" i="1"/>
  <c r="H602" i="1"/>
  <c r="I602" i="1"/>
  <c r="J602" i="1"/>
  <c r="BA602" i="1"/>
  <c r="BB602" i="1"/>
  <c r="BD602" i="1"/>
  <c r="BF602" i="1"/>
  <c r="BG602" i="1"/>
  <c r="BH602" i="1"/>
  <c r="BI602" i="1"/>
  <c r="BY602" i="1"/>
  <c r="BZ602" i="1"/>
  <c r="B603" i="1"/>
  <c r="G603" i="1"/>
  <c r="H603" i="1"/>
  <c r="I603" i="1"/>
  <c r="J603" i="1"/>
  <c r="BA603" i="1"/>
  <c r="BB603" i="1"/>
  <c r="BD603" i="1"/>
  <c r="BF603" i="1"/>
  <c r="BG603" i="1"/>
  <c r="BH603" i="1"/>
  <c r="BI603" i="1"/>
  <c r="BY603" i="1"/>
  <c r="BZ603" i="1"/>
  <c r="B604" i="1"/>
  <c r="G604" i="1"/>
  <c r="H604" i="1"/>
  <c r="I604" i="1"/>
  <c r="J604" i="1"/>
  <c r="BA604" i="1"/>
  <c r="BB604" i="1"/>
  <c r="BD604" i="1"/>
  <c r="BF604" i="1"/>
  <c r="BG604" i="1"/>
  <c r="BH604" i="1"/>
  <c r="BI604" i="1"/>
  <c r="BK604" i="1"/>
  <c r="BL604" i="1"/>
  <c r="BM604" i="1"/>
  <c r="BN604" i="1"/>
  <c r="BY604" i="1"/>
  <c r="BZ604" i="1"/>
  <c r="B605" i="1"/>
  <c r="G605" i="1"/>
  <c r="H605" i="1"/>
  <c r="I605" i="1"/>
  <c r="J605" i="1"/>
  <c r="BA605" i="1"/>
  <c r="BB605" i="1"/>
  <c r="BD605" i="1"/>
  <c r="BF605" i="1"/>
  <c r="BG605" i="1"/>
  <c r="BH605" i="1"/>
  <c r="BI605" i="1"/>
  <c r="BK605" i="1"/>
  <c r="BL605" i="1"/>
  <c r="BM605" i="1"/>
  <c r="BN605" i="1"/>
  <c r="BY605" i="1"/>
  <c r="BZ605" i="1"/>
  <c r="B606" i="1"/>
  <c r="G606" i="1"/>
  <c r="H606" i="1"/>
  <c r="I606" i="1"/>
  <c r="J606" i="1"/>
  <c r="BA606" i="1"/>
  <c r="BB606" i="1"/>
  <c r="BD606" i="1"/>
  <c r="BF606" i="1"/>
  <c r="BG606" i="1"/>
  <c r="BH606" i="1"/>
  <c r="BI606" i="1"/>
  <c r="BY606" i="1"/>
  <c r="BZ606" i="1"/>
  <c r="B607" i="1"/>
  <c r="G607" i="1"/>
  <c r="H607" i="1"/>
  <c r="I607" i="1"/>
  <c r="J607" i="1"/>
  <c r="BA607" i="1"/>
  <c r="BB607" i="1"/>
  <c r="BD607" i="1"/>
  <c r="BF607" i="1"/>
  <c r="BG607" i="1"/>
  <c r="BH607" i="1"/>
  <c r="BI607" i="1"/>
  <c r="BY607" i="1"/>
  <c r="BZ607" i="1"/>
  <c r="B608" i="1"/>
  <c r="G608" i="1"/>
  <c r="H608" i="1"/>
  <c r="I608" i="1"/>
  <c r="J608" i="1"/>
  <c r="BA608" i="1"/>
  <c r="BB608" i="1"/>
  <c r="BD608" i="1"/>
  <c r="BF608" i="1"/>
  <c r="BG608" i="1"/>
  <c r="BH608" i="1"/>
  <c r="BI608" i="1"/>
  <c r="BY608" i="1"/>
  <c r="BZ608" i="1"/>
  <c r="B609" i="1"/>
  <c r="G609" i="1"/>
  <c r="H609" i="1"/>
  <c r="I609" i="1"/>
  <c r="J609" i="1"/>
  <c r="BA609" i="1"/>
  <c r="BB609" i="1"/>
  <c r="BD609" i="1"/>
  <c r="BF609" i="1"/>
  <c r="BG609" i="1"/>
  <c r="BH609" i="1"/>
  <c r="BI609" i="1"/>
  <c r="BY609" i="1"/>
  <c r="BZ609" i="1"/>
  <c r="B610" i="1"/>
  <c r="G610" i="1"/>
  <c r="H610" i="1"/>
  <c r="I610" i="1"/>
  <c r="J610" i="1"/>
  <c r="BA610" i="1"/>
  <c r="BB610" i="1"/>
  <c r="BD610" i="1"/>
  <c r="BF610" i="1"/>
  <c r="BG610" i="1"/>
  <c r="BH610" i="1"/>
  <c r="BI610" i="1"/>
  <c r="BY610" i="1"/>
  <c r="BZ610" i="1"/>
  <c r="B611" i="1"/>
  <c r="G611" i="1"/>
  <c r="H611" i="1"/>
  <c r="I611" i="1"/>
  <c r="J611" i="1"/>
  <c r="BA611" i="1"/>
  <c r="BB611" i="1"/>
  <c r="BD611" i="1"/>
  <c r="BF611" i="1"/>
  <c r="BG611" i="1"/>
  <c r="BH611" i="1"/>
  <c r="BI611" i="1"/>
  <c r="BK611" i="1"/>
  <c r="BL611" i="1"/>
  <c r="BM611" i="1"/>
  <c r="BN611" i="1"/>
  <c r="BY611" i="1"/>
  <c r="BZ611" i="1"/>
  <c r="B612" i="1"/>
  <c r="G612" i="1"/>
  <c r="H612" i="1"/>
  <c r="I612" i="1"/>
  <c r="J612" i="1"/>
  <c r="BA612" i="1"/>
  <c r="BB612" i="1"/>
  <c r="BD612" i="1"/>
  <c r="BF612" i="1"/>
  <c r="BG612" i="1"/>
  <c r="BH612" i="1"/>
  <c r="BI612" i="1"/>
  <c r="BY612" i="1"/>
  <c r="BZ612" i="1"/>
  <c r="B613" i="1"/>
  <c r="G613" i="1"/>
  <c r="H613" i="1"/>
  <c r="I613" i="1"/>
  <c r="J613" i="1"/>
  <c r="BA613" i="1"/>
  <c r="BB613" i="1"/>
  <c r="BD613" i="1"/>
  <c r="BF613" i="1"/>
  <c r="BG613" i="1"/>
  <c r="BH613" i="1"/>
  <c r="BI613" i="1"/>
  <c r="BY613" i="1"/>
  <c r="BZ613" i="1"/>
  <c r="B614" i="1"/>
  <c r="G614" i="1"/>
  <c r="H614" i="1"/>
  <c r="I614" i="1"/>
  <c r="J614" i="1"/>
  <c r="BA614" i="1"/>
  <c r="BB614" i="1"/>
  <c r="BD614" i="1"/>
  <c r="BF614" i="1"/>
  <c r="BG614" i="1"/>
  <c r="BH614" i="1"/>
  <c r="BI614" i="1"/>
  <c r="BY614" i="1"/>
  <c r="BZ614" i="1"/>
  <c r="B615" i="1"/>
  <c r="G615" i="1"/>
  <c r="H615" i="1"/>
  <c r="I615" i="1"/>
  <c r="J615" i="1"/>
  <c r="BA615" i="1"/>
  <c r="BB615" i="1"/>
  <c r="BD615" i="1"/>
  <c r="BF615" i="1"/>
  <c r="BG615" i="1"/>
  <c r="BH615" i="1"/>
  <c r="BI615" i="1"/>
  <c r="BY615" i="1"/>
  <c r="BZ615" i="1"/>
  <c r="B616" i="1"/>
  <c r="G616" i="1"/>
  <c r="H616" i="1"/>
  <c r="I616" i="1"/>
  <c r="J616" i="1"/>
  <c r="BA616" i="1"/>
  <c r="BB616" i="1"/>
  <c r="BD616" i="1"/>
  <c r="BF616" i="1"/>
  <c r="BG616" i="1"/>
  <c r="BH616" i="1"/>
  <c r="BI616" i="1"/>
  <c r="BY616" i="1"/>
  <c r="BZ616" i="1"/>
  <c r="B617" i="1"/>
  <c r="G617" i="1"/>
  <c r="H617" i="1"/>
  <c r="I617" i="1"/>
  <c r="J617" i="1"/>
  <c r="BA617" i="1"/>
  <c r="BB617" i="1"/>
  <c r="BD617" i="1"/>
  <c r="BF617" i="1"/>
  <c r="BG617" i="1"/>
  <c r="BH617" i="1"/>
  <c r="BI617" i="1"/>
  <c r="BY617" i="1"/>
  <c r="BZ617" i="1"/>
  <c r="B618" i="1"/>
  <c r="G618" i="1"/>
  <c r="H618" i="1"/>
  <c r="I618" i="1"/>
  <c r="J618" i="1"/>
  <c r="BA618" i="1"/>
  <c r="BB618" i="1"/>
  <c r="BD618" i="1"/>
  <c r="BF618" i="1"/>
  <c r="BG618" i="1"/>
  <c r="BH618" i="1"/>
  <c r="BI618" i="1"/>
  <c r="BY618" i="1"/>
  <c r="BZ618" i="1"/>
  <c r="B619" i="1"/>
  <c r="G619" i="1"/>
  <c r="H619" i="1"/>
  <c r="I619" i="1"/>
  <c r="J619" i="1"/>
  <c r="BA619" i="1"/>
  <c r="BB619" i="1"/>
  <c r="BD619" i="1"/>
  <c r="BF619" i="1"/>
  <c r="BG619" i="1"/>
  <c r="BH619" i="1"/>
  <c r="BI619" i="1"/>
  <c r="BY619" i="1"/>
  <c r="BZ619" i="1"/>
  <c r="B620" i="1"/>
  <c r="G620" i="1"/>
  <c r="H620" i="1"/>
  <c r="I620" i="1"/>
  <c r="J620" i="1"/>
  <c r="BA620" i="1"/>
  <c r="BB620" i="1"/>
  <c r="BD620" i="1"/>
  <c r="BF620" i="1"/>
  <c r="BG620" i="1"/>
  <c r="BH620" i="1"/>
  <c r="BI620" i="1"/>
  <c r="BY620" i="1"/>
  <c r="BZ620" i="1"/>
  <c r="B621" i="1"/>
  <c r="G621" i="1"/>
  <c r="H621" i="1"/>
  <c r="I621" i="1"/>
  <c r="J621" i="1"/>
  <c r="BA621" i="1"/>
  <c r="BB621" i="1"/>
  <c r="BD621" i="1"/>
  <c r="BF621" i="1"/>
  <c r="BG621" i="1"/>
  <c r="BH621" i="1"/>
  <c r="BI621" i="1"/>
  <c r="BY621" i="1"/>
  <c r="BZ621" i="1"/>
  <c r="B622" i="1"/>
  <c r="G622" i="1"/>
  <c r="H622" i="1"/>
  <c r="I622" i="1"/>
  <c r="J622" i="1"/>
  <c r="BA622" i="1"/>
  <c r="BB622" i="1"/>
  <c r="BD622" i="1"/>
  <c r="BF622" i="1"/>
  <c r="BG622" i="1"/>
  <c r="BH622" i="1"/>
  <c r="BI622" i="1"/>
  <c r="BY622" i="1"/>
  <c r="BZ622" i="1"/>
  <c r="B623" i="1"/>
  <c r="G623" i="1"/>
  <c r="H623" i="1"/>
  <c r="I623" i="1"/>
  <c r="J623" i="1"/>
  <c r="BA623" i="1"/>
  <c r="BB623" i="1"/>
  <c r="BD623" i="1"/>
  <c r="BF623" i="1"/>
  <c r="BG623" i="1"/>
  <c r="BH623" i="1"/>
  <c r="BI623" i="1"/>
  <c r="BY623" i="1"/>
  <c r="BZ623" i="1"/>
  <c r="B624" i="1"/>
  <c r="G624" i="1"/>
  <c r="H624" i="1"/>
  <c r="I624" i="1"/>
  <c r="J624" i="1"/>
  <c r="BA624" i="1"/>
  <c r="BB624" i="1"/>
  <c r="BD624" i="1"/>
  <c r="BF624" i="1"/>
  <c r="BG624" i="1"/>
  <c r="BH624" i="1"/>
  <c r="BI624" i="1"/>
  <c r="BY624" i="1"/>
  <c r="BZ624" i="1"/>
  <c r="B625" i="1"/>
  <c r="G625" i="1"/>
  <c r="H625" i="1"/>
  <c r="I625" i="1"/>
  <c r="J625" i="1"/>
  <c r="BA625" i="1"/>
  <c r="BB625" i="1"/>
  <c r="BD625" i="1"/>
  <c r="BF625" i="1"/>
  <c r="BG625" i="1"/>
  <c r="BH625" i="1"/>
  <c r="BI625" i="1"/>
  <c r="BY625" i="1"/>
  <c r="BZ625" i="1"/>
  <c r="B626" i="1"/>
  <c r="G626" i="1"/>
  <c r="H626" i="1"/>
  <c r="I626" i="1"/>
  <c r="J626" i="1"/>
  <c r="BA626" i="1"/>
  <c r="BB626" i="1"/>
  <c r="BD626" i="1"/>
  <c r="BF626" i="1"/>
  <c r="BG626" i="1"/>
  <c r="BH626" i="1"/>
  <c r="BI626" i="1"/>
  <c r="BY626" i="1"/>
  <c r="BZ626" i="1"/>
  <c r="B627" i="1"/>
  <c r="G627" i="1"/>
  <c r="H627" i="1"/>
  <c r="I627" i="1"/>
  <c r="J627" i="1"/>
  <c r="BA627" i="1"/>
  <c r="BB627" i="1"/>
  <c r="BD627" i="1"/>
  <c r="BF627" i="1"/>
  <c r="BG627" i="1"/>
  <c r="BH627" i="1"/>
  <c r="BI627" i="1"/>
  <c r="BY627" i="1"/>
  <c r="BZ627" i="1"/>
  <c r="B628" i="1"/>
  <c r="G628" i="1"/>
  <c r="H628" i="1"/>
  <c r="I628" i="1"/>
  <c r="J628" i="1"/>
  <c r="BA628" i="1"/>
  <c r="BB628" i="1"/>
  <c r="BD628" i="1"/>
  <c r="BF628" i="1"/>
  <c r="BG628" i="1"/>
  <c r="BH628" i="1"/>
  <c r="BI628" i="1"/>
  <c r="BY628" i="1"/>
  <c r="BZ628" i="1"/>
  <c r="B629" i="1"/>
  <c r="G629" i="1"/>
  <c r="H629" i="1"/>
  <c r="I629" i="1"/>
  <c r="J629" i="1"/>
  <c r="BA629" i="1"/>
  <c r="BB629" i="1"/>
  <c r="BD629" i="1"/>
  <c r="BF629" i="1"/>
  <c r="BG629" i="1"/>
  <c r="BH629" i="1"/>
  <c r="BI629" i="1"/>
  <c r="BY629" i="1"/>
  <c r="BZ629" i="1"/>
  <c r="B630" i="1"/>
  <c r="G630" i="1"/>
  <c r="H630" i="1"/>
  <c r="I630" i="1"/>
  <c r="J630" i="1"/>
  <c r="BA630" i="1"/>
  <c r="BB630" i="1"/>
  <c r="BD630" i="1"/>
  <c r="BF630" i="1"/>
  <c r="BG630" i="1"/>
  <c r="BH630" i="1"/>
  <c r="BI630" i="1"/>
  <c r="BY630" i="1"/>
  <c r="BZ630" i="1"/>
  <c r="B631" i="1"/>
  <c r="G631" i="1"/>
  <c r="H631" i="1"/>
  <c r="I631" i="1"/>
  <c r="J631" i="1"/>
  <c r="BA631" i="1"/>
  <c r="BB631" i="1"/>
  <c r="BD631" i="1"/>
  <c r="BF631" i="1"/>
  <c r="BG631" i="1"/>
  <c r="BH631" i="1"/>
  <c r="BI631" i="1"/>
  <c r="BY631" i="1"/>
  <c r="BZ631" i="1"/>
  <c r="B632" i="1"/>
  <c r="G632" i="1"/>
  <c r="H632" i="1"/>
  <c r="I632" i="1"/>
  <c r="J632" i="1"/>
  <c r="BA632" i="1"/>
  <c r="BB632" i="1"/>
  <c r="BD632" i="1"/>
  <c r="BF632" i="1"/>
  <c r="BG632" i="1"/>
  <c r="BH632" i="1"/>
  <c r="BI632" i="1"/>
  <c r="BY632" i="1"/>
  <c r="BZ632" i="1"/>
  <c r="B633" i="1"/>
  <c r="G633" i="1"/>
  <c r="H633" i="1"/>
  <c r="I633" i="1"/>
  <c r="J633" i="1"/>
  <c r="BA633" i="1"/>
  <c r="BB633" i="1"/>
  <c r="BD633" i="1"/>
  <c r="BF633" i="1"/>
  <c r="BG633" i="1"/>
  <c r="BH633" i="1"/>
  <c r="BI633" i="1"/>
  <c r="BY633" i="1"/>
  <c r="BZ633" i="1"/>
  <c r="B634" i="1"/>
  <c r="G634" i="1"/>
  <c r="H634" i="1"/>
  <c r="I634" i="1"/>
  <c r="J634" i="1"/>
  <c r="BA634" i="1"/>
  <c r="BB634" i="1"/>
  <c r="BD634" i="1"/>
  <c r="BF634" i="1"/>
  <c r="BG634" i="1"/>
  <c r="BH634" i="1"/>
  <c r="BI634" i="1"/>
  <c r="BY634" i="1"/>
  <c r="BZ634" i="1"/>
  <c r="B635" i="1"/>
  <c r="G635" i="1"/>
  <c r="H635" i="1"/>
  <c r="I635" i="1"/>
  <c r="J635" i="1"/>
  <c r="BA635" i="1"/>
  <c r="BB635" i="1"/>
  <c r="BD635" i="1"/>
  <c r="BF635" i="1"/>
  <c r="BG635" i="1"/>
  <c r="BH635" i="1"/>
  <c r="BI635" i="1"/>
  <c r="BK635" i="1"/>
  <c r="BL635" i="1"/>
  <c r="BM635" i="1"/>
  <c r="BN635" i="1"/>
  <c r="BY635" i="1"/>
  <c r="BZ635" i="1"/>
  <c r="B636" i="1"/>
  <c r="G636" i="1"/>
  <c r="H636" i="1"/>
  <c r="I636" i="1"/>
  <c r="J636" i="1"/>
  <c r="BA636" i="1"/>
  <c r="BB636" i="1"/>
  <c r="BD636" i="1"/>
  <c r="BF636" i="1"/>
  <c r="BG636" i="1"/>
  <c r="BH636" i="1"/>
  <c r="BI636" i="1"/>
  <c r="BK636" i="1"/>
  <c r="BL636" i="1"/>
  <c r="BM636" i="1"/>
  <c r="BN636" i="1"/>
  <c r="BY636" i="1"/>
  <c r="BZ636" i="1"/>
  <c r="B637" i="1"/>
  <c r="G637" i="1"/>
  <c r="H637" i="1"/>
  <c r="I637" i="1"/>
  <c r="J637" i="1"/>
  <c r="BA637" i="1"/>
  <c r="BB637" i="1"/>
  <c r="BD637" i="1"/>
  <c r="BF637" i="1"/>
  <c r="BG637" i="1"/>
  <c r="BH637" i="1"/>
  <c r="BI637" i="1"/>
  <c r="BK637" i="1"/>
  <c r="BL637" i="1"/>
  <c r="BM637" i="1"/>
  <c r="BN637" i="1"/>
  <c r="BY637" i="1"/>
  <c r="BZ637" i="1"/>
  <c r="B638" i="1"/>
  <c r="G638" i="1"/>
  <c r="H638" i="1"/>
  <c r="I638" i="1"/>
  <c r="J638" i="1"/>
  <c r="BA638" i="1"/>
  <c r="BB638" i="1"/>
  <c r="BD638" i="1"/>
  <c r="BF638" i="1"/>
  <c r="BG638" i="1"/>
  <c r="BH638" i="1"/>
  <c r="BI638" i="1"/>
  <c r="BK638" i="1"/>
  <c r="BL638" i="1"/>
  <c r="BM638" i="1"/>
  <c r="BN638" i="1"/>
  <c r="BY638" i="1"/>
  <c r="BZ638" i="1"/>
  <c r="B639" i="1"/>
  <c r="G639" i="1"/>
  <c r="H639" i="1"/>
  <c r="I639" i="1"/>
  <c r="J639" i="1"/>
  <c r="BA639" i="1"/>
  <c r="BB639" i="1"/>
  <c r="BD639" i="1"/>
  <c r="BF639" i="1"/>
  <c r="BG639" i="1"/>
  <c r="BH639" i="1"/>
  <c r="BI639" i="1"/>
  <c r="BY639" i="1"/>
  <c r="BZ639" i="1"/>
  <c r="B640" i="1"/>
  <c r="G640" i="1"/>
  <c r="H640" i="1"/>
  <c r="I640" i="1"/>
  <c r="J640" i="1"/>
  <c r="BA640" i="1"/>
  <c r="BB640" i="1"/>
  <c r="BD640" i="1"/>
  <c r="BF640" i="1"/>
  <c r="BG640" i="1"/>
  <c r="BH640" i="1"/>
  <c r="BI640" i="1"/>
  <c r="BY640" i="1"/>
  <c r="BZ640" i="1"/>
  <c r="B641" i="1"/>
  <c r="G641" i="1"/>
  <c r="H641" i="1"/>
  <c r="I641" i="1"/>
  <c r="J641" i="1"/>
  <c r="BA641" i="1"/>
  <c r="BB641" i="1"/>
  <c r="BD641" i="1"/>
  <c r="BF641" i="1"/>
  <c r="BG641" i="1"/>
  <c r="BH641" i="1"/>
  <c r="BI641" i="1"/>
  <c r="BK641" i="1"/>
  <c r="BL641" i="1"/>
  <c r="BM641" i="1"/>
  <c r="BN641" i="1"/>
  <c r="BP641" i="1"/>
  <c r="BQ641" i="1"/>
  <c r="BR641" i="1"/>
  <c r="BS641" i="1"/>
  <c r="BY641" i="1"/>
  <c r="BZ641" i="1"/>
  <c r="B642" i="1"/>
  <c r="G642" i="1"/>
  <c r="H642" i="1"/>
  <c r="I642" i="1"/>
  <c r="J642" i="1"/>
  <c r="BA642" i="1"/>
  <c r="BB642" i="1"/>
  <c r="BD642" i="1"/>
  <c r="BF642" i="1"/>
  <c r="BG642" i="1"/>
  <c r="BH642" i="1"/>
  <c r="BI642" i="1"/>
  <c r="BK642" i="1"/>
  <c r="BL642" i="1"/>
  <c r="BM642" i="1"/>
  <c r="BN642" i="1"/>
  <c r="BP642" i="1"/>
  <c r="BQ642" i="1"/>
  <c r="BR642" i="1"/>
  <c r="BS642" i="1"/>
  <c r="BY642" i="1"/>
  <c r="BZ642" i="1"/>
  <c r="B643" i="1"/>
  <c r="G643" i="1"/>
  <c r="H643" i="1"/>
  <c r="I643" i="1"/>
  <c r="J643" i="1"/>
  <c r="BA643" i="1"/>
  <c r="BB643" i="1"/>
  <c r="BD643" i="1"/>
  <c r="BF643" i="1"/>
  <c r="BG643" i="1"/>
  <c r="BH643" i="1"/>
  <c r="BI643" i="1"/>
  <c r="BK643" i="1"/>
  <c r="BL643" i="1"/>
  <c r="BM643" i="1"/>
  <c r="BN643" i="1"/>
  <c r="BP643" i="1"/>
  <c r="BQ643" i="1"/>
  <c r="BR643" i="1"/>
  <c r="BS643" i="1"/>
  <c r="BY643" i="1"/>
  <c r="BZ643" i="1"/>
  <c r="B644" i="1"/>
  <c r="G644" i="1"/>
  <c r="H644" i="1"/>
  <c r="I644" i="1"/>
  <c r="J644" i="1"/>
  <c r="BA644" i="1"/>
  <c r="BB644" i="1"/>
  <c r="BD644" i="1"/>
  <c r="BF644" i="1"/>
  <c r="BG644" i="1"/>
  <c r="BH644" i="1"/>
  <c r="BI644" i="1"/>
  <c r="BK644" i="1"/>
  <c r="BL644" i="1"/>
  <c r="BM644" i="1"/>
  <c r="BN644" i="1"/>
  <c r="BP644" i="1"/>
  <c r="BQ644" i="1"/>
  <c r="BR644" i="1"/>
  <c r="BS644" i="1"/>
  <c r="BY644" i="1"/>
  <c r="BZ644" i="1"/>
  <c r="B645" i="1"/>
  <c r="G645" i="1"/>
  <c r="H645" i="1"/>
  <c r="I645" i="1"/>
  <c r="J645" i="1"/>
  <c r="BA645" i="1"/>
  <c r="BB645" i="1"/>
  <c r="BD645" i="1"/>
  <c r="BF645" i="1"/>
  <c r="BG645" i="1"/>
  <c r="BH645" i="1"/>
  <c r="BI645" i="1"/>
  <c r="BK645" i="1"/>
  <c r="BL645" i="1"/>
  <c r="BM645" i="1"/>
  <c r="BN645" i="1"/>
  <c r="BP645" i="1"/>
  <c r="BQ645" i="1"/>
  <c r="BR645" i="1"/>
  <c r="BS645" i="1"/>
  <c r="BY645" i="1"/>
  <c r="BZ645" i="1"/>
  <c r="B646" i="1"/>
  <c r="G646" i="1"/>
  <c r="H646" i="1"/>
  <c r="I646" i="1"/>
  <c r="J646" i="1"/>
  <c r="BA646" i="1"/>
  <c r="BB646" i="1"/>
  <c r="BD646" i="1"/>
  <c r="BF646" i="1"/>
  <c r="BG646" i="1"/>
  <c r="BH646" i="1"/>
  <c r="BI646" i="1"/>
  <c r="BK646" i="1"/>
  <c r="BL646" i="1"/>
  <c r="BM646" i="1"/>
  <c r="BN646" i="1"/>
  <c r="BP646" i="1"/>
  <c r="BQ646" i="1"/>
  <c r="BR646" i="1"/>
  <c r="BS646" i="1"/>
  <c r="BY646" i="1"/>
  <c r="BZ646" i="1"/>
  <c r="B647" i="1"/>
  <c r="G647" i="1"/>
  <c r="H647" i="1"/>
  <c r="I647" i="1"/>
  <c r="J647" i="1"/>
  <c r="BA647" i="1"/>
  <c r="BB647" i="1"/>
  <c r="BD647" i="1"/>
  <c r="BF647" i="1"/>
  <c r="BG647" i="1"/>
  <c r="BH647" i="1"/>
  <c r="BI647" i="1"/>
  <c r="BK647" i="1"/>
  <c r="BL647" i="1"/>
  <c r="BM647" i="1"/>
  <c r="BN647" i="1"/>
  <c r="BP647" i="1"/>
  <c r="BQ647" i="1"/>
  <c r="BR647" i="1"/>
  <c r="BS647" i="1"/>
  <c r="BY647" i="1"/>
  <c r="BZ647" i="1"/>
  <c r="B648" i="1"/>
  <c r="G648" i="1"/>
  <c r="H648" i="1"/>
  <c r="I648" i="1"/>
  <c r="J648" i="1"/>
  <c r="BA648" i="1"/>
  <c r="BB648" i="1"/>
  <c r="BD648" i="1"/>
  <c r="BF648" i="1"/>
  <c r="BG648" i="1"/>
  <c r="BH648" i="1"/>
  <c r="BI648" i="1"/>
  <c r="BK648" i="1"/>
  <c r="BL648" i="1"/>
  <c r="BM648" i="1"/>
  <c r="BN648" i="1"/>
  <c r="BP648" i="1"/>
  <c r="BQ648" i="1"/>
  <c r="BR648" i="1"/>
  <c r="BS648" i="1"/>
  <c r="BY648" i="1"/>
  <c r="BZ648" i="1"/>
  <c r="B649" i="1"/>
  <c r="G649" i="1"/>
  <c r="H649" i="1"/>
  <c r="I649" i="1"/>
  <c r="J649" i="1"/>
  <c r="BA649" i="1"/>
  <c r="BB649" i="1"/>
  <c r="BD649" i="1"/>
  <c r="BF649" i="1"/>
  <c r="BG649" i="1"/>
  <c r="BH649" i="1"/>
  <c r="BI649" i="1"/>
  <c r="BK649" i="1"/>
  <c r="BL649" i="1"/>
  <c r="BM649" i="1"/>
  <c r="BN649" i="1"/>
  <c r="BY649" i="1"/>
  <c r="BZ649" i="1"/>
  <c r="B650" i="1"/>
  <c r="G650" i="1"/>
  <c r="H650" i="1"/>
  <c r="I650" i="1"/>
  <c r="J650" i="1"/>
  <c r="BA650" i="1"/>
  <c r="BB650" i="1"/>
  <c r="BD650" i="1"/>
  <c r="BF650" i="1"/>
  <c r="BG650" i="1"/>
  <c r="BH650" i="1"/>
  <c r="BI650" i="1"/>
  <c r="BK650" i="1"/>
  <c r="BL650" i="1"/>
  <c r="BM650" i="1"/>
  <c r="BN650" i="1"/>
  <c r="BY650" i="1"/>
  <c r="BZ650" i="1"/>
  <c r="B651" i="1"/>
  <c r="G651" i="1"/>
  <c r="H651" i="1"/>
  <c r="I651" i="1"/>
  <c r="J651" i="1"/>
  <c r="BA651" i="1"/>
  <c r="BB651" i="1"/>
  <c r="BD651" i="1"/>
  <c r="BF651" i="1"/>
  <c r="BG651" i="1"/>
  <c r="BH651" i="1"/>
  <c r="BI651" i="1"/>
  <c r="BK651" i="1"/>
  <c r="BL651" i="1"/>
  <c r="BM651" i="1"/>
  <c r="BN651" i="1"/>
  <c r="BY651" i="1"/>
  <c r="BZ651" i="1"/>
  <c r="B652" i="1"/>
  <c r="G652" i="1"/>
  <c r="H652" i="1"/>
  <c r="I652" i="1"/>
  <c r="J652" i="1"/>
  <c r="BA652" i="1"/>
  <c r="BB652" i="1"/>
  <c r="BD652" i="1"/>
  <c r="BF652" i="1"/>
  <c r="BG652" i="1"/>
  <c r="BH652" i="1"/>
  <c r="BI652" i="1"/>
  <c r="BK652" i="1"/>
  <c r="BL652" i="1"/>
  <c r="BM652" i="1"/>
  <c r="BN652" i="1"/>
  <c r="BY652" i="1"/>
  <c r="BZ652" i="1"/>
  <c r="B653" i="1"/>
  <c r="G653" i="1"/>
  <c r="H653" i="1"/>
  <c r="I653" i="1"/>
  <c r="J653" i="1"/>
  <c r="BA653" i="1"/>
  <c r="BB653" i="1"/>
  <c r="BD653" i="1"/>
  <c r="BF653" i="1"/>
  <c r="BG653" i="1"/>
  <c r="BH653" i="1"/>
  <c r="BI653" i="1"/>
  <c r="BK653" i="1"/>
  <c r="BL653" i="1"/>
  <c r="BM653" i="1"/>
  <c r="BN653" i="1"/>
  <c r="BY653" i="1"/>
  <c r="BZ653" i="1"/>
  <c r="B654" i="1"/>
  <c r="G654" i="1"/>
  <c r="H654" i="1"/>
  <c r="I654" i="1"/>
  <c r="J654" i="1"/>
  <c r="BA654" i="1"/>
  <c r="BB654" i="1"/>
  <c r="BD654" i="1"/>
  <c r="BF654" i="1"/>
  <c r="BG654" i="1"/>
  <c r="BH654" i="1"/>
  <c r="BI654" i="1"/>
  <c r="BY654" i="1"/>
  <c r="BZ654" i="1"/>
  <c r="B655" i="1"/>
  <c r="G655" i="1"/>
  <c r="H655" i="1"/>
  <c r="I655" i="1"/>
  <c r="J655" i="1"/>
  <c r="BA655" i="1"/>
  <c r="BB655" i="1"/>
  <c r="BD655" i="1"/>
  <c r="BF655" i="1"/>
  <c r="BG655" i="1"/>
  <c r="BH655" i="1"/>
  <c r="BI655" i="1"/>
  <c r="BY655" i="1"/>
  <c r="BZ655" i="1"/>
  <c r="B656" i="1"/>
  <c r="G656" i="1"/>
  <c r="H656" i="1"/>
  <c r="I656" i="1"/>
  <c r="J656" i="1"/>
  <c r="BA656" i="1"/>
  <c r="BB656" i="1"/>
  <c r="BD656" i="1"/>
  <c r="BF656" i="1"/>
  <c r="BG656" i="1"/>
  <c r="BH656" i="1"/>
  <c r="BI656" i="1"/>
  <c r="BY656" i="1"/>
  <c r="BZ656" i="1"/>
  <c r="B657" i="1"/>
  <c r="G657" i="1"/>
  <c r="H657" i="1"/>
  <c r="I657" i="1"/>
  <c r="J657" i="1"/>
  <c r="BA657" i="1"/>
  <c r="BB657" i="1"/>
  <c r="BD657" i="1"/>
  <c r="BF657" i="1"/>
  <c r="BG657" i="1"/>
  <c r="BH657" i="1"/>
  <c r="BI657" i="1"/>
  <c r="BY657" i="1"/>
  <c r="BZ657" i="1"/>
  <c r="B658" i="1"/>
  <c r="G658" i="1"/>
  <c r="H658" i="1"/>
  <c r="I658" i="1"/>
  <c r="J658" i="1"/>
  <c r="BA658" i="1"/>
  <c r="BB658" i="1"/>
  <c r="BD658" i="1"/>
  <c r="BF658" i="1"/>
  <c r="BG658" i="1"/>
  <c r="BH658" i="1"/>
  <c r="BI658" i="1"/>
  <c r="BY658" i="1"/>
  <c r="BZ658" i="1"/>
  <c r="B659" i="1"/>
  <c r="G659" i="1"/>
  <c r="H659" i="1"/>
  <c r="I659" i="1"/>
  <c r="J659" i="1"/>
  <c r="BA659" i="1"/>
  <c r="BB659" i="1"/>
  <c r="BD659" i="1"/>
  <c r="BF659" i="1"/>
  <c r="BG659" i="1"/>
  <c r="BH659" i="1"/>
  <c r="BI659" i="1"/>
  <c r="BY659" i="1"/>
  <c r="BZ659" i="1"/>
  <c r="B660" i="1"/>
  <c r="G660" i="1"/>
  <c r="H660" i="1"/>
  <c r="I660" i="1"/>
  <c r="J660" i="1"/>
  <c r="BA660" i="1"/>
  <c r="BB660" i="1"/>
  <c r="BD660" i="1"/>
  <c r="BF660" i="1"/>
  <c r="BG660" i="1"/>
  <c r="BH660" i="1"/>
  <c r="BI660" i="1"/>
  <c r="BY660" i="1"/>
  <c r="BZ660" i="1"/>
  <c r="B661" i="1"/>
  <c r="G661" i="1"/>
  <c r="H661" i="1"/>
  <c r="I661" i="1"/>
  <c r="J661" i="1"/>
  <c r="BA661" i="1"/>
  <c r="BB661" i="1"/>
  <c r="BD661" i="1"/>
  <c r="BF661" i="1"/>
  <c r="BG661" i="1"/>
  <c r="BH661" i="1"/>
  <c r="BI661" i="1"/>
  <c r="BY661" i="1"/>
  <c r="BZ661" i="1"/>
  <c r="B662" i="1"/>
  <c r="G662" i="1"/>
  <c r="H662" i="1"/>
  <c r="I662" i="1"/>
  <c r="J662" i="1"/>
  <c r="BA662" i="1"/>
  <c r="BB662" i="1"/>
  <c r="BD662" i="1"/>
  <c r="BF662" i="1"/>
  <c r="BG662" i="1"/>
  <c r="BH662" i="1"/>
  <c r="BI662" i="1"/>
  <c r="BK662" i="1"/>
  <c r="BL662" i="1"/>
  <c r="BM662" i="1"/>
  <c r="BN662" i="1"/>
  <c r="BY662" i="1"/>
  <c r="BZ662" i="1"/>
  <c r="B663" i="1"/>
  <c r="G663" i="1"/>
  <c r="H663" i="1"/>
  <c r="I663" i="1"/>
  <c r="J663" i="1"/>
  <c r="BA663" i="1"/>
  <c r="BB663" i="1"/>
  <c r="BD663" i="1"/>
  <c r="BF663" i="1"/>
  <c r="BG663" i="1"/>
  <c r="BH663" i="1"/>
  <c r="BI663" i="1"/>
  <c r="BY663" i="1"/>
  <c r="BZ663" i="1"/>
  <c r="B664" i="1"/>
  <c r="G664" i="1"/>
  <c r="H664" i="1"/>
  <c r="I664" i="1"/>
  <c r="J664" i="1"/>
  <c r="BA664" i="1"/>
  <c r="BB664" i="1"/>
  <c r="BD664" i="1"/>
  <c r="BF664" i="1"/>
  <c r="BG664" i="1"/>
  <c r="BH664" i="1"/>
  <c r="BI664" i="1"/>
  <c r="BY664" i="1"/>
  <c r="BZ664" i="1"/>
  <c r="B665" i="1"/>
  <c r="G665" i="1"/>
  <c r="H665" i="1"/>
  <c r="I665" i="1"/>
  <c r="J665" i="1"/>
  <c r="BA665" i="1"/>
  <c r="BB665" i="1"/>
  <c r="BD665" i="1"/>
  <c r="BF665" i="1"/>
  <c r="BG665" i="1"/>
  <c r="BH665" i="1"/>
  <c r="BI665" i="1"/>
  <c r="BY665" i="1"/>
  <c r="BZ665" i="1"/>
  <c r="B666" i="1"/>
  <c r="G666" i="1"/>
  <c r="H666" i="1"/>
  <c r="I666" i="1"/>
  <c r="J666" i="1"/>
  <c r="BA666" i="1"/>
  <c r="BB666" i="1"/>
  <c r="BD666" i="1"/>
  <c r="BF666" i="1"/>
  <c r="BG666" i="1"/>
  <c r="BH666" i="1"/>
  <c r="BI666" i="1"/>
  <c r="BY666" i="1"/>
  <c r="BZ666" i="1"/>
  <c r="B667" i="1"/>
  <c r="G667" i="1"/>
  <c r="H667" i="1"/>
  <c r="I667" i="1"/>
  <c r="J667" i="1"/>
  <c r="BA667" i="1"/>
  <c r="BB667" i="1"/>
  <c r="BD667" i="1"/>
  <c r="BF667" i="1"/>
  <c r="BG667" i="1"/>
  <c r="BH667" i="1"/>
  <c r="BI667" i="1"/>
  <c r="BY667" i="1"/>
  <c r="BZ667" i="1"/>
  <c r="B668" i="1"/>
  <c r="G668" i="1"/>
  <c r="H668" i="1"/>
  <c r="I668" i="1"/>
  <c r="J668" i="1"/>
  <c r="BA668" i="1"/>
  <c r="BB668" i="1"/>
  <c r="BD668" i="1"/>
  <c r="BF668" i="1"/>
  <c r="BG668" i="1"/>
  <c r="BH668" i="1"/>
  <c r="BI668" i="1"/>
  <c r="BY668" i="1"/>
  <c r="BZ668" i="1"/>
  <c r="B669" i="1"/>
  <c r="G669" i="1"/>
  <c r="H669" i="1"/>
  <c r="I669" i="1"/>
  <c r="J669" i="1"/>
  <c r="BA669" i="1"/>
  <c r="BB669" i="1"/>
  <c r="BD669" i="1"/>
  <c r="BF669" i="1"/>
  <c r="BG669" i="1"/>
  <c r="BH669" i="1"/>
  <c r="BI669" i="1"/>
  <c r="BY669" i="1"/>
  <c r="BZ669" i="1"/>
  <c r="B670" i="1"/>
  <c r="G670" i="1"/>
  <c r="H670" i="1"/>
  <c r="I670" i="1"/>
  <c r="J670" i="1"/>
  <c r="BA670" i="1"/>
  <c r="BB670" i="1"/>
  <c r="BD670" i="1"/>
  <c r="BF670" i="1"/>
  <c r="BG670" i="1"/>
  <c r="BH670" i="1"/>
  <c r="BI670" i="1"/>
  <c r="BY670" i="1"/>
  <c r="BZ670" i="1"/>
  <c r="B671" i="1"/>
  <c r="G671" i="1"/>
  <c r="H671" i="1"/>
  <c r="I671" i="1"/>
  <c r="J671" i="1"/>
  <c r="BA671" i="1"/>
  <c r="BB671" i="1"/>
  <c r="BD671" i="1"/>
  <c r="BF671" i="1"/>
  <c r="BG671" i="1"/>
  <c r="BH671" i="1"/>
  <c r="BI671" i="1"/>
  <c r="BY671" i="1"/>
  <c r="BZ671" i="1"/>
  <c r="B672" i="1"/>
  <c r="G672" i="1"/>
  <c r="H672" i="1"/>
  <c r="I672" i="1"/>
  <c r="J672" i="1"/>
  <c r="BA672" i="1"/>
  <c r="BB672" i="1"/>
  <c r="BD672" i="1"/>
  <c r="BF672" i="1"/>
  <c r="BG672" i="1"/>
  <c r="BH672" i="1"/>
  <c r="BI672" i="1"/>
  <c r="BY672" i="1"/>
  <c r="BZ672" i="1"/>
  <c r="B673" i="1"/>
  <c r="G673" i="1"/>
  <c r="H673" i="1"/>
  <c r="I673" i="1"/>
  <c r="J673" i="1"/>
  <c r="BA673" i="1"/>
  <c r="BB673" i="1"/>
  <c r="BD673" i="1"/>
  <c r="BF673" i="1"/>
  <c r="BG673" i="1"/>
  <c r="BH673" i="1"/>
  <c r="BI673" i="1"/>
  <c r="BY673" i="1"/>
  <c r="BZ673" i="1"/>
  <c r="B674" i="1"/>
  <c r="G674" i="1"/>
  <c r="H674" i="1"/>
  <c r="I674" i="1"/>
  <c r="J674" i="1"/>
  <c r="BA674" i="1"/>
  <c r="BB674" i="1"/>
  <c r="BD674" i="1"/>
  <c r="BF674" i="1"/>
  <c r="BG674" i="1"/>
  <c r="BH674" i="1"/>
  <c r="BI674" i="1"/>
  <c r="BY674" i="1"/>
  <c r="BZ674" i="1"/>
  <c r="B675" i="1"/>
  <c r="G675" i="1"/>
  <c r="H675" i="1"/>
  <c r="I675" i="1"/>
  <c r="J675" i="1"/>
  <c r="BA675" i="1"/>
  <c r="BB675" i="1"/>
  <c r="BD675" i="1"/>
  <c r="BF675" i="1"/>
  <c r="BG675" i="1"/>
  <c r="BH675" i="1"/>
  <c r="BI675" i="1"/>
  <c r="BK675" i="1"/>
  <c r="BL675" i="1"/>
  <c r="BM675" i="1"/>
  <c r="BN675" i="1"/>
  <c r="BY675" i="1"/>
  <c r="BZ675" i="1"/>
  <c r="B676" i="1"/>
  <c r="G676" i="1"/>
  <c r="H676" i="1"/>
  <c r="I676" i="1"/>
  <c r="J676" i="1"/>
  <c r="BA676" i="1"/>
  <c r="BB676" i="1"/>
  <c r="BD676" i="1"/>
  <c r="BF676" i="1"/>
  <c r="BG676" i="1"/>
  <c r="BH676" i="1"/>
  <c r="BI676" i="1"/>
  <c r="BK676" i="1"/>
  <c r="BL676" i="1"/>
  <c r="BM676" i="1"/>
  <c r="BN676" i="1"/>
  <c r="BY676" i="1"/>
  <c r="BZ676" i="1"/>
  <c r="B677" i="1"/>
  <c r="G677" i="1"/>
  <c r="H677" i="1"/>
  <c r="I677" i="1"/>
  <c r="J677" i="1"/>
  <c r="BA677" i="1"/>
  <c r="BB677" i="1"/>
  <c r="BD677" i="1"/>
  <c r="BF677" i="1"/>
  <c r="BG677" i="1"/>
  <c r="BH677" i="1"/>
  <c r="BI677" i="1"/>
  <c r="BK677" i="1"/>
  <c r="BL677" i="1"/>
  <c r="BM677" i="1"/>
  <c r="BN677" i="1"/>
  <c r="BY677" i="1"/>
  <c r="BZ677" i="1"/>
  <c r="B678" i="1"/>
  <c r="G678" i="1"/>
  <c r="H678" i="1"/>
  <c r="I678" i="1"/>
  <c r="J678" i="1"/>
  <c r="BA678" i="1"/>
  <c r="BB678" i="1"/>
  <c r="BD678" i="1"/>
  <c r="BF678" i="1"/>
  <c r="BG678" i="1"/>
  <c r="BH678" i="1"/>
  <c r="BI678" i="1"/>
  <c r="BK678" i="1"/>
  <c r="BL678" i="1"/>
  <c r="BM678" i="1"/>
  <c r="BN678" i="1"/>
  <c r="BY678" i="1"/>
  <c r="BZ678" i="1"/>
  <c r="B679" i="1"/>
  <c r="G679" i="1"/>
  <c r="H679" i="1"/>
  <c r="I679" i="1"/>
  <c r="J679" i="1"/>
  <c r="BA679" i="1"/>
  <c r="BB679" i="1"/>
  <c r="BD679" i="1"/>
  <c r="BF679" i="1"/>
  <c r="BG679" i="1"/>
  <c r="BH679" i="1"/>
  <c r="BI679" i="1"/>
  <c r="BK679" i="1"/>
  <c r="BL679" i="1"/>
  <c r="BM679" i="1"/>
  <c r="BN679" i="1"/>
  <c r="BY679" i="1"/>
  <c r="BZ679" i="1"/>
  <c r="B680" i="1"/>
  <c r="G680" i="1"/>
  <c r="H680" i="1"/>
  <c r="I680" i="1"/>
  <c r="J680" i="1"/>
  <c r="BA680" i="1"/>
  <c r="BB680" i="1"/>
  <c r="BD680" i="1"/>
  <c r="BF680" i="1"/>
  <c r="BG680" i="1"/>
  <c r="BH680" i="1"/>
  <c r="BI680" i="1"/>
  <c r="BK680" i="1"/>
  <c r="BL680" i="1"/>
  <c r="BM680" i="1"/>
  <c r="BN680" i="1"/>
  <c r="BY680" i="1"/>
  <c r="BZ680" i="1"/>
  <c r="B681" i="1"/>
  <c r="G681" i="1"/>
  <c r="H681" i="1"/>
  <c r="I681" i="1"/>
  <c r="J681" i="1"/>
  <c r="BA681" i="1"/>
  <c r="BB681" i="1"/>
  <c r="BD681" i="1"/>
  <c r="BF681" i="1"/>
  <c r="BG681" i="1"/>
  <c r="BH681" i="1"/>
  <c r="BI681" i="1"/>
  <c r="BY681" i="1"/>
  <c r="BZ681" i="1"/>
  <c r="B682" i="1"/>
  <c r="G682" i="1"/>
  <c r="H682" i="1"/>
  <c r="I682" i="1"/>
  <c r="J682" i="1"/>
  <c r="BA682" i="1"/>
  <c r="BB682" i="1"/>
  <c r="BD682" i="1"/>
  <c r="BF682" i="1"/>
  <c r="BG682" i="1"/>
  <c r="BH682" i="1"/>
  <c r="BI682" i="1"/>
  <c r="BY682" i="1"/>
  <c r="BZ682" i="1"/>
  <c r="B683" i="1"/>
  <c r="G683" i="1"/>
  <c r="H683" i="1"/>
  <c r="I683" i="1"/>
  <c r="J683" i="1"/>
  <c r="BA683" i="1"/>
  <c r="BB683" i="1"/>
  <c r="BD683" i="1"/>
  <c r="BF683" i="1"/>
  <c r="BG683" i="1"/>
  <c r="BH683" i="1"/>
  <c r="BI683" i="1"/>
  <c r="BY683" i="1"/>
  <c r="BZ683" i="1"/>
  <c r="B684" i="1"/>
  <c r="G684" i="1"/>
  <c r="H684" i="1"/>
  <c r="I684" i="1"/>
  <c r="J684" i="1"/>
  <c r="BA684" i="1"/>
  <c r="BB684" i="1"/>
  <c r="BD684" i="1"/>
  <c r="BF684" i="1"/>
  <c r="BG684" i="1"/>
  <c r="BH684" i="1"/>
  <c r="BI684" i="1"/>
  <c r="BY684" i="1"/>
  <c r="BZ684" i="1"/>
  <c r="B685" i="1"/>
  <c r="G685" i="1"/>
  <c r="H685" i="1"/>
  <c r="I685" i="1"/>
  <c r="J685" i="1"/>
  <c r="BA685" i="1"/>
  <c r="BB685" i="1"/>
  <c r="BD685" i="1"/>
  <c r="BF685" i="1"/>
  <c r="BG685" i="1"/>
  <c r="BH685" i="1"/>
  <c r="BI685" i="1"/>
  <c r="BY685" i="1"/>
  <c r="BZ685" i="1"/>
  <c r="B686" i="1"/>
  <c r="G686" i="1"/>
  <c r="H686" i="1"/>
  <c r="I686" i="1"/>
  <c r="J686" i="1"/>
  <c r="BA686" i="1"/>
  <c r="BB686" i="1"/>
  <c r="BD686" i="1"/>
  <c r="BF686" i="1"/>
  <c r="BG686" i="1"/>
  <c r="BH686" i="1"/>
  <c r="BI686" i="1"/>
  <c r="BY686" i="1"/>
  <c r="BZ686" i="1"/>
  <c r="B687" i="1"/>
  <c r="G687" i="1"/>
  <c r="H687" i="1"/>
  <c r="I687" i="1"/>
  <c r="J687" i="1"/>
  <c r="BA687" i="1"/>
  <c r="BB687" i="1"/>
  <c r="BD687" i="1"/>
  <c r="BF687" i="1"/>
  <c r="BG687" i="1"/>
  <c r="BH687" i="1"/>
  <c r="BI687" i="1"/>
  <c r="BY687" i="1"/>
  <c r="BZ687" i="1"/>
  <c r="B688" i="1"/>
  <c r="G688" i="1"/>
  <c r="H688" i="1"/>
  <c r="I688" i="1"/>
  <c r="J688" i="1"/>
  <c r="BA688" i="1"/>
  <c r="BB688" i="1"/>
  <c r="BD688" i="1"/>
  <c r="BF688" i="1"/>
  <c r="BG688" i="1"/>
  <c r="BH688" i="1"/>
  <c r="BI688" i="1"/>
  <c r="BY688" i="1"/>
  <c r="BZ688" i="1"/>
  <c r="B689" i="1"/>
  <c r="G689" i="1"/>
  <c r="H689" i="1"/>
  <c r="I689" i="1"/>
  <c r="J689" i="1"/>
  <c r="BA689" i="1"/>
  <c r="BB689" i="1"/>
  <c r="BD689" i="1"/>
  <c r="BF689" i="1"/>
  <c r="BG689" i="1"/>
  <c r="BH689" i="1"/>
  <c r="BI689" i="1"/>
  <c r="BY689" i="1"/>
  <c r="BZ689" i="1"/>
  <c r="B690" i="1"/>
  <c r="G690" i="1"/>
  <c r="H690" i="1"/>
  <c r="I690" i="1"/>
  <c r="J690" i="1"/>
  <c r="BA690" i="1"/>
  <c r="BB690" i="1"/>
  <c r="BD690" i="1"/>
  <c r="BF690" i="1"/>
  <c r="BG690" i="1"/>
  <c r="BH690" i="1"/>
  <c r="BI690" i="1"/>
  <c r="BY690" i="1"/>
  <c r="BZ690" i="1"/>
  <c r="B691" i="1"/>
  <c r="G691" i="1"/>
  <c r="H691" i="1"/>
  <c r="I691" i="1"/>
  <c r="J691" i="1"/>
  <c r="BA691" i="1"/>
  <c r="BB691" i="1"/>
  <c r="BD691" i="1"/>
  <c r="BF691" i="1"/>
  <c r="BG691" i="1"/>
  <c r="BH691" i="1"/>
  <c r="BI691" i="1"/>
  <c r="BY691" i="1"/>
  <c r="BZ691" i="1"/>
  <c r="B692" i="1"/>
  <c r="G692" i="1"/>
  <c r="H692" i="1"/>
  <c r="I692" i="1"/>
  <c r="J692" i="1"/>
  <c r="BA692" i="1"/>
  <c r="BB692" i="1"/>
  <c r="BD692" i="1"/>
  <c r="BF692" i="1"/>
  <c r="BG692" i="1"/>
  <c r="BH692" i="1"/>
  <c r="BI692" i="1"/>
  <c r="BY692" i="1"/>
  <c r="BZ692" i="1"/>
  <c r="B693" i="1"/>
  <c r="G693" i="1"/>
  <c r="H693" i="1"/>
  <c r="I693" i="1"/>
  <c r="J693" i="1"/>
  <c r="BA693" i="1"/>
  <c r="BB693" i="1"/>
  <c r="BD693" i="1"/>
  <c r="BF693" i="1"/>
  <c r="BG693" i="1"/>
  <c r="BH693" i="1"/>
  <c r="BI693" i="1"/>
  <c r="BY693" i="1"/>
  <c r="BZ693" i="1"/>
  <c r="B694" i="1"/>
  <c r="G694" i="1"/>
  <c r="H694" i="1"/>
  <c r="I694" i="1"/>
  <c r="J694" i="1"/>
  <c r="BA694" i="1"/>
  <c r="BB694" i="1"/>
  <c r="BD694" i="1"/>
  <c r="BF694" i="1"/>
  <c r="BG694" i="1"/>
  <c r="BH694" i="1"/>
  <c r="BI694" i="1"/>
  <c r="BK694" i="1"/>
  <c r="BL694" i="1"/>
  <c r="BM694" i="1"/>
  <c r="BN694" i="1"/>
  <c r="BY694" i="1"/>
  <c r="BZ694" i="1"/>
  <c r="B695" i="1"/>
  <c r="G695" i="1"/>
  <c r="H695" i="1"/>
  <c r="I695" i="1"/>
  <c r="J695" i="1"/>
  <c r="BA695" i="1"/>
  <c r="BB695" i="1"/>
  <c r="BD695" i="1"/>
  <c r="BF695" i="1"/>
  <c r="BG695" i="1"/>
  <c r="BH695" i="1"/>
  <c r="BI695" i="1"/>
  <c r="BK695" i="1"/>
  <c r="BL695" i="1"/>
  <c r="BM695" i="1"/>
  <c r="BN695" i="1"/>
  <c r="BY695" i="1"/>
  <c r="BZ695" i="1"/>
  <c r="B696" i="1"/>
  <c r="G696" i="1"/>
  <c r="H696" i="1"/>
  <c r="I696" i="1"/>
  <c r="J696" i="1"/>
  <c r="BA696" i="1"/>
  <c r="BB696" i="1"/>
  <c r="BD696" i="1"/>
  <c r="BF696" i="1"/>
  <c r="BG696" i="1"/>
  <c r="BH696" i="1"/>
  <c r="BI696" i="1"/>
  <c r="BK696" i="1"/>
  <c r="BL696" i="1"/>
  <c r="BM696" i="1"/>
  <c r="BN696" i="1"/>
  <c r="BY696" i="1"/>
  <c r="BZ696" i="1"/>
  <c r="B697" i="1"/>
  <c r="G697" i="1"/>
  <c r="H697" i="1"/>
  <c r="I697" i="1"/>
  <c r="J697" i="1"/>
  <c r="BA697" i="1"/>
  <c r="BB697" i="1"/>
  <c r="BD697" i="1"/>
  <c r="BF697" i="1"/>
  <c r="BG697" i="1"/>
  <c r="BH697" i="1"/>
  <c r="BI697" i="1"/>
  <c r="BK697" i="1"/>
  <c r="BL697" i="1"/>
  <c r="BM697" i="1"/>
  <c r="BN697" i="1"/>
  <c r="BY697" i="1"/>
  <c r="BZ697" i="1"/>
  <c r="B698" i="1"/>
  <c r="G698" i="1"/>
  <c r="H698" i="1"/>
  <c r="I698" i="1"/>
  <c r="J698" i="1"/>
  <c r="BA698" i="1"/>
  <c r="BB698" i="1"/>
  <c r="BD698" i="1"/>
  <c r="BF698" i="1"/>
  <c r="BG698" i="1"/>
  <c r="BH698" i="1"/>
  <c r="BI698" i="1"/>
  <c r="BY698" i="1"/>
  <c r="BZ698" i="1"/>
  <c r="B699" i="1"/>
  <c r="G699" i="1"/>
  <c r="H699" i="1"/>
  <c r="I699" i="1"/>
  <c r="J699" i="1"/>
  <c r="BA699" i="1"/>
  <c r="BB699" i="1"/>
  <c r="BD699" i="1"/>
  <c r="BF699" i="1"/>
  <c r="BG699" i="1"/>
  <c r="BH699" i="1"/>
  <c r="BI699" i="1"/>
  <c r="BY699" i="1"/>
  <c r="BZ699" i="1"/>
  <c r="B700" i="1"/>
  <c r="G700" i="1"/>
  <c r="H700" i="1"/>
  <c r="I700" i="1"/>
  <c r="J700" i="1"/>
  <c r="BA700" i="1"/>
  <c r="BB700" i="1"/>
  <c r="BD700" i="1"/>
  <c r="BF700" i="1"/>
  <c r="BG700" i="1"/>
  <c r="BH700" i="1"/>
  <c r="BI700" i="1"/>
  <c r="BY700" i="1"/>
  <c r="BZ700" i="1"/>
  <c r="B701" i="1"/>
  <c r="G701" i="1"/>
  <c r="H701" i="1"/>
  <c r="I701" i="1"/>
  <c r="J701" i="1"/>
  <c r="BA701" i="1"/>
  <c r="BB701" i="1"/>
  <c r="BD701" i="1"/>
  <c r="BF701" i="1"/>
  <c r="BG701" i="1"/>
  <c r="BH701" i="1"/>
  <c r="BI701" i="1"/>
  <c r="BY701" i="1"/>
  <c r="BZ701" i="1"/>
  <c r="B702" i="1"/>
  <c r="G702" i="1"/>
  <c r="H702" i="1"/>
  <c r="I702" i="1"/>
  <c r="J702" i="1"/>
  <c r="BA702" i="1"/>
  <c r="BB702" i="1"/>
  <c r="BD702" i="1"/>
  <c r="BF702" i="1"/>
  <c r="BG702" i="1"/>
  <c r="BH702" i="1"/>
  <c r="BI702" i="1"/>
  <c r="BY702" i="1"/>
  <c r="BZ702" i="1"/>
  <c r="B703" i="1"/>
  <c r="G703" i="1"/>
  <c r="H703" i="1"/>
  <c r="I703" i="1"/>
  <c r="J703" i="1"/>
  <c r="BA703" i="1"/>
  <c r="BB703" i="1"/>
  <c r="BD703" i="1"/>
  <c r="BF703" i="1"/>
  <c r="BG703" i="1"/>
  <c r="BH703" i="1"/>
  <c r="BI703" i="1"/>
  <c r="BY703" i="1"/>
  <c r="BZ703" i="1"/>
  <c r="B704" i="1"/>
  <c r="G704" i="1"/>
  <c r="H704" i="1"/>
  <c r="I704" i="1"/>
  <c r="J704" i="1"/>
  <c r="BA704" i="1"/>
  <c r="BB704" i="1"/>
  <c r="BD704" i="1"/>
  <c r="BF704" i="1"/>
  <c r="BG704" i="1"/>
  <c r="BH704" i="1"/>
  <c r="BI704" i="1"/>
  <c r="BK704" i="1"/>
  <c r="BL704" i="1"/>
  <c r="BM704" i="1"/>
  <c r="BN704" i="1"/>
  <c r="BY704" i="1"/>
  <c r="BZ704" i="1"/>
  <c r="B705" i="1"/>
  <c r="G705" i="1"/>
  <c r="H705" i="1"/>
  <c r="I705" i="1"/>
  <c r="J705" i="1"/>
  <c r="BA705" i="1"/>
  <c r="BB705" i="1"/>
  <c r="BD705" i="1"/>
  <c r="BF705" i="1"/>
  <c r="BG705" i="1"/>
  <c r="BH705" i="1"/>
  <c r="BI705" i="1"/>
  <c r="BK705" i="1"/>
  <c r="BL705" i="1"/>
  <c r="BM705" i="1"/>
  <c r="BN705" i="1"/>
  <c r="BY705" i="1"/>
  <c r="BZ705" i="1"/>
  <c r="B706" i="1"/>
  <c r="G706" i="1"/>
  <c r="H706" i="1"/>
  <c r="I706" i="1"/>
  <c r="J706" i="1"/>
  <c r="BA706" i="1"/>
  <c r="BB706" i="1"/>
  <c r="BD706" i="1"/>
  <c r="BF706" i="1"/>
  <c r="BG706" i="1"/>
  <c r="BH706" i="1"/>
  <c r="BI706" i="1"/>
  <c r="BK706" i="1"/>
  <c r="BL706" i="1"/>
  <c r="BM706" i="1"/>
  <c r="BN706" i="1"/>
  <c r="BY706" i="1"/>
  <c r="BZ706" i="1"/>
  <c r="B707" i="1"/>
  <c r="G707" i="1"/>
  <c r="H707" i="1"/>
  <c r="I707" i="1"/>
  <c r="J707" i="1"/>
  <c r="BA707" i="1"/>
  <c r="BB707" i="1"/>
  <c r="BD707" i="1"/>
  <c r="BF707" i="1"/>
  <c r="BG707" i="1"/>
  <c r="BH707" i="1"/>
  <c r="BI707" i="1"/>
  <c r="BK707" i="1"/>
  <c r="BL707" i="1"/>
  <c r="BM707" i="1"/>
  <c r="BN707" i="1"/>
  <c r="BY707" i="1"/>
  <c r="BZ707" i="1"/>
  <c r="B708" i="1"/>
  <c r="G708" i="1"/>
  <c r="H708" i="1"/>
  <c r="I708" i="1"/>
  <c r="J708" i="1"/>
  <c r="BA708" i="1"/>
  <c r="BB708" i="1"/>
  <c r="BD708" i="1"/>
  <c r="BF708" i="1"/>
  <c r="BG708" i="1"/>
  <c r="BH708" i="1"/>
  <c r="BI708" i="1"/>
  <c r="BY708" i="1"/>
  <c r="BZ708" i="1"/>
  <c r="B709" i="1"/>
  <c r="G709" i="1"/>
  <c r="H709" i="1"/>
  <c r="I709" i="1"/>
  <c r="J709" i="1"/>
  <c r="BA709" i="1"/>
  <c r="BB709" i="1"/>
  <c r="BD709" i="1"/>
  <c r="BF709" i="1"/>
  <c r="BG709" i="1"/>
  <c r="BH709" i="1"/>
  <c r="BI709" i="1"/>
  <c r="BY709" i="1"/>
  <c r="BZ709" i="1"/>
  <c r="B710" i="1"/>
  <c r="G710" i="1"/>
  <c r="H710" i="1"/>
  <c r="I710" i="1"/>
  <c r="J710" i="1"/>
  <c r="BA710" i="1"/>
  <c r="BB710" i="1"/>
  <c r="BD710" i="1"/>
  <c r="BF710" i="1"/>
  <c r="BG710" i="1"/>
  <c r="BH710" i="1"/>
  <c r="BI710" i="1"/>
  <c r="BY710" i="1"/>
  <c r="BZ710" i="1"/>
  <c r="B711" i="1"/>
  <c r="G711" i="1"/>
  <c r="H711" i="1"/>
  <c r="I711" i="1"/>
  <c r="J711" i="1"/>
  <c r="BA711" i="1"/>
  <c r="BB711" i="1"/>
  <c r="BD711" i="1"/>
  <c r="BF711" i="1"/>
  <c r="BG711" i="1"/>
  <c r="BH711" i="1"/>
  <c r="BI711" i="1"/>
  <c r="BY711" i="1"/>
  <c r="BZ711" i="1"/>
  <c r="B712" i="1"/>
  <c r="G712" i="1"/>
  <c r="H712" i="1"/>
  <c r="I712" i="1"/>
  <c r="J712" i="1"/>
  <c r="BA712" i="1"/>
  <c r="BB712" i="1"/>
  <c r="BD712" i="1"/>
  <c r="BF712" i="1"/>
  <c r="BG712" i="1"/>
  <c r="BH712" i="1"/>
  <c r="BI712" i="1"/>
  <c r="BK712" i="1"/>
  <c r="BL712" i="1"/>
  <c r="BM712" i="1"/>
  <c r="BN712" i="1"/>
  <c r="BY712" i="1"/>
  <c r="BZ712" i="1"/>
  <c r="B713" i="1"/>
  <c r="G713" i="1"/>
  <c r="H713" i="1"/>
  <c r="I713" i="1"/>
  <c r="J713" i="1"/>
  <c r="BA713" i="1"/>
  <c r="BB713" i="1"/>
  <c r="BD713" i="1"/>
  <c r="BF713" i="1"/>
  <c r="BG713" i="1"/>
  <c r="BH713" i="1"/>
  <c r="BI713" i="1"/>
  <c r="BY713" i="1"/>
  <c r="BZ713" i="1"/>
  <c r="B714" i="1"/>
  <c r="G714" i="1"/>
  <c r="H714" i="1"/>
  <c r="I714" i="1"/>
  <c r="J714" i="1"/>
  <c r="BA714" i="1"/>
  <c r="BB714" i="1"/>
  <c r="BD714" i="1"/>
  <c r="BF714" i="1"/>
  <c r="BG714" i="1"/>
  <c r="BH714" i="1"/>
  <c r="BI714" i="1"/>
  <c r="BY714" i="1"/>
  <c r="BZ714" i="1"/>
  <c r="B715" i="1"/>
  <c r="G715" i="1"/>
  <c r="H715" i="1"/>
  <c r="I715" i="1"/>
  <c r="J715" i="1"/>
  <c r="BA715" i="1"/>
  <c r="BB715" i="1"/>
  <c r="BD715" i="1"/>
  <c r="BF715" i="1"/>
  <c r="BG715" i="1"/>
  <c r="BH715" i="1"/>
  <c r="BI715" i="1"/>
  <c r="BY715" i="1"/>
  <c r="BZ715" i="1"/>
  <c r="B716" i="1"/>
  <c r="G716" i="1"/>
  <c r="H716" i="1"/>
  <c r="I716" i="1"/>
  <c r="J716" i="1"/>
  <c r="BA716" i="1"/>
  <c r="BB716" i="1"/>
  <c r="BD716" i="1"/>
  <c r="BF716" i="1"/>
  <c r="BG716" i="1"/>
  <c r="BH716" i="1"/>
  <c r="BI716" i="1"/>
  <c r="BY716" i="1"/>
  <c r="BZ716" i="1"/>
  <c r="B717" i="1"/>
  <c r="G717" i="1"/>
  <c r="H717" i="1"/>
  <c r="I717" i="1"/>
  <c r="J717" i="1"/>
  <c r="BA717" i="1"/>
  <c r="BB717" i="1"/>
  <c r="BD717" i="1"/>
  <c r="BF717" i="1"/>
  <c r="BG717" i="1"/>
  <c r="BH717" i="1"/>
  <c r="BI717" i="1"/>
  <c r="BK717" i="1"/>
  <c r="BL717" i="1"/>
  <c r="BM717" i="1"/>
  <c r="BN717" i="1"/>
  <c r="BY717" i="1"/>
  <c r="BZ717" i="1"/>
  <c r="B718" i="1"/>
  <c r="G718" i="1"/>
  <c r="H718" i="1"/>
  <c r="I718" i="1"/>
  <c r="J718" i="1"/>
  <c r="BA718" i="1"/>
  <c r="BB718" i="1"/>
  <c r="BD718" i="1"/>
  <c r="BF718" i="1"/>
  <c r="BG718" i="1"/>
  <c r="BH718" i="1"/>
  <c r="BI718" i="1"/>
  <c r="BK718" i="1"/>
  <c r="BL718" i="1"/>
  <c r="BM718" i="1"/>
  <c r="BN718" i="1"/>
  <c r="BY718" i="1"/>
  <c r="BZ718" i="1"/>
  <c r="B719" i="1"/>
  <c r="G719" i="1"/>
  <c r="H719" i="1"/>
  <c r="I719" i="1"/>
  <c r="J719" i="1"/>
  <c r="BA719" i="1"/>
  <c r="BB719" i="1"/>
  <c r="BD719" i="1"/>
  <c r="BF719" i="1"/>
  <c r="BG719" i="1"/>
  <c r="BH719" i="1"/>
  <c r="BI719" i="1"/>
  <c r="BY719" i="1"/>
  <c r="BZ719" i="1"/>
  <c r="B720" i="1"/>
  <c r="G720" i="1"/>
  <c r="H720" i="1"/>
  <c r="I720" i="1"/>
  <c r="J720" i="1"/>
  <c r="BA720" i="1"/>
  <c r="BB720" i="1"/>
  <c r="BD720" i="1"/>
  <c r="BF720" i="1"/>
  <c r="BG720" i="1"/>
  <c r="BH720" i="1"/>
  <c r="BI720" i="1"/>
  <c r="BY720" i="1"/>
  <c r="BZ720" i="1"/>
  <c r="B721" i="1"/>
  <c r="G721" i="1"/>
  <c r="H721" i="1"/>
  <c r="I721" i="1"/>
  <c r="J721" i="1"/>
  <c r="BA721" i="1"/>
  <c r="BB721" i="1"/>
  <c r="BD721" i="1"/>
  <c r="BF721" i="1"/>
  <c r="BG721" i="1"/>
  <c r="BH721" i="1"/>
  <c r="BI721" i="1"/>
  <c r="BY721" i="1"/>
  <c r="BZ721" i="1"/>
  <c r="B722" i="1"/>
  <c r="G722" i="1"/>
  <c r="H722" i="1"/>
  <c r="I722" i="1"/>
  <c r="J722" i="1"/>
  <c r="BA722" i="1"/>
  <c r="BB722" i="1"/>
  <c r="BD722" i="1"/>
  <c r="BF722" i="1"/>
  <c r="BG722" i="1"/>
  <c r="BH722" i="1"/>
  <c r="BI722" i="1"/>
  <c r="BY722" i="1"/>
  <c r="BZ722" i="1"/>
  <c r="B723" i="1"/>
  <c r="G723" i="1"/>
  <c r="H723" i="1"/>
  <c r="I723" i="1"/>
  <c r="J723" i="1"/>
  <c r="BA723" i="1"/>
  <c r="BB723" i="1"/>
  <c r="BD723" i="1"/>
  <c r="BF723" i="1"/>
  <c r="BG723" i="1"/>
  <c r="BH723" i="1"/>
  <c r="BI723" i="1"/>
  <c r="BY723" i="1"/>
  <c r="BZ723" i="1"/>
  <c r="B724" i="1"/>
  <c r="G724" i="1"/>
  <c r="H724" i="1"/>
  <c r="I724" i="1"/>
  <c r="J724" i="1"/>
  <c r="BA724" i="1"/>
  <c r="BB724" i="1"/>
  <c r="BD724" i="1"/>
  <c r="BF724" i="1"/>
  <c r="BG724" i="1"/>
  <c r="BH724" i="1"/>
  <c r="BI724" i="1"/>
  <c r="BK724" i="1"/>
  <c r="BL724" i="1"/>
  <c r="BM724" i="1"/>
  <c r="BN724" i="1"/>
  <c r="BP724" i="1"/>
  <c r="BQ724" i="1"/>
  <c r="BR724" i="1"/>
  <c r="BS724" i="1"/>
  <c r="BY724" i="1"/>
  <c r="BZ724" i="1"/>
  <c r="B725" i="1"/>
  <c r="G725" i="1"/>
  <c r="H725" i="1"/>
  <c r="I725" i="1"/>
  <c r="J725" i="1"/>
  <c r="BA725" i="1"/>
  <c r="BB725" i="1"/>
  <c r="BD725" i="1"/>
  <c r="BF725" i="1"/>
  <c r="BG725" i="1"/>
  <c r="BH725" i="1"/>
  <c r="BI725" i="1"/>
  <c r="BY725" i="1"/>
  <c r="BZ725" i="1"/>
  <c r="B726" i="1"/>
  <c r="G726" i="1"/>
  <c r="H726" i="1"/>
  <c r="I726" i="1"/>
  <c r="J726" i="1"/>
  <c r="BA726" i="1"/>
  <c r="BB726" i="1"/>
  <c r="BD726" i="1"/>
  <c r="BF726" i="1"/>
  <c r="BG726" i="1"/>
  <c r="BH726" i="1"/>
  <c r="BI726" i="1"/>
  <c r="BY726" i="1"/>
  <c r="BZ726" i="1"/>
  <c r="B727" i="1"/>
  <c r="G727" i="1"/>
  <c r="H727" i="1"/>
  <c r="I727" i="1"/>
  <c r="J727" i="1"/>
  <c r="BA727" i="1"/>
  <c r="BB727" i="1"/>
  <c r="BD727" i="1"/>
  <c r="BF727" i="1"/>
  <c r="BG727" i="1"/>
  <c r="BH727" i="1"/>
  <c r="BI727" i="1"/>
  <c r="BY727" i="1"/>
  <c r="BZ727" i="1"/>
  <c r="B728" i="1"/>
  <c r="G728" i="1"/>
  <c r="H728" i="1"/>
  <c r="I728" i="1"/>
  <c r="J728" i="1"/>
  <c r="BA728" i="1"/>
  <c r="BB728" i="1"/>
  <c r="BD728" i="1"/>
  <c r="BF728" i="1"/>
  <c r="BG728" i="1"/>
  <c r="BH728" i="1"/>
  <c r="BI728" i="1"/>
  <c r="BY728" i="1"/>
  <c r="BZ728" i="1"/>
  <c r="B729" i="1"/>
  <c r="G729" i="1"/>
  <c r="H729" i="1"/>
  <c r="I729" i="1"/>
  <c r="J729" i="1"/>
  <c r="BA729" i="1"/>
  <c r="BB729" i="1"/>
  <c r="BD729" i="1"/>
  <c r="BF729" i="1"/>
  <c r="BG729" i="1"/>
  <c r="BH729" i="1"/>
  <c r="BI729" i="1"/>
  <c r="BY729" i="1"/>
  <c r="BZ729" i="1"/>
  <c r="B730" i="1"/>
  <c r="G730" i="1"/>
  <c r="H730" i="1"/>
  <c r="I730" i="1"/>
  <c r="J730" i="1"/>
  <c r="BA730" i="1"/>
  <c r="BB730" i="1"/>
  <c r="BD730" i="1"/>
  <c r="BF730" i="1"/>
  <c r="BG730" i="1"/>
  <c r="BH730" i="1"/>
  <c r="BI730" i="1"/>
  <c r="BY730" i="1"/>
  <c r="BZ730" i="1"/>
  <c r="B731" i="1"/>
  <c r="G731" i="1"/>
  <c r="H731" i="1"/>
  <c r="I731" i="1"/>
  <c r="J731" i="1"/>
  <c r="BA731" i="1"/>
  <c r="BB731" i="1"/>
  <c r="BD731" i="1"/>
  <c r="BF731" i="1"/>
  <c r="BG731" i="1"/>
  <c r="BH731" i="1"/>
  <c r="BI731" i="1"/>
  <c r="BY731" i="1"/>
  <c r="BZ731" i="1"/>
  <c r="B732" i="1"/>
  <c r="G732" i="1"/>
  <c r="H732" i="1"/>
  <c r="I732" i="1"/>
  <c r="J732" i="1"/>
  <c r="BA732" i="1"/>
  <c r="BB732" i="1"/>
  <c r="BD732" i="1"/>
  <c r="BF732" i="1"/>
  <c r="BG732" i="1"/>
  <c r="BH732" i="1"/>
  <c r="BI732" i="1"/>
  <c r="BK732" i="1"/>
  <c r="BL732" i="1"/>
  <c r="BM732" i="1"/>
  <c r="BN732" i="1"/>
  <c r="BY732" i="1"/>
  <c r="BZ732" i="1"/>
  <c r="B733" i="1"/>
  <c r="G733" i="1"/>
  <c r="H733" i="1"/>
  <c r="I733" i="1"/>
  <c r="J733" i="1"/>
  <c r="BA733" i="1"/>
  <c r="BB733" i="1"/>
  <c r="BD733" i="1"/>
  <c r="BF733" i="1"/>
  <c r="BG733" i="1"/>
  <c r="BH733" i="1"/>
  <c r="BI733" i="1"/>
  <c r="BK733" i="1"/>
  <c r="BL733" i="1"/>
  <c r="BM733" i="1"/>
  <c r="BN733" i="1"/>
  <c r="BY733" i="1"/>
  <c r="BZ733" i="1"/>
  <c r="B734" i="1"/>
  <c r="G734" i="1"/>
  <c r="H734" i="1"/>
  <c r="I734" i="1"/>
  <c r="J734" i="1"/>
  <c r="BA734" i="1"/>
  <c r="BB734" i="1"/>
  <c r="BD734" i="1"/>
  <c r="BF734" i="1"/>
  <c r="BG734" i="1"/>
  <c r="BH734" i="1"/>
  <c r="BI734" i="1"/>
  <c r="BK734" i="1"/>
  <c r="BL734" i="1"/>
  <c r="BM734" i="1"/>
  <c r="BN734" i="1"/>
  <c r="BY734" i="1"/>
  <c r="BZ734" i="1"/>
  <c r="B735" i="1"/>
  <c r="G735" i="1"/>
  <c r="H735" i="1"/>
  <c r="I735" i="1"/>
  <c r="J735" i="1"/>
  <c r="BA735" i="1"/>
  <c r="BB735" i="1"/>
  <c r="BD735" i="1"/>
  <c r="BF735" i="1"/>
  <c r="BG735" i="1"/>
  <c r="BH735" i="1"/>
  <c r="BI735" i="1"/>
  <c r="BY735" i="1"/>
  <c r="BZ735" i="1"/>
  <c r="B736" i="1"/>
  <c r="G736" i="1"/>
  <c r="H736" i="1"/>
  <c r="I736" i="1"/>
  <c r="J736" i="1"/>
  <c r="BA736" i="1"/>
  <c r="BB736" i="1"/>
  <c r="BD736" i="1"/>
  <c r="BF736" i="1"/>
  <c r="BG736" i="1"/>
  <c r="BH736" i="1"/>
  <c r="BI736" i="1"/>
  <c r="BY736" i="1"/>
  <c r="BZ736" i="1"/>
  <c r="B737" i="1"/>
  <c r="G737" i="1"/>
  <c r="H737" i="1"/>
  <c r="I737" i="1"/>
  <c r="J737" i="1"/>
  <c r="BA737" i="1"/>
  <c r="BB737" i="1"/>
  <c r="BD737" i="1"/>
  <c r="BF737" i="1"/>
  <c r="BG737" i="1"/>
  <c r="BH737" i="1"/>
  <c r="BI737" i="1"/>
  <c r="BY737" i="1"/>
  <c r="BZ737" i="1"/>
  <c r="B738" i="1"/>
  <c r="G738" i="1"/>
  <c r="H738" i="1"/>
  <c r="I738" i="1"/>
  <c r="J738" i="1"/>
  <c r="BA738" i="1"/>
  <c r="BB738" i="1"/>
  <c r="BD738" i="1"/>
  <c r="BF738" i="1"/>
  <c r="BG738" i="1"/>
  <c r="BH738" i="1"/>
  <c r="BI738" i="1"/>
  <c r="BY738" i="1"/>
  <c r="BZ738" i="1"/>
  <c r="B739" i="1"/>
  <c r="G739" i="1"/>
  <c r="H739" i="1"/>
  <c r="I739" i="1"/>
  <c r="J739" i="1"/>
  <c r="BA739" i="1"/>
  <c r="BB739" i="1"/>
  <c r="BD739" i="1"/>
  <c r="BF739" i="1"/>
  <c r="BG739" i="1"/>
  <c r="BH739" i="1"/>
  <c r="BI739" i="1"/>
  <c r="BY739" i="1"/>
  <c r="BZ739" i="1"/>
  <c r="B740" i="1"/>
  <c r="G740" i="1"/>
  <c r="H740" i="1"/>
  <c r="I740" i="1"/>
  <c r="J740" i="1"/>
  <c r="BA740" i="1"/>
  <c r="BB740" i="1"/>
  <c r="BD740" i="1"/>
  <c r="BF740" i="1"/>
  <c r="BG740" i="1"/>
  <c r="BH740" i="1"/>
  <c r="BI740" i="1"/>
  <c r="BY740" i="1"/>
  <c r="BZ740" i="1"/>
  <c r="B741" i="1"/>
  <c r="G741" i="1"/>
  <c r="H741" i="1"/>
  <c r="I741" i="1"/>
  <c r="J741" i="1"/>
  <c r="BA741" i="1"/>
  <c r="BB741" i="1"/>
  <c r="BD741" i="1"/>
  <c r="BF741" i="1"/>
  <c r="BG741" i="1"/>
  <c r="BH741" i="1"/>
  <c r="BI741" i="1"/>
  <c r="BY741" i="1"/>
  <c r="BZ741" i="1"/>
  <c r="B742" i="1"/>
  <c r="G742" i="1"/>
  <c r="H742" i="1"/>
  <c r="I742" i="1"/>
  <c r="J742" i="1"/>
  <c r="BA742" i="1"/>
  <c r="BB742" i="1"/>
  <c r="BD742" i="1"/>
  <c r="BF742" i="1"/>
  <c r="BG742" i="1"/>
  <c r="BH742" i="1"/>
  <c r="BI742" i="1"/>
  <c r="BY742" i="1"/>
  <c r="BZ742" i="1"/>
  <c r="B743" i="1"/>
  <c r="G743" i="1"/>
  <c r="H743" i="1"/>
  <c r="I743" i="1"/>
  <c r="J743" i="1"/>
  <c r="BA743" i="1"/>
  <c r="BB743" i="1"/>
  <c r="BD743" i="1"/>
  <c r="BF743" i="1"/>
  <c r="BG743" i="1"/>
  <c r="BH743" i="1"/>
  <c r="BI743" i="1"/>
  <c r="BY743" i="1"/>
  <c r="BZ743" i="1"/>
  <c r="B744" i="1"/>
  <c r="G744" i="1"/>
  <c r="H744" i="1"/>
  <c r="I744" i="1"/>
  <c r="J744" i="1"/>
  <c r="BA744" i="1"/>
  <c r="BB744" i="1"/>
  <c r="BD744" i="1"/>
  <c r="BF744" i="1"/>
  <c r="BG744" i="1"/>
  <c r="BH744" i="1"/>
  <c r="BI744" i="1"/>
  <c r="BY744" i="1"/>
  <c r="BZ744" i="1"/>
  <c r="B745" i="1"/>
  <c r="G745" i="1"/>
  <c r="H745" i="1"/>
  <c r="I745" i="1"/>
  <c r="J745" i="1"/>
  <c r="BA745" i="1"/>
  <c r="BB745" i="1"/>
  <c r="BD745" i="1"/>
  <c r="BF745" i="1"/>
  <c r="BG745" i="1"/>
  <c r="BH745" i="1"/>
  <c r="BI745" i="1"/>
  <c r="BY745" i="1"/>
  <c r="BZ745" i="1"/>
  <c r="B746" i="1"/>
  <c r="G746" i="1"/>
  <c r="H746" i="1"/>
  <c r="I746" i="1"/>
  <c r="J746" i="1"/>
  <c r="BA746" i="1"/>
  <c r="BB746" i="1"/>
  <c r="BD746" i="1"/>
  <c r="BF746" i="1"/>
  <c r="BG746" i="1"/>
  <c r="BH746" i="1"/>
  <c r="BI746" i="1"/>
  <c r="BY746" i="1"/>
  <c r="BZ746" i="1"/>
  <c r="B747" i="1"/>
  <c r="G747" i="1"/>
  <c r="H747" i="1"/>
  <c r="I747" i="1"/>
  <c r="J747" i="1"/>
  <c r="BA747" i="1"/>
  <c r="BB747" i="1"/>
  <c r="BD747" i="1"/>
  <c r="BF747" i="1"/>
  <c r="BG747" i="1"/>
  <c r="BH747" i="1"/>
  <c r="BI747" i="1"/>
  <c r="BY747" i="1"/>
  <c r="BZ747" i="1"/>
  <c r="B748" i="1"/>
  <c r="G748" i="1"/>
  <c r="H748" i="1"/>
  <c r="I748" i="1"/>
  <c r="J748" i="1"/>
  <c r="BA748" i="1"/>
  <c r="BB748" i="1"/>
  <c r="BD748" i="1"/>
  <c r="BF748" i="1"/>
  <c r="BG748" i="1"/>
  <c r="BH748" i="1"/>
  <c r="BI748" i="1"/>
  <c r="BY748" i="1"/>
  <c r="BZ748" i="1"/>
  <c r="B749" i="1"/>
  <c r="G749" i="1"/>
  <c r="H749" i="1"/>
  <c r="I749" i="1"/>
  <c r="J749" i="1"/>
  <c r="BA749" i="1"/>
  <c r="BB749" i="1"/>
  <c r="BD749" i="1"/>
  <c r="BF749" i="1"/>
  <c r="BG749" i="1"/>
  <c r="BH749" i="1"/>
  <c r="BI749" i="1"/>
  <c r="BK749" i="1"/>
  <c r="BL749" i="1"/>
  <c r="BM749" i="1"/>
  <c r="BN749" i="1"/>
  <c r="BP749" i="1"/>
  <c r="BQ749" i="1"/>
  <c r="BR749" i="1"/>
  <c r="BS749" i="1"/>
  <c r="BU749" i="1"/>
  <c r="BV749" i="1"/>
  <c r="BW749" i="1"/>
  <c r="BX749" i="1"/>
  <c r="BY749" i="1"/>
  <c r="BZ749" i="1"/>
  <c r="B750" i="1"/>
  <c r="G750" i="1"/>
  <c r="H750" i="1"/>
  <c r="I750" i="1"/>
  <c r="J750" i="1"/>
  <c r="BA750" i="1"/>
  <c r="BB750" i="1"/>
  <c r="BD750" i="1"/>
  <c r="BF750" i="1"/>
  <c r="BG750" i="1"/>
  <c r="BH750" i="1"/>
  <c r="BI750" i="1"/>
  <c r="BK750" i="1"/>
  <c r="BL750" i="1"/>
  <c r="BM750" i="1"/>
  <c r="BN750" i="1"/>
  <c r="BP750" i="1"/>
  <c r="BQ750" i="1"/>
  <c r="BR750" i="1"/>
  <c r="BS750" i="1"/>
  <c r="BU750" i="1"/>
  <c r="BV750" i="1"/>
  <c r="BW750" i="1"/>
  <c r="BX750" i="1"/>
  <c r="BY750" i="1"/>
  <c r="BZ750" i="1"/>
  <c r="B751" i="1"/>
  <c r="G751" i="1"/>
  <c r="H751" i="1"/>
  <c r="I751" i="1"/>
  <c r="J751" i="1"/>
  <c r="BA751" i="1"/>
  <c r="BB751" i="1"/>
  <c r="BD751" i="1"/>
  <c r="BF751" i="1"/>
  <c r="BG751" i="1"/>
  <c r="BH751" i="1"/>
  <c r="BI751" i="1"/>
  <c r="BK751" i="1"/>
  <c r="BL751" i="1"/>
  <c r="BM751" i="1"/>
  <c r="BN751" i="1"/>
  <c r="BP751" i="1"/>
  <c r="BQ751" i="1"/>
  <c r="BR751" i="1"/>
  <c r="BS751" i="1"/>
  <c r="BU751" i="1"/>
  <c r="BV751" i="1"/>
  <c r="BW751" i="1"/>
  <c r="BX751" i="1"/>
  <c r="BY751" i="1"/>
  <c r="BZ751" i="1"/>
  <c r="B752" i="1"/>
  <c r="G752" i="1"/>
  <c r="H752" i="1"/>
  <c r="I752" i="1"/>
  <c r="J752" i="1"/>
  <c r="BA752" i="1"/>
  <c r="BB752" i="1"/>
  <c r="BD752" i="1"/>
  <c r="BF752" i="1"/>
  <c r="BG752" i="1"/>
  <c r="BH752" i="1"/>
  <c r="BI752" i="1"/>
  <c r="BY752" i="1"/>
  <c r="BZ752" i="1"/>
  <c r="B753" i="1"/>
  <c r="G753" i="1"/>
  <c r="H753" i="1"/>
  <c r="I753" i="1"/>
  <c r="J753" i="1"/>
  <c r="BA753" i="1"/>
  <c r="BB753" i="1"/>
  <c r="BD753" i="1"/>
  <c r="BF753" i="1"/>
  <c r="BG753" i="1"/>
  <c r="BH753" i="1"/>
  <c r="BI753" i="1"/>
  <c r="BY753" i="1"/>
  <c r="BZ753" i="1"/>
  <c r="B754" i="1"/>
  <c r="G754" i="1"/>
  <c r="H754" i="1"/>
  <c r="I754" i="1"/>
  <c r="J754" i="1"/>
  <c r="BA754" i="1"/>
  <c r="BB754" i="1"/>
  <c r="BD754" i="1"/>
  <c r="BF754" i="1"/>
  <c r="BG754" i="1"/>
  <c r="BH754" i="1"/>
  <c r="BI754" i="1"/>
  <c r="BY754" i="1"/>
  <c r="BZ754" i="1"/>
  <c r="B755" i="1"/>
  <c r="G755" i="1"/>
  <c r="H755" i="1"/>
  <c r="I755" i="1"/>
  <c r="J755" i="1"/>
  <c r="BA755" i="1"/>
  <c r="BB755" i="1"/>
  <c r="BD755" i="1"/>
  <c r="BF755" i="1"/>
  <c r="BG755" i="1"/>
  <c r="BH755" i="1"/>
  <c r="BI755" i="1"/>
  <c r="BY755" i="1"/>
  <c r="BZ755" i="1"/>
  <c r="B756" i="1"/>
  <c r="G756" i="1"/>
  <c r="H756" i="1"/>
  <c r="I756" i="1"/>
  <c r="J756" i="1"/>
  <c r="BA756" i="1"/>
  <c r="BB756" i="1"/>
  <c r="BD756" i="1"/>
  <c r="BF756" i="1"/>
  <c r="BG756" i="1"/>
  <c r="BH756" i="1"/>
  <c r="BI756" i="1"/>
  <c r="BY756" i="1"/>
  <c r="BZ756" i="1"/>
  <c r="B757" i="1"/>
  <c r="G757" i="1"/>
  <c r="H757" i="1"/>
  <c r="I757" i="1"/>
  <c r="J757" i="1"/>
  <c r="BA757" i="1"/>
  <c r="BB757" i="1"/>
  <c r="BD757" i="1"/>
  <c r="BF757" i="1"/>
  <c r="BG757" i="1"/>
  <c r="BH757" i="1"/>
  <c r="BI757" i="1"/>
  <c r="BY757" i="1"/>
  <c r="BZ757" i="1"/>
  <c r="B758" i="1"/>
  <c r="G758" i="1"/>
  <c r="H758" i="1"/>
  <c r="I758" i="1"/>
  <c r="J758" i="1"/>
  <c r="BA758" i="1"/>
  <c r="BB758" i="1"/>
  <c r="BD758" i="1"/>
  <c r="BF758" i="1"/>
  <c r="BG758" i="1"/>
  <c r="BH758" i="1"/>
  <c r="BI758" i="1"/>
  <c r="BY758" i="1"/>
  <c r="BZ758" i="1"/>
  <c r="B759" i="1"/>
  <c r="G759" i="1"/>
  <c r="H759" i="1"/>
  <c r="I759" i="1"/>
  <c r="J759" i="1"/>
  <c r="BA759" i="1"/>
  <c r="BB759" i="1"/>
  <c r="BD759" i="1"/>
  <c r="BF759" i="1"/>
  <c r="BG759" i="1"/>
  <c r="BH759" i="1"/>
  <c r="BI759" i="1"/>
  <c r="BY759" i="1"/>
  <c r="BZ759" i="1"/>
  <c r="B760" i="1"/>
  <c r="G760" i="1"/>
  <c r="H760" i="1"/>
  <c r="I760" i="1"/>
  <c r="J760" i="1"/>
  <c r="BA760" i="1"/>
  <c r="BB760" i="1"/>
  <c r="BD760" i="1"/>
  <c r="BF760" i="1"/>
  <c r="BG760" i="1"/>
  <c r="BH760" i="1"/>
  <c r="BI760" i="1"/>
  <c r="BY760" i="1"/>
  <c r="BZ760" i="1"/>
  <c r="B761" i="1"/>
  <c r="G761" i="1"/>
  <c r="H761" i="1"/>
  <c r="I761" i="1"/>
  <c r="J761" i="1"/>
  <c r="BA761" i="1"/>
  <c r="BB761" i="1"/>
  <c r="BD761" i="1"/>
  <c r="BF761" i="1"/>
  <c r="BG761" i="1"/>
  <c r="BH761" i="1"/>
  <c r="BI761" i="1"/>
  <c r="BY761" i="1"/>
  <c r="BZ761" i="1"/>
  <c r="B762" i="1"/>
  <c r="G762" i="1"/>
  <c r="H762" i="1"/>
  <c r="I762" i="1"/>
  <c r="J762" i="1"/>
  <c r="BA762" i="1"/>
  <c r="BB762" i="1"/>
  <c r="BD762" i="1"/>
  <c r="BF762" i="1"/>
  <c r="BG762" i="1"/>
  <c r="BH762" i="1"/>
  <c r="BI762" i="1"/>
  <c r="BY762" i="1"/>
  <c r="BZ762" i="1"/>
  <c r="B763" i="1"/>
  <c r="G763" i="1"/>
  <c r="H763" i="1"/>
  <c r="I763" i="1"/>
  <c r="J763" i="1"/>
  <c r="BA763" i="1"/>
  <c r="BB763" i="1"/>
  <c r="BD763" i="1"/>
  <c r="BF763" i="1"/>
  <c r="BG763" i="1"/>
  <c r="BH763" i="1"/>
  <c r="BI763" i="1"/>
  <c r="BY763" i="1"/>
  <c r="BZ763" i="1"/>
  <c r="B764" i="1"/>
  <c r="G764" i="1"/>
  <c r="H764" i="1"/>
  <c r="I764" i="1"/>
  <c r="J764" i="1"/>
  <c r="BA764" i="1"/>
  <c r="BB764" i="1"/>
  <c r="BD764" i="1"/>
  <c r="BF764" i="1"/>
  <c r="BG764" i="1"/>
  <c r="BH764" i="1"/>
  <c r="BI764" i="1"/>
  <c r="BY764" i="1"/>
  <c r="BZ764" i="1"/>
  <c r="B765" i="1"/>
  <c r="G765" i="1"/>
  <c r="H765" i="1"/>
  <c r="I765" i="1"/>
  <c r="J765" i="1"/>
  <c r="BA765" i="1"/>
  <c r="BB765" i="1"/>
  <c r="BD765" i="1"/>
  <c r="BF765" i="1"/>
  <c r="BG765" i="1"/>
  <c r="BH765" i="1"/>
  <c r="BI765" i="1"/>
  <c r="BK765" i="1"/>
  <c r="BL765" i="1"/>
  <c r="BM765" i="1"/>
  <c r="BN765" i="1"/>
  <c r="BY765" i="1"/>
  <c r="BZ765" i="1"/>
  <c r="B766" i="1"/>
  <c r="G766" i="1"/>
  <c r="H766" i="1"/>
  <c r="I766" i="1"/>
  <c r="J766" i="1"/>
  <c r="BA766" i="1"/>
  <c r="BB766" i="1"/>
  <c r="BD766" i="1"/>
  <c r="BF766" i="1"/>
  <c r="BG766" i="1"/>
  <c r="BH766" i="1"/>
  <c r="BI766" i="1"/>
  <c r="BY766" i="1"/>
  <c r="BZ766" i="1"/>
  <c r="B767" i="1"/>
  <c r="G767" i="1"/>
  <c r="H767" i="1"/>
  <c r="I767" i="1"/>
  <c r="J767" i="1"/>
  <c r="BA767" i="1"/>
  <c r="BB767" i="1"/>
  <c r="BD767" i="1"/>
  <c r="BF767" i="1"/>
  <c r="BG767" i="1"/>
  <c r="BH767" i="1"/>
  <c r="BI767" i="1"/>
  <c r="BY767" i="1"/>
  <c r="BZ767" i="1"/>
  <c r="B768" i="1"/>
  <c r="G768" i="1"/>
  <c r="H768" i="1"/>
  <c r="I768" i="1"/>
  <c r="J768" i="1"/>
  <c r="BA768" i="1"/>
  <c r="BB768" i="1"/>
  <c r="BD768" i="1"/>
  <c r="BF768" i="1"/>
  <c r="BG768" i="1"/>
  <c r="BH768" i="1"/>
  <c r="BI768" i="1"/>
  <c r="BY768" i="1"/>
  <c r="BZ768" i="1"/>
  <c r="B769" i="1"/>
  <c r="G769" i="1"/>
  <c r="H769" i="1"/>
  <c r="I769" i="1"/>
  <c r="J769" i="1"/>
  <c r="BA769" i="1"/>
  <c r="BB769" i="1"/>
  <c r="BD769" i="1"/>
  <c r="BF769" i="1"/>
  <c r="BG769" i="1"/>
  <c r="BH769" i="1"/>
  <c r="BI769" i="1"/>
  <c r="BK769" i="1"/>
  <c r="BL769" i="1"/>
  <c r="BM769" i="1"/>
  <c r="BN769" i="1"/>
  <c r="BP769" i="1"/>
  <c r="BQ769" i="1"/>
  <c r="BR769" i="1"/>
  <c r="BS769" i="1"/>
  <c r="BY769" i="1"/>
  <c r="BZ769" i="1"/>
  <c r="B770" i="1"/>
  <c r="G770" i="1"/>
  <c r="H770" i="1"/>
  <c r="I770" i="1"/>
  <c r="J770" i="1"/>
  <c r="BA770" i="1"/>
  <c r="BB770" i="1"/>
  <c r="BD770" i="1"/>
  <c r="BF770" i="1"/>
  <c r="BG770" i="1"/>
  <c r="BH770" i="1"/>
  <c r="BI770" i="1"/>
  <c r="BK770" i="1"/>
  <c r="BL770" i="1"/>
  <c r="BM770" i="1"/>
  <c r="BN770" i="1"/>
  <c r="BP770" i="1"/>
  <c r="BQ770" i="1"/>
  <c r="BR770" i="1"/>
  <c r="BS770" i="1"/>
  <c r="BY770" i="1"/>
  <c r="BZ770" i="1"/>
  <c r="B771" i="1"/>
  <c r="G771" i="1"/>
  <c r="H771" i="1"/>
  <c r="I771" i="1"/>
  <c r="J771" i="1"/>
  <c r="BA771" i="1"/>
  <c r="BB771" i="1"/>
  <c r="BD771" i="1"/>
  <c r="BF771" i="1"/>
  <c r="BG771" i="1"/>
  <c r="BH771" i="1"/>
  <c r="BI771" i="1"/>
  <c r="BK771" i="1"/>
  <c r="BL771" i="1"/>
  <c r="BM771" i="1"/>
  <c r="BN771" i="1"/>
  <c r="BP771" i="1"/>
  <c r="BQ771" i="1"/>
  <c r="BR771" i="1"/>
  <c r="BS771" i="1"/>
  <c r="BY771" i="1"/>
  <c r="BZ771" i="1"/>
  <c r="B772" i="1"/>
  <c r="G772" i="1"/>
  <c r="H772" i="1"/>
  <c r="I772" i="1"/>
  <c r="J772" i="1"/>
  <c r="BA772" i="1"/>
  <c r="BB772" i="1"/>
  <c r="BD772" i="1"/>
  <c r="BF772" i="1"/>
  <c r="BG772" i="1"/>
  <c r="BH772" i="1"/>
  <c r="BI772" i="1"/>
  <c r="BK772" i="1"/>
  <c r="BL772" i="1"/>
  <c r="BM772" i="1"/>
  <c r="BN772" i="1"/>
  <c r="BP772" i="1"/>
  <c r="BQ772" i="1"/>
  <c r="BR772" i="1"/>
  <c r="BS772" i="1"/>
  <c r="BY772" i="1"/>
  <c r="BZ772" i="1"/>
  <c r="B773" i="1"/>
  <c r="G773" i="1"/>
  <c r="H773" i="1"/>
  <c r="I773" i="1"/>
  <c r="J773" i="1"/>
  <c r="BA773" i="1"/>
  <c r="BB773" i="1"/>
  <c r="BD773" i="1"/>
  <c r="BF773" i="1"/>
  <c r="BG773" i="1"/>
  <c r="BH773" i="1"/>
  <c r="BI773" i="1"/>
  <c r="BK773" i="1"/>
  <c r="BL773" i="1"/>
  <c r="BM773" i="1"/>
  <c r="BN773" i="1"/>
  <c r="BP773" i="1"/>
  <c r="BQ773" i="1"/>
  <c r="BR773" i="1"/>
  <c r="BS773" i="1"/>
  <c r="BY773" i="1"/>
  <c r="BZ773" i="1"/>
  <c r="B774" i="1"/>
  <c r="G774" i="1"/>
  <c r="H774" i="1"/>
  <c r="I774" i="1"/>
  <c r="J774" i="1"/>
  <c r="BA774" i="1"/>
  <c r="BB774" i="1"/>
  <c r="BD774" i="1"/>
  <c r="BF774" i="1"/>
  <c r="BG774" i="1"/>
  <c r="BH774" i="1"/>
  <c r="BI774" i="1"/>
  <c r="BK774" i="1"/>
  <c r="BL774" i="1"/>
  <c r="BM774" i="1"/>
  <c r="BN774" i="1"/>
  <c r="BP774" i="1"/>
  <c r="BQ774" i="1"/>
  <c r="BR774" i="1"/>
  <c r="BS774" i="1"/>
  <c r="BY774" i="1"/>
  <c r="BZ774" i="1"/>
  <c r="B775" i="1"/>
  <c r="G775" i="1"/>
  <c r="H775" i="1"/>
  <c r="I775" i="1"/>
  <c r="J775" i="1"/>
  <c r="BA775" i="1"/>
  <c r="BB775" i="1"/>
  <c r="BD775" i="1"/>
  <c r="BF775" i="1"/>
  <c r="BG775" i="1"/>
  <c r="BH775" i="1"/>
  <c r="BI775" i="1"/>
  <c r="BY775" i="1"/>
  <c r="BZ775" i="1"/>
  <c r="B776" i="1"/>
  <c r="G776" i="1"/>
  <c r="H776" i="1"/>
  <c r="I776" i="1"/>
  <c r="J776" i="1"/>
  <c r="BA776" i="1"/>
  <c r="BB776" i="1"/>
  <c r="BD776" i="1"/>
  <c r="BF776" i="1"/>
  <c r="BG776" i="1"/>
  <c r="BH776" i="1"/>
  <c r="BI776" i="1"/>
  <c r="BY776" i="1"/>
  <c r="BZ776" i="1"/>
  <c r="B777" i="1"/>
  <c r="G777" i="1"/>
  <c r="H777" i="1"/>
  <c r="I777" i="1"/>
  <c r="J777" i="1"/>
  <c r="BA777" i="1"/>
  <c r="BB777" i="1"/>
  <c r="BD777" i="1"/>
  <c r="BF777" i="1"/>
  <c r="BG777" i="1"/>
  <c r="BH777" i="1"/>
  <c r="BI777" i="1"/>
  <c r="BY777" i="1"/>
  <c r="BZ777" i="1"/>
  <c r="B778" i="1"/>
  <c r="G778" i="1"/>
  <c r="H778" i="1"/>
  <c r="I778" i="1"/>
  <c r="J778" i="1"/>
  <c r="BA778" i="1"/>
  <c r="BB778" i="1"/>
  <c r="BD778" i="1"/>
  <c r="BF778" i="1"/>
  <c r="BG778" i="1"/>
  <c r="BH778" i="1"/>
  <c r="BI778" i="1"/>
  <c r="BY778" i="1"/>
  <c r="BZ778" i="1"/>
  <c r="B779" i="1"/>
  <c r="G779" i="1"/>
  <c r="H779" i="1"/>
  <c r="I779" i="1"/>
  <c r="J779" i="1"/>
  <c r="BA779" i="1"/>
  <c r="BB779" i="1"/>
  <c r="BD779" i="1"/>
  <c r="BF779" i="1"/>
  <c r="BG779" i="1"/>
  <c r="BH779" i="1"/>
  <c r="BI779" i="1"/>
  <c r="BY779" i="1"/>
  <c r="BZ779" i="1"/>
  <c r="B780" i="1"/>
  <c r="G780" i="1"/>
  <c r="H780" i="1"/>
  <c r="I780" i="1"/>
  <c r="J780" i="1"/>
  <c r="BA780" i="1"/>
  <c r="BB780" i="1"/>
  <c r="BD780" i="1"/>
  <c r="BF780" i="1"/>
  <c r="BG780" i="1"/>
  <c r="BH780" i="1"/>
  <c r="BI780" i="1"/>
  <c r="BK780" i="1"/>
  <c r="BL780" i="1"/>
  <c r="BM780" i="1"/>
  <c r="BN780" i="1"/>
  <c r="BY780" i="1"/>
  <c r="BZ780" i="1"/>
  <c r="B781" i="1"/>
  <c r="G781" i="1"/>
  <c r="H781" i="1"/>
  <c r="I781" i="1"/>
  <c r="J781" i="1"/>
  <c r="BA781" i="1"/>
  <c r="BB781" i="1"/>
  <c r="BD781" i="1"/>
  <c r="BF781" i="1"/>
  <c r="BG781" i="1"/>
  <c r="BH781" i="1"/>
  <c r="BI781" i="1"/>
  <c r="BK781" i="1"/>
  <c r="BL781" i="1"/>
  <c r="BM781" i="1"/>
  <c r="BN781" i="1"/>
  <c r="BY781" i="1"/>
  <c r="BZ781" i="1"/>
  <c r="B782" i="1"/>
  <c r="G782" i="1"/>
  <c r="H782" i="1"/>
  <c r="I782" i="1"/>
  <c r="J782" i="1"/>
  <c r="BA782" i="1"/>
  <c r="BB782" i="1"/>
  <c r="BD782" i="1"/>
  <c r="BF782" i="1"/>
  <c r="BG782" i="1"/>
  <c r="BH782" i="1"/>
  <c r="BI782" i="1"/>
  <c r="BY782" i="1"/>
  <c r="BZ782" i="1"/>
  <c r="B783" i="1"/>
  <c r="G783" i="1"/>
  <c r="H783" i="1"/>
  <c r="I783" i="1"/>
  <c r="J783" i="1"/>
  <c r="BA783" i="1"/>
  <c r="BB783" i="1"/>
  <c r="BD783" i="1"/>
  <c r="BF783" i="1"/>
  <c r="BG783" i="1"/>
  <c r="BH783" i="1"/>
  <c r="BI783" i="1"/>
  <c r="BY783" i="1"/>
  <c r="BZ783" i="1"/>
  <c r="B784" i="1"/>
  <c r="G784" i="1"/>
  <c r="H784" i="1"/>
  <c r="I784" i="1"/>
  <c r="J784" i="1"/>
  <c r="BA784" i="1"/>
  <c r="BB784" i="1"/>
  <c r="BD784" i="1"/>
  <c r="BF784" i="1"/>
  <c r="BG784" i="1"/>
  <c r="BH784" i="1"/>
  <c r="BI784" i="1"/>
  <c r="BY784" i="1"/>
  <c r="BZ784" i="1"/>
  <c r="B785" i="1"/>
  <c r="G785" i="1"/>
  <c r="H785" i="1"/>
  <c r="I785" i="1"/>
  <c r="J785" i="1"/>
  <c r="BA785" i="1"/>
  <c r="BB785" i="1"/>
  <c r="BD785" i="1"/>
  <c r="BF785" i="1"/>
  <c r="BG785" i="1"/>
  <c r="BH785" i="1"/>
  <c r="BI785" i="1"/>
  <c r="BY785" i="1"/>
  <c r="BZ785" i="1"/>
  <c r="B786" i="1"/>
  <c r="G786" i="1"/>
  <c r="H786" i="1"/>
  <c r="I786" i="1"/>
  <c r="J786" i="1"/>
  <c r="BA786" i="1"/>
  <c r="BB786" i="1"/>
  <c r="BD786" i="1"/>
  <c r="BF786" i="1"/>
  <c r="BG786" i="1"/>
  <c r="BH786" i="1"/>
  <c r="BI786" i="1"/>
  <c r="BY786" i="1"/>
  <c r="BZ786" i="1"/>
  <c r="B787" i="1"/>
  <c r="G787" i="1"/>
  <c r="H787" i="1"/>
  <c r="I787" i="1"/>
  <c r="J787" i="1"/>
  <c r="BA787" i="1"/>
  <c r="BB787" i="1"/>
  <c r="BD787" i="1"/>
  <c r="BF787" i="1"/>
  <c r="BG787" i="1"/>
  <c r="BH787" i="1"/>
  <c r="BI787" i="1"/>
  <c r="BY787" i="1"/>
  <c r="BZ787" i="1"/>
  <c r="B788" i="1"/>
  <c r="G788" i="1"/>
  <c r="H788" i="1"/>
  <c r="I788" i="1"/>
  <c r="J788" i="1"/>
  <c r="BA788" i="1"/>
  <c r="BB788" i="1"/>
  <c r="BD788" i="1"/>
  <c r="BF788" i="1"/>
  <c r="BG788" i="1"/>
  <c r="BH788" i="1"/>
  <c r="BI788" i="1"/>
  <c r="BY788" i="1"/>
  <c r="BZ788" i="1"/>
  <c r="B789" i="1"/>
  <c r="G789" i="1"/>
  <c r="H789" i="1"/>
  <c r="I789" i="1"/>
  <c r="J789" i="1"/>
  <c r="BA789" i="1"/>
  <c r="BB789" i="1"/>
  <c r="BD789" i="1"/>
  <c r="BF789" i="1"/>
  <c r="BG789" i="1"/>
  <c r="BH789" i="1"/>
  <c r="BI789" i="1"/>
  <c r="BY789" i="1"/>
  <c r="BZ789" i="1"/>
  <c r="B790" i="1"/>
  <c r="G790" i="1"/>
  <c r="H790" i="1"/>
  <c r="I790" i="1"/>
  <c r="J790" i="1"/>
  <c r="BA790" i="1"/>
  <c r="BB790" i="1"/>
  <c r="BD790" i="1"/>
  <c r="BF790" i="1"/>
  <c r="BG790" i="1"/>
  <c r="BH790" i="1"/>
  <c r="BI790" i="1"/>
  <c r="BY790" i="1"/>
  <c r="BZ790" i="1"/>
  <c r="B791" i="1"/>
  <c r="G791" i="1"/>
  <c r="H791" i="1"/>
  <c r="I791" i="1"/>
  <c r="J791" i="1"/>
  <c r="BA791" i="1"/>
  <c r="BB791" i="1"/>
  <c r="BD791" i="1"/>
  <c r="BF791" i="1"/>
  <c r="BG791" i="1"/>
  <c r="BH791" i="1"/>
  <c r="BI791" i="1"/>
  <c r="BY791" i="1"/>
  <c r="BZ791" i="1"/>
  <c r="B792" i="1"/>
  <c r="G792" i="1"/>
  <c r="H792" i="1"/>
  <c r="I792" i="1"/>
  <c r="J792" i="1"/>
  <c r="BA792" i="1"/>
  <c r="BB792" i="1"/>
  <c r="BD792" i="1"/>
  <c r="BF792" i="1"/>
  <c r="BG792" i="1"/>
  <c r="BH792" i="1"/>
  <c r="BI792" i="1"/>
  <c r="BY792" i="1"/>
  <c r="BZ792" i="1"/>
  <c r="B793" i="1"/>
  <c r="G793" i="1"/>
  <c r="H793" i="1"/>
  <c r="I793" i="1"/>
  <c r="J793" i="1"/>
  <c r="BA793" i="1"/>
  <c r="BB793" i="1"/>
  <c r="BD793" i="1"/>
  <c r="BF793" i="1"/>
  <c r="BG793" i="1"/>
  <c r="BH793" i="1"/>
  <c r="BI793" i="1"/>
  <c r="BK793" i="1"/>
  <c r="BL793" i="1"/>
  <c r="BM793" i="1"/>
  <c r="BN793" i="1"/>
  <c r="BY793" i="1"/>
  <c r="BZ793" i="1"/>
  <c r="B794" i="1"/>
  <c r="G794" i="1"/>
  <c r="H794" i="1"/>
  <c r="I794" i="1"/>
  <c r="J794" i="1"/>
  <c r="BA794" i="1"/>
  <c r="BB794" i="1"/>
  <c r="BD794" i="1"/>
  <c r="BF794" i="1"/>
  <c r="BG794" i="1"/>
  <c r="BH794" i="1"/>
  <c r="BI794" i="1"/>
  <c r="BY794" i="1"/>
  <c r="BZ794" i="1"/>
  <c r="B795" i="1"/>
  <c r="G795" i="1"/>
  <c r="H795" i="1"/>
  <c r="I795" i="1"/>
  <c r="J795" i="1"/>
  <c r="BA795" i="1"/>
  <c r="BB795" i="1"/>
  <c r="BD795" i="1"/>
  <c r="BF795" i="1"/>
  <c r="BG795" i="1"/>
  <c r="BH795" i="1"/>
  <c r="BI795" i="1"/>
  <c r="BY795" i="1"/>
  <c r="BZ795" i="1"/>
  <c r="B796" i="1"/>
  <c r="G796" i="1"/>
  <c r="H796" i="1"/>
  <c r="I796" i="1"/>
  <c r="J796" i="1"/>
  <c r="BA796" i="1"/>
  <c r="BB796" i="1"/>
  <c r="BD796" i="1"/>
  <c r="BF796" i="1"/>
  <c r="BG796" i="1"/>
  <c r="BH796" i="1"/>
  <c r="BI796" i="1"/>
  <c r="BY796" i="1"/>
  <c r="BZ796" i="1"/>
  <c r="B797" i="1"/>
  <c r="G797" i="1"/>
  <c r="H797" i="1"/>
  <c r="I797" i="1"/>
  <c r="J797" i="1"/>
  <c r="BA797" i="1"/>
  <c r="BB797" i="1"/>
  <c r="BD797" i="1"/>
  <c r="BF797" i="1"/>
  <c r="BG797" i="1"/>
  <c r="BH797" i="1"/>
  <c r="BI797" i="1"/>
  <c r="BY797" i="1"/>
  <c r="BZ797" i="1"/>
  <c r="B798" i="1"/>
  <c r="G798" i="1"/>
  <c r="H798" i="1"/>
  <c r="I798" i="1"/>
  <c r="J798" i="1"/>
  <c r="BA798" i="1"/>
  <c r="BB798" i="1"/>
  <c r="BD798" i="1"/>
  <c r="BF798" i="1"/>
  <c r="BG798" i="1"/>
  <c r="BH798" i="1"/>
  <c r="BI798" i="1"/>
  <c r="BY798" i="1"/>
  <c r="BZ798" i="1"/>
  <c r="B799" i="1"/>
  <c r="G799" i="1"/>
  <c r="H799" i="1"/>
  <c r="I799" i="1"/>
  <c r="J799" i="1"/>
  <c r="BA799" i="1"/>
  <c r="BB799" i="1"/>
  <c r="BD799" i="1"/>
  <c r="BF799" i="1"/>
  <c r="BG799" i="1"/>
  <c r="BH799" i="1"/>
  <c r="BI799" i="1"/>
  <c r="BY799" i="1"/>
  <c r="BZ799" i="1"/>
  <c r="B800" i="1"/>
  <c r="G800" i="1"/>
  <c r="H800" i="1"/>
  <c r="I800" i="1"/>
  <c r="J800" i="1"/>
  <c r="BA800" i="1"/>
  <c r="BB800" i="1"/>
  <c r="BD800" i="1"/>
  <c r="BF800" i="1"/>
  <c r="BG800" i="1"/>
  <c r="BH800" i="1"/>
  <c r="BI800" i="1"/>
  <c r="BY800" i="1"/>
  <c r="BZ800" i="1"/>
  <c r="B801" i="1"/>
  <c r="G801" i="1"/>
  <c r="H801" i="1"/>
  <c r="I801" i="1"/>
  <c r="J801" i="1"/>
  <c r="BA801" i="1"/>
  <c r="BB801" i="1"/>
  <c r="BD801" i="1"/>
  <c r="BF801" i="1"/>
  <c r="BG801" i="1"/>
  <c r="BH801" i="1"/>
  <c r="BI801" i="1"/>
  <c r="BY801" i="1"/>
  <c r="BZ801" i="1"/>
  <c r="B802" i="1"/>
  <c r="G802" i="1"/>
  <c r="H802" i="1"/>
  <c r="I802" i="1"/>
  <c r="J802" i="1"/>
  <c r="BA802" i="1"/>
  <c r="BB802" i="1"/>
  <c r="BD802" i="1"/>
  <c r="BF802" i="1"/>
  <c r="BG802" i="1"/>
  <c r="BH802" i="1"/>
  <c r="BI802" i="1"/>
  <c r="BY802" i="1"/>
  <c r="BZ802" i="1"/>
  <c r="B803" i="1"/>
  <c r="G803" i="1"/>
  <c r="H803" i="1"/>
  <c r="I803" i="1"/>
  <c r="J803" i="1"/>
  <c r="BA803" i="1"/>
  <c r="BB803" i="1"/>
  <c r="BD803" i="1"/>
  <c r="BF803" i="1"/>
  <c r="BG803" i="1"/>
  <c r="BH803" i="1"/>
  <c r="BI803" i="1"/>
  <c r="BK803" i="1"/>
  <c r="BL803" i="1"/>
  <c r="BM803" i="1"/>
  <c r="BN803" i="1"/>
  <c r="BY803" i="1"/>
  <c r="BZ803" i="1"/>
  <c r="B804" i="1"/>
  <c r="G804" i="1"/>
  <c r="H804" i="1"/>
  <c r="I804" i="1"/>
  <c r="J804" i="1"/>
  <c r="BA804" i="1"/>
  <c r="BB804" i="1"/>
  <c r="BD804" i="1"/>
  <c r="BF804" i="1"/>
  <c r="BG804" i="1"/>
  <c r="BH804" i="1"/>
  <c r="BI804" i="1"/>
  <c r="BK804" i="1"/>
  <c r="BL804" i="1"/>
  <c r="BM804" i="1"/>
  <c r="BN804" i="1"/>
  <c r="BY804" i="1"/>
  <c r="BZ804" i="1"/>
  <c r="B805" i="1"/>
  <c r="G805" i="1"/>
  <c r="H805" i="1"/>
  <c r="I805" i="1"/>
  <c r="J805" i="1"/>
  <c r="BA805" i="1"/>
  <c r="BB805" i="1"/>
  <c r="BD805" i="1"/>
  <c r="BF805" i="1"/>
  <c r="BG805" i="1"/>
  <c r="BH805" i="1"/>
  <c r="BI805" i="1"/>
  <c r="BY805" i="1"/>
  <c r="BZ805" i="1"/>
  <c r="B806" i="1"/>
  <c r="G806" i="1"/>
  <c r="H806" i="1"/>
  <c r="I806" i="1"/>
  <c r="J806" i="1"/>
  <c r="BA806" i="1"/>
  <c r="BB806" i="1"/>
  <c r="BD806" i="1"/>
  <c r="BF806" i="1"/>
  <c r="BG806" i="1"/>
  <c r="BH806" i="1"/>
  <c r="BI806" i="1"/>
  <c r="BY806" i="1"/>
  <c r="BZ806" i="1"/>
  <c r="B807" i="1"/>
  <c r="G807" i="1"/>
  <c r="H807" i="1"/>
  <c r="I807" i="1"/>
  <c r="J807" i="1"/>
  <c r="BA807" i="1"/>
  <c r="BB807" i="1"/>
  <c r="BD807" i="1"/>
  <c r="BF807" i="1"/>
  <c r="BG807" i="1"/>
  <c r="BH807" i="1"/>
  <c r="BI807" i="1"/>
  <c r="BY807" i="1"/>
  <c r="BZ807" i="1"/>
  <c r="B808" i="1"/>
  <c r="G808" i="1"/>
  <c r="H808" i="1"/>
  <c r="I808" i="1"/>
  <c r="J808" i="1"/>
  <c r="BA808" i="1"/>
  <c r="BB808" i="1"/>
  <c r="BD808" i="1"/>
  <c r="BF808" i="1"/>
  <c r="BG808" i="1"/>
  <c r="BH808" i="1"/>
  <c r="BI808" i="1"/>
  <c r="BY808" i="1"/>
  <c r="BZ808" i="1"/>
  <c r="B809" i="1"/>
  <c r="G809" i="1"/>
  <c r="H809" i="1"/>
  <c r="I809" i="1"/>
  <c r="J809" i="1"/>
  <c r="BA809" i="1"/>
  <c r="BB809" i="1"/>
  <c r="BD809" i="1"/>
  <c r="BF809" i="1"/>
  <c r="BG809" i="1"/>
  <c r="BH809" i="1"/>
  <c r="BI809" i="1"/>
  <c r="BY809" i="1"/>
  <c r="BZ809" i="1"/>
  <c r="B810" i="1"/>
  <c r="G810" i="1"/>
  <c r="H810" i="1"/>
  <c r="I810" i="1"/>
  <c r="J810" i="1"/>
  <c r="BA810" i="1"/>
  <c r="BB810" i="1"/>
  <c r="BD810" i="1"/>
  <c r="BF810" i="1"/>
  <c r="BG810" i="1"/>
  <c r="BH810" i="1"/>
  <c r="BI810" i="1"/>
  <c r="BY810" i="1"/>
  <c r="BZ810" i="1"/>
  <c r="B811" i="1"/>
  <c r="G811" i="1"/>
  <c r="H811" i="1"/>
  <c r="I811" i="1"/>
  <c r="J811" i="1"/>
  <c r="BA811" i="1"/>
  <c r="BB811" i="1"/>
  <c r="BD811" i="1"/>
  <c r="BF811" i="1"/>
  <c r="BG811" i="1"/>
  <c r="BH811" i="1"/>
  <c r="BI811" i="1"/>
  <c r="BY811" i="1"/>
  <c r="BZ811" i="1"/>
  <c r="B812" i="1"/>
  <c r="G812" i="1"/>
  <c r="H812" i="1"/>
  <c r="I812" i="1"/>
  <c r="J812" i="1"/>
  <c r="BA812" i="1"/>
  <c r="BB812" i="1"/>
  <c r="BD812" i="1"/>
  <c r="BF812" i="1"/>
  <c r="BG812" i="1"/>
  <c r="BH812" i="1"/>
  <c r="BI812" i="1"/>
  <c r="BK812" i="1"/>
  <c r="BL812" i="1"/>
  <c r="BM812" i="1"/>
  <c r="BN812" i="1"/>
  <c r="BY812" i="1"/>
  <c r="BZ812" i="1"/>
  <c r="B813" i="1"/>
  <c r="G813" i="1"/>
  <c r="H813" i="1"/>
  <c r="I813" i="1"/>
  <c r="J813" i="1"/>
  <c r="BA813" i="1"/>
  <c r="BB813" i="1"/>
  <c r="BD813" i="1"/>
  <c r="BF813" i="1"/>
  <c r="BG813" i="1"/>
  <c r="BH813" i="1"/>
  <c r="BI813" i="1"/>
  <c r="BY813" i="1"/>
  <c r="BZ813" i="1"/>
  <c r="B814" i="1"/>
  <c r="G814" i="1"/>
  <c r="H814" i="1"/>
  <c r="I814" i="1"/>
  <c r="J814" i="1"/>
  <c r="BA814" i="1"/>
  <c r="BB814" i="1"/>
  <c r="BD814" i="1"/>
  <c r="BF814" i="1"/>
  <c r="BG814" i="1"/>
  <c r="BH814" i="1"/>
  <c r="BI814" i="1"/>
  <c r="BY814" i="1"/>
  <c r="BZ814" i="1"/>
  <c r="B815" i="1"/>
  <c r="G815" i="1"/>
  <c r="H815" i="1"/>
  <c r="I815" i="1"/>
  <c r="J815" i="1"/>
  <c r="BA815" i="1"/>
  <c r="BB815" i="1"/>
  <c r="BD815" i="1"/>
  <c r="BF815" i="1"/>
  <c r="BG815" i="1"/>
  <c r="BH815" i="1"/>
  <c r="BI815" i="1"/>
  <c r="BY815" i="1"/>
  <c r="BZ815" i="1"/>
  <c r="B816" i="1"/>
  <c r="G816" i="1"/>
  <c r="H816" i="1"/>
  <c r="I816" i="1"/>
  <c r="J816" i="1"/>
  <c r="BA816" i="1"/>
  <c r="BB816" i="1"/>
  <c r="BD816" i="1"/>
  <c r="BF816" i="1"/>
  <c r="BG816" i="1"/>
  <c r="BH816" i="1"/>
  <c r="BI816" i="1"/>
  <c r="BY816" i="1"/>
  <c r="BZ816" i="1"/>
  <c r="B817" i="1"/>
  <c r="G817" i="1"/>
  <c r="H817" i="1"/>
  <c r="I817" i="1"/>
  <c r="J817" i="1"/>
  <c r="BA817" i="1"/>
  <c r="BB817" i="1"/>
  <c r="BD817" i="1"/>
  <c r="BF817" i="1"/>
  <c r="BG817" i="1"/>
  <c r="BH817" i="1"/>
  <c r="BI817" i="1"/>
  <c r="BY817" i="1"/>
  <c r="BZ817" i="1"/>
  <c r="B818" i="1"/>
  <c r="G818" i="1"/>
  <c r="H818" i="1"/>
  <c r="I818" i="1"/>
  <c r="J818" i="1"/>
  <c r="BA818" i="1"/>
  <c r="BB818" i="1"/>
  <c r="BD818" i="1"/>
  <c r="BF818" i="1"/>
  <c r="BG818" i="1"/>
  <c r="BH818" i="1"/>
  <c r="BI818" i="1"/>
  <c r="BY818" i="1"/>
  <c r="BZ818" i="1"/>
  <c r="B819" i="1"/>
  <c r="G819" i="1"/>
  <c r="H819" i="1"/>
  <c r="I819" i="1"/>
  <c r="J819" i="1"/>
  <c r="BA819" i="1"/>
  <c r="BB819" i="1"/>
  <c r="BD819" i="1"/>
  <c r="BF819" i="1"/>
  <c r="BG819" i="1"/>
  <c r="BH819" i="1"/>
  <c r="BI819" i="1"/>
  <c r="BY819" i="1"/>
  <c r="BZ819" i="1"/>
  <c r="B820" i="1"/>
  <c r="G820" i="1"/>
  <c r="H820" i="1"/>
  <c r="I820" i="1"/>
  <c r="J820" i="1"/>
  <c r="BA820" i="1"/>
  <c r="BB820" i="1"/>
  <c r="BD820" i="1"/>
  <c r="BF820" i="1"/>
  <c r="BG820" i="1"/>
  <c r="BH820" i="1"/>
  <c r="BI820" i="1"/>
  <c r="BY820" i="1"/>
  <c r="BZ820" i="1"/>
  <c r="B821" i="1"/>
  <c r="G821" i="1"/>
  <c r="H821" i="1"/>
  <c r="I821" i="1"/>
  <c r="J821" i="1"/>
  <c r="BA821" i="1"/>
  <c r="BB821" i="1"/>
  <c r="BD821" i="1"/>
  <c r="BF821" i="1"/>
  <c r="BG821" i="1"/>
  <c r="BH821" i="1"/>
  <c r="BI821" i="1"/>
  <c r="BY821" i="1"/>
  <c r="BZ821" i="1"/>
  <c r="B822" i="1"/>
  <c r="G822" i="1"/>
  <c r="H822" i="1"/>
  <c r="I822" i="1"/>
  <c r="J822" i="1"/>
  <c r="BA822" i="1"/>
  <c r="BB822" i="1"/>
  <c r="BD822" i="1"/>
  <c r="BF822" i="1"/>
  <c r="BG822" i="1"/>
  <c r="BH822" i="1"/>
  <c r="BI822" i="1"/>
  <c r="BY822" i="1"/>
  <c r="BZ822" i="1"/>
  <c r="B823" i="1"/>
  <c r="G823" i="1"/>
  <c r="H823" i="1"/>
  <c r="I823" i="1"/>
  <c r="J823" i="1"/>
  <c r="BA823" i="1"/>
  <c r="BB823" i="1"/>
  <c r="BD823" i="1"/>
  <c r="BF823" i="1"/>
  <c r="BG823" i="1"/>
  <c r="BH823" i="1"/>
  <c r="BI823" i="1"/>
  <c r="BK823" i="1"/>
  <c r="BL823" i="1"/>
  <c r="BM823" i="1"/>
  <c r="BN823" i="1"/>
  <c r="BY823" i="1"/>
  <c r="BZ823" i="1"/>
  <c r="B824" i="1"/>
  <c r="G824" i="1"/>
  <c r="H824" i="1"/>
  <c r="I824" i="1"/>
  <c r="J824" i="1"/>
  <c r="BA824" i="1"/>
  <c r="BB824" i="1"/>
  <c r="BD824" i="1"/>
  <c r="BF824" i="1"/>
  <c r="BG824" i="1"/>
  <c r="BH824" i="1"/>
  <c r="BI824" i="1"/>
  <c r="BY824" i="1"/>
  <c r="BZ824" i="1"/>
  <c r="B825" i="1"/>
  <c r="G825" i="1"/>
  <c r="H825" i="1"/>
  <c r="I825" i="1"/>
  <c r="J825" i="1"/>
  <c r="BA825" i="1"/>
  <c r="BB825" i="1"/>
  <c r="BD825" i="1"/>
  <c r="BF825" i="1"/>
  <c r="BG825" i="1"/>
  <c r="BH825" i="1"/>
  <c r="BI825" i="1"/>
  <c r="BY825" i="1"/>
  <c r="BZ825" i="1"/>
  <c r="B826" i="1"/>
  <c r="G826" i="1"/>
  <c r="H826" i="1"/>
  <c r="I826" i="1"/>
  <c r="J826" i="1"/>
  <c r="BA826" i="1"/>
  <c r="BB826" i="1"/>
  <c r="BD826" i="1"/>
  <c r="BF826" i="1"/>
  <c r="BG826" i="1"/>
  <c r="BH826" i="1"/>
  <c r="BI826" i="1"/>
  <c r="BY826" i="1"/>
  <c r="BZ826" i="1"/>
  <c r="B827" i="1"/>
  <c r="G827" i="1"/>
  <c r="H827" i="1"/>
  <c r="I827" i="1"/>
  <c r="J827" i="1"/>
  <c r="BA827" i="1"/>
  <c r="BB827" i="1"/>
  <c r="BD827" i="1"/>
  <c r="BF827" i="1"/>
  <c r="BG827" i="1"/>
  <c r="BH827" i="1"/>
  <c r="BI827" i="1"/>
  <c r="BY827" i="1"/>
  <c r="BZ827" i="1"/>
  <c r="B828" i="1"/>
  <c r="G828" i="1"/>
  <c r="H828" i="1"/>
  <c r="I828" i="1"/>
  <c r="J828" i="1"/>
  <c r="BA828" i="1"/>
  <c r="BB828" i="1"/>
  <c r="BD828" i="1"/>
  <c r="BF828" i="1"/>
  <c r="BG828" i="1"/>
  <c r="BH828" i="1"/>
  <c r="BI828" i="1"/>
  <c r="BY828" i="1"/>
  <c r="BZ828" i="1"/>
  <c r="B829" i="1"/>
  <c r="G829" i="1"/>
  <c r="H829" i="1"/>
  <c r="I829" i="1"/>
  <c r="J829" i="1"/>
  <c r="BA829" i="1"/>
  <c r="BB829" i="1"/>
  <c r="BD829" i="1"/>
  <c r="BF829" i="1"/>
  <c r="BG829" i="1"/>
  <c r="BH829" i="1"/>
  <c r="BI829" i="1"/>
  <c r="BY829" i="1"/>
  <c r="BZ829" i="1"/>
  <c r="B830" i="1"/>
  <c r="G830" i="1"/>
  <c r="H830" i="1"/>
  <c r="I830" i="1"/>
  <c r="J830" i="1"/>
  <c r="BA830" i="1"/>
  <c r="BB830" i="1"/>
  <c r="BD830" i="1"/>
  <c r="BF830" i="1"/>
  <c r="BG830" i="1"/>
  <c r="BH830" i="1"/>
  <c r="BI830" i="1"/>
  <c r="BY830" i="1"/>
  <c r="BZ830" i="1"/>
  <c r="B831" i="1"/>
  <c r="G831" i="1"/>
  <c r="H831" i="1"/>
  <c r="I831" i="1"/>
  <c r="J831" i="1"/>
  <c r="BA831" i="1"/>
  <c r="BB831" i="1"/>
  <c r="BD831" i="1"/>
  <c r="BF831" i="1"/>
  <c r="BG831" i="1"/>
  <c r="BH831" i="1"/>
  <c r="BI831" i="1"/>
  <c r="BY831" i="1"/>
  <c r="BZ831" i="1"/>
  <c r="B832" i="1"/>
  <c r="G832" i="1"/>
  <c r="H832" i="1"/>
  <c r="I832" i="1"/>
  <c r="J832" i="1"/>
  <c r="BA832" i="1"/>
  <c r="BB832" i="1"/>
  <c r="BD832" i="1"/>
  <c r="BF832" i="1"/>
  <c r="BG832" i="1"/>
  <c r="BH832" i="1"/>
  <c r="BI832" i="1"/>
  <c r="BY832" i="1"/>
  <c r="BZ832" i="1"/>
  <c r="B833" i="1"/>
  <c r="G833" i="1"/>
  <c r="H833" i="1"/>
  <c r="I833" i="1"/>
  <c r="J833" i="1"/>
  <c r="BA833" i="1"/>
  <c r="BB833" i="1"/>
  <c r="BD833" i="1"/>
  <c r="BF833" i="1"/>
  <c r="BG833" i="1"/>
  <c r="BH833" i="1"/>
  <c r="BI833" i="1"/>
  <c r="BY833" i="1"/>
  <c r="BZ833" i="1"/>
  <c r="B834" i="1"/>
  <c r="G834" i="1"/>
  <c r="H834" i="1"/>
  <c r="I834" i="1"/>
  <c r="J834" i="1"/>
  <c r="BA834" i="1"/>
  <c r="BB834" i="1"/>
  <c r="BD834" i="1"/>
  <c r="BF834" i="1"/>
  <c r="BG834" i="1"/>
  <c r="BH834" i="1"/>
  <c r="BI834" i="1"/>
  <c r="BY834" i="1"/>
  <c r="BZ834" i="1"/>
  <c r="B835" i="1"/>
  <c r="G835" i="1"/>
  <c r="H835" i="1"/>
  <c r="I835" i="1"/>
  <c r="J835" i="1"/>
  <c r="BA835" i="1"/>
  <c r="BB835" i="1"/>
  <c r="BD835" i="1"/>
  <c r="BF835" i="1"/>
  <c r="BG835" i="1"/>
  <c r="BH835" i="1"/>
  <c r="BI835" i="1"/>
  <c r="BY835" i="1"/>
  <c r="BZ835" i="1"/>
  <c r="B836" i="1"/>
  <c r="G836" i="1"/>
  <c r="H836" i="1"/>
  <c r="I836" i="1"/>
  <c r="J836" i="1"/>
  <c r="BA836" i="1"/>
  <c r="BB836" i="1"/>
  <c r="BD836" i="1"/>
  <c r="BF836" i="1"/>
  <c r="BG836" i="1"/>
  <c r="BH836" i="1"/>
  <c r="BI836" i="1"/>
  <c r="BY836" i="1"/>
  <c r="BZ836" i="1"/>
  <c r="B837" i="1"/>
  <c r="G837" i="1"/>
  <c r="H837" i="1"/>
  <c r="I837" i="1"/>
  <c r="J837" i="1"/>
  <c r="BA837" i="1"/>
  <c r="BB837" i="1"/>
  <c r="BD837" i="1"/>
  <c r="BF837" i="1"/>
  <c r="BG837" i="1"/>
  <c r="BH837" i="1"/>
  <c r="BI837" i="1"/>
  <c r="BY837" i="1"/>
  <c r="BZ837" i="1"/>
  <c r="B838" i="1"/>
  <c r="G838" i="1"/>
  <c r="H838" i="1"/>
  <c r="I838" i="1"/>
  <c r="J838" i="1"/>
  <c r="BA838" i="1"/>
  <c r="BB838" i="1"/>
  <c r="BD838" i="1"/>
  <c r="BF838" i="1"/>
  <c r="BG838" i="1"/>
  <c r="BH838" i="1"/>
  <c r="BI838" i="1"/>
  <c r="BY838" i="1"/>
  <c r="BZ838" i="1"/>
  <c r="B839" i="1"/>
  <c r="G839" i="1"/>
  <c r="H839" i="1"/>
  <c r="I839" i="1"/>
  <c r="J839" i="1"/>
  <c r="BA839" i="1"/>
  <c r="BB839" i="1"/>
  <c r="BD839" i="1"/>
  <c r="BF839" i="1"/>
  <c r="BG839" i="1"/>
  <c r="BH839" i="1"/>
  <c r="BI839" i="1"/>
  <c r="BK839" i="1"/>
  <c r="BL839" i="1"/>
  <c r="BM839" i="1"/>
  <c r="BN839" i="1"/>
  <c r="BP839" i="1"/>
  <c r="BQ839" i="1"/>
  <c r="BR839" i="1"/>
  <c r="BS839" i="1"/>
  <c r="BU839" i="1"/>
  <c r="BV839" i="1"/>
  <c r="BW839" i="1"/>
  <c r="BX839" i="1"/>
  <c r="BY839" i="1"/>
  <c r="BZ839" i="1"/>
  <c r="B840" i="1"/>
  <c r="G840" i="1"/>
  <c r="H840" i="1"/>
  <c r="I840" i="1"/>
  <c r="J840" i="1"/>
  <c r="BA840" i="1"/>
  <c r="BB840" i="1"/>
  <c r="BD840" i="1"/>
  <c r="BF840" i="1"/>
  <c r="BG840" i="1"/>
  <c r="BH840" i="1"/>
  <c r="BI840" i="1"/>
  <c r="BK840" i="1"/>
  <c r="BL840" i="1"/>
  <c r="BM840" i="1"/>
  <c r="BN840" i="1"/>
  <c r="BY840" i="1"/>
  <c r="BZ840" i="1"/>
  <c r="B841" i="1"/>
  <c r="G841" i="1"/>
  <c r="H841" i="1"/>
  <c r="I841" i="1"/>
  <c r="J841" i="1"/>
  <c r="BA841" i="1"/>
  <c r="BB841" i="1"/>
  <c r="BD841" i="1"/>
  <c r="BF841" i="1"/>
  <c r="BG841" i="1"/>
  <c r="BH841" i="1"/>
  <c r="BI841" i="1"/>
  <c r="BY841" i="1"/>
  <c r="BZ841" i="1"/>
  <c r="B842" i="1"/>
  <c r="G842" i="1"/>
  <c r="H842" i="1"/>
  <c r="I842" i="1"/>
  <c r="J842" i="1"/>
  <c r="BA842" i="1"/>
  <c r="BB842" i="1"/>
  <c r="BD842" i="1"/>
  <c r="BF842" i="1"/>
  <c r="BG842" i="1"/>
  <c r="BH842" i="1"/>
  <c r="BI842" i="1"/>
  <c r="BY842" i="1"/>
  <c r="BZ842" i="1"/>
  <c r="B843" i="1"/>
  <c r="G843" i="1"/>
  <c r="H843" i="1"/>
  <c r="I843" i="1"/>
  <c r="J843" i="1"/>
  <c r="BA843" i="1"/>
  <c r="BB843" i="1"/>
  <c r="BD843" i="1"/>
  <c r="BF843" i="1"/>
  <c r="BG843" i="1"/>
  <c r="BH843" i="1"/>
  <c r="BI843" i="1"/>
  <c r="BY843" i="1"/>
  <c r="BZ843" i="1"/>
  <c r="B844" i="1"/>
  <c r="G844" i="1"/>
  <c r="H844" i="1"/>
  <c r="I844" i="1"/>
  <c r="J844" i="1"/>
  <c r="BA844" i="1"/>
  <c r="BB844" i="1"/>
  <c r="BD844" i="1"/>
  <c r="BF844" i="1"/>
  <c r="BG844" i="1"/>
  <c r="BH844" i="1"/>
  <c r="BI844" i="1"/>
  <c r="BY844" i="1"/>
  <c r="BZ844" i="1"/>
  <c r="B845" i="1"/>
  <c r="G845" i="1"/>
  <c r="H845" i="1"/>
  <c r="I845" i="1"/>
  <c r="J845" i="1"/>
  <c r="BA845" i="1"/>
  <c r="BB845" i="1"/>
  <c r="BD845" i="1"/>
  <c r="BF845" i="1"/>
  <c r="BG845" i="1"/>
  <c r="BH845" i="1"/>
  <c r="BI845" i="1"/>
  <c r="BY845" i="1"/>
  <c r="BZ845" i="1"/>
  <c r="B846" i="1"/>
  <c r="G846" i="1"/>
  <c r="H846" i="1"/>
  <c r="I846" i="1"/>
  <c r="J846" i="1"/>
  <c r="BA846" i="1"/>
  <c r="BB846" i="1"/>
  <c r="BD846" i="1"/>
  <c r="BF846" i="1"/>
  <c r="BG846" i="1"/>
  <c r="BH846" i="1"/>
  <c r="BI846" i="1"/>
  <c r="BY846" i="1"/>
  <c r="BZ846" i="1"/>
  <c r="B847" i="1"/>
  <c r="G847" i="1"/>
  <c r="H847" i="1"/>
  <c r="I847" i="1"/>
  <c r="J847" i="1"/>
  <c r="BA847" i="1"/>
  <c r="BB847" i="1"/>
  <c r="BD847" i="1"/>
  <c r="BF847" i="1"/>
  <c r="BG847" i="1"/>
  <c r="BH847" i="1"/>
  <c r="BI847" i="1"/>
  <c r="BY847" i="1"/>
  <c r="BZ847" i="1"/>
  <c r="B848" i="1"/>
  <c r="G848" i="1"/>
  <c r="H848" i="1"/>
  <c r="I848" i="1"/>
  <c r="J848" i="1"/>
  <c r="BA848" i="1"/>
  <c r="BB848" i="1"/>
  <c r="BD848" i="1"/>
  <c r="BF848" i="1"/>
  <c r="BG848" i="1"/>
  <c r="BH848" i="1"/>
  <c r="BI848" i="1"/>
  <c r="BY848" i="1"/>
  <c r="BZ848" i="1"/>
  <c r="B849" i="1"/>
  <c r="G849" i="1"/>
  <c r="H849" i="1"/>
  <c r="I849" i="1"/>
  <c r="J849" i="1"/>
  <c r="BA849" i="1"/>
  <c r="BB849" i="1"/>
  <c r="BD849" i="1"/>
  <c r="BF849" i="1"/>
  <c r="BG849" i="1"/>
  <c r="BH849" i="1"/>
  <c r="BI849" i="1"/>
  <c r="BY849" i="1"/>
  <c r="BZ849" i="1"/>
  <c r="B850" i="1"/>
  <c r="G850" i="1"/>
  <c r="H850" i="1"/>
  <c r="I850" i="1"/>
  <c r="J850" i="1"/>
  <c r="BA850" i="1"/>
  <c r="BB850" i="1"/>
  <c r="BD850" i="1"/>
  <c r="BF850" i="1"/>
  <c r="BG850" i="1"/>
  <c r="BH850" i="1"/>
  <c r="BI850" i="1"/>
  <c r="BY850" i="1"/>
  <c r="BZ850" i="1"/>
  <c r="B851" i="1"/>
  <c r="G851" i="1"/>
  <c r="H851" i="1"/>
  <c r="I851" i="1"/>
  <c r="J851" i="1"/>
  <c r="BA851" i="1"/>
  <c r="BB851" i="1"/>
  <c r="BD851" i="1"/>
  <c r="BF851" i="1"/>
  <c r="BG851" i="1"/>
  <c r="BH851" i="1"/>
  <c r="BI851" i="1"/>
  <c r="BY851" i="1"/>
  <c r="BZ851" i="1"/>
  <c r="B852" i="1"/>
  <c r="G852" i="1"/>
  <c r="H852" i="1"/>
  <c r="I852" i="1"/>
  <c r="J852" i="1"/>
  <c r="BA852" i="1"/>
  <c r="BB852" i="1"/>
  <c r="BD852" i="1"/>
  <c r="BF852" i="1"/>
  <c r="BG852" i="1"/>
  <c r="BH852" i="1"/>
  <c r="BI852" i="1"/>
  <c r="BY852" i="1"/>
  <c r="BZ852" i="1"/>
  <c r="B853" i="1"/>
  <c r="G853" i="1"/>
  <c r="H853" i="1"/>
  <c r="I853" i="1"/>
  <c r="J853" i="1"/>
  <c r="BA853" i="1"/>
  <c r="BB853" i="1"/>
  <c r="BD853" i="1"/>
  <c r="BF853" i="1"/>
  <c r="BG853" i="1"/>
  <c r="BH853" i="1"/>
  <c r="BI853" i="1"/>
  <c r="BY853" i="1"/>
  <c r="BZ853" i="1"/>
  <c r="B854" i="1"/>
  <c r="G854" i="1"/>
  <c r="H854" i="1"/>
  <c r="I854" i="1"/>
  <c r="J854" i="1"/>
  <c r="BA854" i="1"/>
  <c r="BB854" i="1"/>
  <c r="BD854" i="1"/>
  <c r="BF854" i="1"/>
  <c r="BG854" i="1"/>
  <c r="BH854" i="1"/>
  <c r="BI854" i="1"/>
  <c r="BY854" i="1"/>
  <c r="BZ854" i="1"/>
  <c r="B855" i="1"/>
  <c r="G855" i="1"/>
  <c r="H855" i="1"/>
  <c r="I855" i="1"/>
  <c r="J855" i="1"/>
  <c r="BA855" i="1"/>
  <c r="BB855" i="1"/>
  <c r="BD855" i="1"/>
  <c r="BF855" i="1"/>
  <c r="BG855" i="1"/>
  <c r="BH855" i="1"/>
  <c r="BI855" i="1"/>
  <c r="BY855" i="1"/>
  <c r="BZ855" i="1"/>
  <c r="B856" i="1"/>
  <c r="G856" i="1"/>
  <c r="H856" i="1"/>
  <c r="I856" i="1"/>
  <c r="J856" i="1"/>
  <c r="BA856" i="1"/>
  <c r="BB856" i="1"/>
  <c r="BD856" i="1"/>
  <c r="BF856" i="1"/>
  <c r="BG856" i="1"/>
  <c r="BH856" i="1"/>
  <c r="BI856" i="1"/>
  <c r="BY856" i="1"/>
  <c r="BZ856" i="1"/>
  <c r="B857" i="1"/>
  <c r="G857" i="1"/>
  <c r="H857" i="1"/>
  <c r="I857" i="1"/>
  <c r="J857" i="1"/>
  <c r="BA857" i="1"/>
  <c r="BB857" i="1"/>
  <c r="BD857" i="1"/>
  <c r="BF857" i="1"/>
  <c r="BG857" i="1"/>
  <c r="BH857" i="1"/>
  <c r="BI857" i="1"/>
  <c r="BY857" i="1"/>
  <c r="BZ857" i="1"/>
  <c r="B858" i="1"/>
  <c r="G858" i="1"/>
  <c r="H858" i="1"/>
  <c r="I858" i="1"/>
  <c r="J858" i="1"/>
  <c r="BA858" i="1"/>
  <c r="BB858" i="1"/>
  <c r="BD858" i="1"/>
  <c r="BF858" i="1"/>
  <c r="BG858" i="1"/>
  <c r="BH858" i="1"/>
  <c r="BI858" i="1"/>
  <c r="BK858" i="1"/>
  <c r="BL858" i="1"/>
  <c r="BM858" i="1"/>
  <c r="BN858" i="1"/>
  <c r="BY858" i="1"/>
  <c r="BZ858" i="1"/>
  <c r="B859" i="1"/>
  <c r="G859" i="1"/>
  <c r="H859" i="1"/>
  <c r="I859" i="1"/>
  <c r="J859" i="1"/>
  <c r="BA859" i="1"/>
  <c r="BB859" i="1"/>
  <c r="BD859" i="1"/>
  <c r="BF859" i="1"/>
  <c r="BG859" i="1"/>
  <c r="BH859" i="1"/>
  <c r="BI859" i="1"/>
  <c r="BY859" i="1"/>
  <c r="BZ859" i="1"/>
  <c r="B860" i="1"/>
  <c r="G860" i="1"/>
  <c r="H860" i="1"/>
  <c r="I860" i="1"/>
  <c r="J860" i="1"/>
  <c r="BA860" i="1"/>
  <c r="BB860" i="1"/>
  <c r="BD860" i="1"/>
  <c r="BF860" i="1"/>
  <c r="BG860" i="1"/>
  <c r="BH860" i="1"/>
  <c r="BI860" i="1"/>
  <c r="BK860" i="1"/>
  <c r="BL860" i="1"/>
  <c r="BM860" i="1"/>
  <c r="BN860" i="1"/>
  <c r="BY860" i="1"/>
  <c r="BZ860" i="1"/>
  <c r="B861" i="1"/>
  <c r="G861" i="1"/>
  <c r="H861" i="1"/>
  <c r="I861" i="1"/>
  <c r="J861" i="1"/>
  <c r="BA861" i="1"/>
  <c r="BB861" i="1"/>
  <c r="BD861" i="1"/>
  <c r="BF861" i="1"/>
  <c r="BG861" i="1"/>
  <c r="BH861" i="1"/>
  <c r="BI861" i="1"/>
  <c r="BY861" i="1"/>
  <c r="BZ861" i="1"/>
  <c r="B862" i="1"/>
  <c r="G862" i="1"/>
  <c r="H862" i="1"/>
  <c r="I862" i="1"/>
  <c r="J862" i="1"/>
  <c r="BA862" i="1"/>
  <c r="BB862" i="1"/>
  <c r="BD862" i="1"/>
  <c r="BF862" i="1"/>
  <c r="BG862" i="1"/>
  <c r="BH862" i="1"/>
  <c r="BI862" i="1"/>
  <c r="BK862" i="1"/>
  <c r="BL862" i="1"/>
  <c r="BM862" i="1"/>
  <c r="BN862" i="1"/>
  <c r="BY862" i="1"/>
  <c r="BZ862" i="1"/>
  <c r="B863" i="1"/>
  <c r="G863" i="1"/>
  <c r="H863" i="1"/>
  <c r="I863" i="1"/>
  <c r="J863" i="1"/>
  <c r="BA863" i="1"/>
  <c r="BB863" i="1"/>
  <c r="BD863" i="1"/>
  <c r="BF863" i="1"/>
  <c r="BG863" i="1"/>
  <c r="BH863" i="1"/>
  <c r="BI863" i="1"/>
  <c r="BY863" i="1"/>
  <c r="BZ863" i="1"/>
  <c r="B864" i="1"/>
  <c r="G864" i="1"/>
  <c r="H864" i="1"/>
  <c r="I864" i="1"/>
  <c r="J864" i="1"/>
  <c r="BA864" i="1"/>
  <c r="BB864" i="1"/>
  <c r="BD864" i="1"/>
  <c r="BF864" i="1"/>
  <c r="BG864" i="1"/>
  <c r="BH864" i="1"/>
  <c r="BI864" i="1"/>
  <c r="BY864" i="1"/>
  <c r="BZ864" i="1"/>
  <c r="B865" i="1"/>
  <c r="G865" i="1"/>
  <c r="H865" i="1"/>
  <c r="I865" i="1"/>
  <c r="J865" i="1"/>
  <c r="BA865" i="1"/>
  <c r="BB865" i="1"/>
  <c r="BD865" i="1"/>
  <c r="BF865" i="1"/>
  <c r="BG865" i="1"/>
  <c r="BH865" i="1"/>
  <c r="BI865" i="1"/>
  <c r="BY865" i="1"/>
  <c r="BZ865" i="1"/>
  <c r="B866" i="1"/>
  <c r="G866" i="1"/>
  <c r="H866" i="1"/>
  <c r="I866" i="1"/>
  <c r="J866" i="1"/>
  <c r="BA866" i="1"/>
  <c r="BB866" i="1"/>
  <c r="BD866" i="1"/>
  <c r="BF866" i="1"/>
  <c r="BG866" i="1"/>
  <c r="BH866" i="1"/>
  <c r="BI866" i="1"/>
  <c r="BY866" i="1"/>
  <c r="BZ866" i="1"/>
  <c r="B867" i="1"/>
  <c r="G867" i="1"/>
  <c r="H867" i="1"/>
  <c r="I867" i="1"/>
  <c r="J867" i="1"/>
  <c r="BA867" i="1"/>
  <c r="BB867" i="1"/>
  <c r="BD867" i="1"/>
  <c r="BF867" i="1"/>
  <c r="BG867" i="1"/>
  <c r="BH867" i="1"/>
  <c r="BI867" i="1"/>
  <c r="BY867" i="1"/>
  <c r="BZ867" i="1"/>
  <c r="B868" i="1"/>
  <c r="G868" i="1"/>
  <c r="H868" i="1"/>
  <c r="I868" i="1"/>
  <c r="J868" i="1"/>
  <c r="BA868" i="1"/>
  <c r="BB868" i="1"/>
  <c r="BD868" i="1"/>
  <c r="BF868" i="1"/>
  <c r="BG868" i="1"/>
  <c r="BH868" i="1"/>
  <c r="BI868" i="1"/>
  <c r="BY868" i="1"/>
  <c r="BZ868" i="1"/>
  <c r="B869" i="1"/>
  <c r="G869" i="1"/>
  <c r="H869" i="1"/>
  <c r="I869" i="1"/>
  <c r="J869" i="1"/>
  <c r="BA869" i="1"/>
  <c r="BB869" i="1"/>
  <c r="BD869" i="1"/>
  <c r="BF869" i="1"/>
  <c r="BG869" i="1"/>
  <c r="BH869" i="1"/>
  <c r="BI869" i="1"/>
  <c r="BY869" i="1"/>
  <c r="BZ869" i="1"/>
  <c r="B870" i="1"/>
  <c r="G870" i="1"/>
  <c r="H870" i="1"/>
  <c r="I870" i="1"/>
  <c r="J870" i="1"/>
  <c r="BA870" i="1"/>
  <c r="BB870" i="1"/>
  <c r="BD870" i="1"/>
  <c r="BF870" i="1"/>
  <c r="BG870" i="1"/>
  <c r="BH870" i="1"/>
  <c r="BI870" i="1"/>
  <c r="BY870" i="1"/>
  <c r="BZ870" i="1"/>
  <c r="B871" i="1"/>
  <c r="G871" i="1"/>
  <c r="H871" i="1"/>
  <c r="I871" i="1"/>
  <c r="J871" i="1"/>
  <c r="BA871" i="1"/>
  <c r="BB871" i="1"/>
  <c r="BD871" i="1"/>
  <c r="BF871" i="1"/>
  <c r="BG871" i="1"/>
  <c r="BH871" i="1"/>
  <c r="BI871" i="1"/>
  <c r="BY871" i="1"/>
  <c r="BZ871" i="1"/>
  <c r="B872" i="1"/>
  <c r="G872" i="1"/>
  <c r="H872" i="1"/>
  <c r="I872" i="1"/>
  <c r="J872" i="1"/>
  <c r="BA872" i="1"/>
  <c r="BB872" i="1"/>
  <c r="BD872" i="1"/>
  <c r="BF872" i="1"/>
  <c r="BG872" i="1"/>
  <c r="BH872" i="1"/>
  <c r="BI872" i="1"/>
  <c r="BY872" i="1"/>
  <c r="BZ872" i="1"/>
  <c r="B873" i="1"/>
  <c r="G873" i="1"/>
  <c r="H873" i="1"/>
  <c r="I873" i="1"/>
  <c r="J873" i="1"/>
  <c r="BA873" i="1"/>
  <c r="BB873" i="1"/>
  <c r="BD873" i="1"/>
  <c r="BF873" i="1"/>
  <c r="BG873" i="1"/>
  <c r="BH873" i="1"/>
  <c r="BI873" i="1"/>
  <c r="BK873" i="1"/>
  <c r="BL873" i="1"/>
  <c r="BM873" i="1"/>
  <c r="BN873" i="1"/>
  <c r="BP873" i="1"/>
  <c r="BQ873" i="1"/>
  <c r="BR873" i="1"/>
  <c r="BS873" i="1"/>
  <c r="BY873" i="1"/>
  <c r="BZ873" i="1"/>
  <c r="B874" i="1"/>
  <c r="G874" i="1"/>
  <c r="H874" i="1"/>
  <c r="I874" i="1"/>
  <c r="J874" i="1"/>
  <c r="BA874" i="1"/>
  <c r="BB874" i="1"/>
  <c r="BD874" i="1"/>
  <c r="BF874" i="1"/>
  <c r="BG874" i="1"/>
  <c r="BH874" i="1"/>
  <c r="BI874" i="1"/>
  <c r="BK874" i="1"/>
  <c r="BL874" i="1"/>
  <c r="BM874" i="1"/>
  <c r="BN874" i="1"/>
  <c r="BP874" i="1"/>
  <c r="BQ874" i="1"/>
  <c r="BR874" i="1"/>
  <c r="BS874" i="1"/>
  <c r="BY874" i="1"/>
  <c r="BZ874" i="1"/>
  <c r="B875" i="1"/>
  <c r="G875" i="1"/>
  <c r="H875" i="1"/>
  <c r="I875" i="1"/>
  <c r="J875" i="1"/>
  <c r="BA875" i="1"/>
  <c r="BB875" i="1"/>
  <c r="BD875" i="1"/>
  <c r="BF875" i="1"/>
  <c r="BG875" i="1"/>
  <c r="BH875" i="1"/>
  <c r="BI875" i="1"/>
  <c r="BK875" i="1"/>
  <c r="BL875" i="1"/>
  <c r="BM875" i="1"/>
  <c r="BN875" i="1"/>
  <c r="BP875" i="1"/>
  <c r="BQ875" i="1"/>
  <c r="BR875" i="1"/>
  <c r="BS875" i="1"/>
  <c r="BY875" i="1"/>
  <c r="BZ875" i="1"/>
  <c r="B876" i="1"/>
  <c r="G876" i="1"/>
  <c r="H876" i="1"/>
  <c r="I876" i="1"/>
  <c r="J876" i="1"/>
  <c r="BA876" i="1"/>
  <c r="BB876" i="1"/>
  <c r="BD876" i="1"/>
  <c r="BF876" i="1"/>
  <c r="BG876" i="1"/>
  <c r="BH876" i="1"/>
  <c r="BI876" i="1"/>
  <c r="BY876" i="1"/>
  <c r="BZ876" i="1"/>
  <c r="B877" i="1"/>
  <c r="G877" i="1"/>
  <c r="H877" i="1"/>
  <c r="I877" i="1"/>
  <c r="J877" i="1"/>
  <c r="BA877" i="1"/>
  <c r="BB877" i="1"/>
  <c r="BD877" i="1"/>
  <c r="BF877" i="1"/>
  <c r="BG877" i="1"/>
  <c r="BH877" i="1"/>
  <c r="BI877" i="1"/>
  <c r="BK877" i="1"/>
  <c r="BL877" i="1"/>
  <c r="BM877" i="1"/>
  <c r="BN877" i="1"/>
  <c r="BY877" i="1"/>
  <c r="BZ877" i="1"/>
  <c r="B878" i="1"/>
  <c r="G878" i="1"/>
  <c r="H878" i="1"/>
  <c r="I878" i="1"/>
  <c r="J878" i="1"/>
  <c r="BA878" i="1"/>
  <c r="BB878" i="1"/>
  <c r="BD878" i="1"/>
  <c r="BF878" i="1"/>
  <c r="BG878" i="1"/>
  <c r="BH878" i="1"/>
  <c r="BI878" i="1"/>
  <c r="BK878" i="1"/>
  <c r="BL878" i="1"/>
  <c r="BM878" i="1"/>
  <c r="BN878" i="1"/>
  <c r="BY878" i="1"/>
  <c r="BZ878" i="1"/>
  <c r="B879" i="1"/>
  <c r="G879" i="1"/>
  <c r="H879" i="1"/>
  <c r="I879" i="1"/>
  <c r="J879" i="1"/>
  <c r="BA879" i="1"/>
  <c r="BB879" i="1"/>
  <c r="BD879" i="1"/>
  <c r="BF879" i="1"/>
  <c r="BG879" i="1"/>
  <c r="BH879" i="1"/>
  <c r="BI879" i="1"/>
  <c r="BY879" i="1"/>
  <c r="BZ879" i="1"/>
  <c r="B880" i="1"/>
  <c r="G880" i="1"/>
  <c r="H880" i="1"/>
  <c r="I880" i="1"/>
  <c r="J880" i="1"/>
  <c r="BA880" i="1"/>
  <c r="BB880" i="1"/>
  <c r="BD880" i="1"/>
  <c r="BF880" i="1"/>
  <c r="BG880" i="1"/>
  <c r="BH880" i="1"/>
  <c r="BI880" i="1"/>
  <c r="BY880" i="1"/>
  <c r="BZ880" i="1"/>
  <c r="B881" i="1"/>
  <c r="G881" i="1"/>
  <c r="H881" i="1"/>
  <c r="I881" i="1"/>
  <c r="J881" i="1"/>
  <c r="BA881" i="1"/>
  <c r="BB881" i="1"/>
  <c r="BD881" i="1"/>
  <c r="BF881" i="1"/>
  <c r="BG881" i="1"/>
  <c r="BH881" i="1"/>
  <c r="BI881" i="1"/>
  <c r="BY881" i="1"/>
  <c r="BZ881" i="1"/>
  <c r="B882" i="1"/>
  <c r="G882" i="1"/>
  <c r="H882" i="1"/>
  <c r="I882" i="1"/>
  <c r="J882" i="1"/>
  <c r="BA882" i="1"/>
  <c r="BB882" i="1"/>
  <c r="BD882" i="1"/>
  <c r="BF882" i="1"/>
  <c r="BG882" i="1"/>
  <c r="BH882" i="1"/>
  <c r="BI882" i="1"/>
  <c r="BK882" i="1"/>
  <c r="BL882" i="1"/>
  <c r="BM882" i="1"/>
  <c r="BN882" i="1"/>
  <c r="BY882" i="1"/>
  <c r="BZ882" i="1"/>
  <c r="B883" i="1"/>
  <c r="G883" i="1"/>
  <c r="H883" i="1"/>
  <c r="I883" i="1"/>
  <c r="J883" i="1"/>
  <c r="BA883" i="1"/>
  <c r="BB883" i="1"/>
  <c r="BD883" i="1"/>
  <c r="BF883" i="1"/>
  <c r="BG883" i="1"/>
  <c r="BH883" i="1"/>
  <c r="BI883" i="1"/>
  <c r="BY883" i="1"/>
  <c r="BZ883" i="1"/>
  <c r="B884" i="1"/>
  <c r="G884" i="1"/>
  <c r="H884" i="1"/>
  <c r="I884" i="1"/>
  <c r="J884" i="1"/>
  <c r="BA884" i="1"/>
  <c r="BB884" i="1"/>
  <c r="BD884" i="1"/>
  <c r="BF884" i="1"/>
  <c r="BG884" i="1"/>
  <c r="BH884" i="1"/>
  <c r="BI884" i="1"/>
  <c r="BY884" i="1"/>
  <c r="BZ884" i="1"/>
  <c r="B885" i="1"/>
  <c r="G885" i="1"/>
  <c r="H885" i="1"/>
  <c r="I885" i="1"/>
  <c r="J885" i="1"/>
  <c r="BA885" i="1"/>
  <c r="BB885" i="1"/>
  <c r="BD885" i="1"/>
  <c r="BF885" i="1"/>
  <c r="BG885" i="1"/>
  <c r="BH885" i="1"/>
  <c r="BI885" i="1"/>
  <c r="BY885" i="1"/>
  <c r="BZ885" i="1"/>
  <c r="B886" i="1"/>
  <c r="G886" i="1"/>
  <c r="H886" i="1"/>
  <c r="I886" i="1"/>
  <c r="J886" i="1"/>
  <c r="BA886" i="1"/>
  <c r="BB886" i="1"/>
  <c r="BD886" i="1"/>
  <c r="BF886" i="1"/>
  <c r="BG886" i="1"/>
  <c r="BH886" i="1"/>
  <c r="BI886" i="1"/>
  <c r="BY886" i="1"/>
  <c r="BZ886" i="1"/>
  <c r="B887" i="1"/>
  <c r="G887" i="1"/>
  <c r="H887" i="1"/>
  <c r="I887" i="1"/>
  <c r="J887" i="1"/>
  <c r="BA887" i="1"/>
  <c r="BB887" i="1"/>
  <c r="BD887" i="1"/>
  <c r="BF887" i="1"/>
  <c r="BG887" i="1"/>
  <c r="BH887" i="1"/>
  <c r="BI887" i="1"/>
  <c r="BK887" i="1"/>
  <c r="BL887" i="1"/>
  <c r="BM887" i="1"/>
  <c r="BN887" i="1"/>
  <c r="BY887" i="1"/>
  <c r="BZ887" i="1"/>
  <c r="B888" i="1"/>
  <c r="G888" i="1"/>
  <c r="H888" i="1"/>
  <c r="I888" i="1"/>
  <c r="J888" i="1"/>
  <c r="BA888" i="1"/>
  <c r="BB888" i="1"/>
  <c r="BD888" i="1"/>
  <c r="BF888" i="1"/>
  <c r="BG888" i="1"/>
  <c r="BH888" i="1"/>
  <c r="BI888" i="1"/>
  <c r="BK888" i="1"/>
  <c r="BL888" i="1"/>
  <c r="BM888" i="1"/>
  <c r="BN888" i="1"/>
  <c r="BY888" i="1"/>
  <c r="BZ888" i="1"/>
  <c r="B889" i="1"/>
  <c r="G889" i="1"/>
  <c r="H889" i="1"/>
  <c r="I889" i="1"/>
  <c r="J889" i="1"/>
  <c r="BA889" i="1"/>
  <c r="BB889" i="1"/>
  <c r="BD889" i="1"/>
  <c r="BF889" i="1"/>
  <c r="BG889" i="1"/>
  <c r="BH889" i="1"/>
  <c r="BI889" i="1"/>
  <c r="BK889" i="1"/>
  <c r="BL889" i="1"/>
  <c r="BM889" i="1"/>
  <c r="BN889" i="1"/>
  <c r="BY889" i="1"/>
  <c r="BZ889" i="1"/>
  <c r="B890" i="1"/>
  <c r="G890" i="1"/>
  <c r="H890" i="1"/>
  <c r="I890" i="1"/>
  <c r="J890" i="1"/>
  <c r="BA890" i="1"/>
  <c r="BB890" i="1"/>
  <c r="BD890" i="1"/>
  <c r="BF890" i="1"/>
  <c r="BG890" i="1"/>
  <c r="BH890" i="1"/>
  <c r="BI890" i="1"/>
  <c r="BY890" i="1"/>
  <c r="BZ890" i="1"/>
  <c r="B891" i="1"/>
  <c r="G891" i="1"/>
  <c r="H891" i="1"/>
  <c r="I891" i="1"/>
  <c r="J891" i="1"/>
  <c r="BA891" i="1"/>
  <c r="BB891" i="1"/>
  <c r="BD891" i="1"/>
  <c r="BF891" i="1"/>
  <c r="BG891" i="1"/>
  <c r="BH891" i="1"/>
  <c r="BI891" i="1"/>
  <c r="BY891" i="1"/>
  <c r="BZ891" i="1"/>
  <c r="B892" i="1"/>
  <c r="G892" i="1"/>
  <c r="H892" i="1"/>
  <c r="I892" i="1"/>
  <c r="J892" i="1"/>
  <c r="BA892" i="1"/>
  <c r="BB892" i="1"/>
  <c r="BD892" i="1"/>
  <c r="BF892" i="1"/>
  <c r="BG892" i="1"/>
  <c r="BH892" i="1"/>
  <c r="BI892" i="1"/>
  <c r="BY892" i="1"/>
  <c r="BZ892" i="1"/>
  <c r="B893" i="1"/>
  <c r="G893" i="1"/>
  <c r="H893" i="1"/>
  <c r="I893" i="1"/>
  <c r="J893" i="1"/>
  <c r="BA893" i="1"/>
  <c r="BB893" i="1"/>
  <c r="BD893" i="1"/>
  <c r="BF893" i="1"/>
  <c r="BG893" i="1"/>
  <c r="BH893" i="1"/>
  <c r="BI893" i="1"/>
  <c r="BY893" i="1"/>
  <c r="BZ893" i="1"/>
  <c r="B894" i="1"/>
  <c r="G894" i="1"/>
  <c r="H894" i="1"/>
  <c r="I894" i="1"/>
  <c r="J894" i="1"/>
  <c r="BA894" i="1"/>
  <c r="BB894" i="1"/>
  <c r="BD894" i="1"/>
  <c r="BF894" i="1"/>
  <c r="BG894" i="1"/>
  <c r="BH894" i="1"/>
  <c r="BI894" i="1"/>
  <c r="BY894" i="1"/>
  <c r="BZ894" i="1"/>
  <c r="B895" i="1"/>
  <c r="G895" i="1"/>
  <c r="H895" i="1"/>
  <c r="I895" i="1"/>
  <c r="J895" i="1"/>
  <c r="BA895" i="1"/>
  <c r="BB895" i="1"/>
  <c r="BD895" i="1"/>
  <c r="BF895" i="1"/>
  <c r="BG895" i="1"/>
  <c r="BH895" i="1"/>
  <c r="BI895" i="1"/>
  <c r="BY895" i="1"/>
  <c r="BZ895" i="1"/>
  <c r="B896" i="1"/>
  <c r="G896" i="1"/>
  <c r="H896" i="1"/>
  <c r="I896" i="1"/>
  <c r="J896" i="1"/>
  <c r="BA896" i="1"/>
  <c r="BB896" i="1"/>
  <c r="BD896" i="1"/>
  <c r="BF896" i="1"/>
  <c r="BG896" i="1"/>
  <c r="BH896" i="1"/>
  <c r="BI896" i="1"/>
  <c r="BK896" i="1"/>
  <c r="BL896" i="1"/>
  <c r="BM896" i="1"/>
  <c r="BN896" i="1"/>
  <c r="BY896" i="1"/>
  <c r="BZ896" i="1"/>
  <c r="B897" i="1"/>
  <c r="G897" i="1"/>
  <c r="H897" i="1"/>
  <c r="I897" i="1"/>
  <c r="J897" i="1"/>
  <c r="BA897" i="1"/>
  <c r="BB897" i="1"/>
  <c r="BD897" i="1"/>
  <c r="BF897" i="1"/>
  <c r="BG897" i="1"/>
  <c r="BH897" i="1"/>
  <c r="BI897" i="1"/>
  <c r="BK897" i="1"/>
  <c r="BL897" i="1"/>
  <c r="BM897" i="1"/>
  <c r="BN897" i="1"/>
  <c r="BY897" i="1"/>
  <c r="BZ897" i="1"/>
  <c r="B898" i="1"/>
  <c r="G898" i="1"/>
  <c r="H898" i="1"/>
  <c r="I898" i="1"/>
  <c r="J898" i="1"/>
  <c r="BA898" i="1"/>
  <c r="BB898" i="1"/>
  <c r="BD898" i="1"/>
  <c r="BF898" i="1"/>
  <c r="BG898" i="1"/>
  <c r="BH898" i="1"/>
  <c r="BI898" i="1"/>
  <c r="BK898" i="1"/>
  <c r="BL898" i="1"/>
  <c r="BM898" i="1"/>
  <c r="BN898" i="1"/>
  <c r="BY898" i="1"/>
  <c r="BZ898" i="1"/>
  <c r="B899" i="1"/>
  <c r="G899" i="1"/>
  <c r="H899" i="1"/>
  <c r="I899" i="1"/>
  <c r="J899" i="1"/>
  <c r="BA899" i="1"/>
  <c r="BB899" i="1"/>
  <c r="BD899" i="1"/>
  <c r="BF899" i="1"/>
  <c r="BG899" i="1"/>
  <c r="BH899" i="1"/>
  <c r="BI899" i="1"/>
  <c r="BK899" i="1"/>
  <c r="BL899" i="1"/>
  <c r="BM899" i="1"/>
  <c r="BN899" i="1"/>
  <c r="BY899" i="1"/>
  <c r="BZ899" i="1"/>
  <c r="B900" i="1"/>
  <c r="G900" i="1"/>
  <c r="H900" i="1"/>
  <c r="I900" i="1"/>
  <c r="J900" i="1"/>
  <c r="BA900" i="1"/>
  <c r="BB900" i="1"/>
  <c r="BD900" i="1"/>
  <c r="BF900" i="1"/>
  <c r="BG900" i="1"/>
  <c r="BH900" i="1"/>
  <c r="BI900" i="1"/>
  <c r="BY900" i="1"/>
  <c r="BZ900" i="1"/>
  <c r="B901" i="1"/>
  <c r="G901" i="1"/>
  <c r="H901" i="1"/>
  <c r="I901" i="1"/>
  <c r="J901" i="1"/>
  <c r="BA901" i="1"/>
  <c r="BB901" i="1"/>
  <c r="BD901" i="1"/>
  <c r="BF901" i="1"/>
  <c r="BG901" i="1"/>
  <c r="BH901" i="1"/>
  <c r="BI901" i="1"/>
  <c r="BY901" i="1"/>
  <c r="BZ901" i="1"/>
  <c r="B902" i="1"/>
  <c r="G902" i="1"/>
  <c r="H902" i="1"/>
  <c r="I902" i="1"/>
  <c r="J902" i="1"/>
  <c r="BA902" i="1"/>
  <c r="BB902" i="1"/>
  <c r="BD902" i="1"/>
  <c r="BF902" i="1"/>
  <c r="BG902" i="1"/>
  <c r="BH902" i="1"/>
  <c r="BI902" i="1"/>
  <c r="BY902" i="1"/>
  <c r="BZ902" i="1"/>
  <c r="B903" i="1"/>
  <c r="G903" i="1"/>
  <c r="H903" i="1"/>
  <c r="I903" i="1"/>
  <c r="J903" i="1"/>
  <c r="BA903" i="1"/>
  <c r="BB903" i="1"/>
  <c r="BD903" i="1"/>
  <c r="BF903" i="1"/>
  <c r="BG903" i="1"/>
  <c r="BH903" i="1"/>
  <c r="BI903" i="1"/>
  <c r="BY903" i="1"/>
  <c r="BZ903" i="1"/>
  <c r="B904" i="1"/>
  <c r="G904" i="1"/>
  <c r="H904" i="1"/>
  <c r="I904" i="1"/>
  <c r="J904" i="1"/>
  <c r="BA904" i="1"/>
  <c r="BB904" i="1"/>
  <c r="BD904" i="1"/>
  <c r="BF904" i="1"/>
  <c r="BG904" i="1"/>
  <c r="BH904" i="1"/>
  <c r="BI904" i="1"/>
  <c r="BK904" i="1"/>
  <c r="BL904" i="1"/>
  <c r="BM904" i="1"/>
  <c r="BN904" i="1"/>
  <c r="BY904" i="1"/>
  <c r="BZ904" i="1"/>
  <c r="B905" i="1"/>
  <c r="G905" i="1"/>
  <c r="H905" i="1"/>
  <c r="I905" i="1"/>
  <c r="J905" i="1"/>
  <c r="BA905" i="1"/>
  <c r="BB905" i="1"/>
  <c r="BD905" i="1"/>
  <c r="BF905" i="1"/>
  <c r="BG905" i="1"/>
  <c r="BH905" i="1"/>
  <c r="BI905" i="1"/>
  <c r="BK905" i="1"/>
  <c r="BL905" i="1"/>
  <c r="BM905" i="1"/>
  <c r="BN905" i="1"/>
  <c r="BY905" i="1"/>
  <c r="BZ905" i="1"/>
  <c r="B906" i="1"/>
  <c r="G906" i="1"/>
  <c r="H906" i="1"/>
  <c r="I906" i="1"/>
  <c r="J906" i="1"/>
  <c r="BA906" i="1"/>
  <c r="BB906" i="1"/>
  <c r="BD906" i="1"/>
  <c r="BF906" i="1"/>
  <c r="BG906" i="1"/>
  <c r="BH906" i="1"/>
  <c r="BI906" i="1"/>
  <c r="BY906" i="1"/>
  <c r="BZ906" i="1"/>
  <c r="B907" i="1"/>
  <c r="G907" i="1"/>
  <c r="H907" i="1"/>
  <c r="I907" i="1"/>
  <c r="J907" i="1"/>
  <c r="BA907" i="1"/>
  <c r="BB907" i="1"/>
  <c r="BD907" i="1"/>
  <c r="BF907" i="1"/>
  <c r="BG907" i="1"/>
  <c r="BH907" i="1"/>
  <c r="BI907" i="1"/>
  <c r="BY907" i="1"/>
  <c r="BZ907" i="1"/>
  <c r="B908" i="1"/>
  <c r="G908" i="1"/>
  <c r="H908" i="1"/>
  <c r="I908" i="1"/>
  <c r="J908" i="1"/>
  <c r="BA908" i="1"/>
  <c r="BB908" i="1"/>
  <c r="BD908" i="1"/>
  <c r="BF908" i="1"/>
  <c r="BG908" i="1"/>
  <c r="BH908" i="1"/>
  <c r="BI908" i="1"/>
  <c r="BK908" i="1"/>
  <c r="BL908" i="1"/>
  <c r="BM908" i="1"/>
  <c r="BN908" i="1"/>
  <c r="BY908" i="1"/>
  <c r="BZ908" i="1"/>
  <c r="B909" i="1"/>
  <c r="G909" i="1"/>
  <c r="H909" i="1"/>
  <c r="I909" i="1"/>
  <c r="J909" i="1"/>
  <c r="BA909" i="1"/>
  <c r="BB909" i="1"/>
  <c r="BD909" i="1"/>
  <c r="BF909" i="1"/>
  <c r="BG909" i="1"/>
  <c r="BH909" i="1"/>
  <c r="BI909" i="1"/>
  <c r="BY909" i="1"/>
  <c r="BZ909" i="1"/>
  <c r="B910" i="1"/>
  <c r="G910" i="1"/>
  <c r="H910" i="1"/>
  <c r="I910" i="1"/>
  <c r="J910" i="1"/>
  <c r="BA910" i="1"/>
  <c r="BB910" i="1"/>
  <c r="BD910" i="1"/>
  <c r="BF910" i="1"/>
  <c r="BG910" i="1"/>
  <c r="BH910" i="1"/>
  <c r="BI910" i="1"/>
  <c r="BY910" i="1"/>
  <c r="BZ910" i="1"/>
  <c r="B911" i="1"/>
  <c r="G911" i="1"/>
  <c r="H911" i="1"/>
  <c r="I911" i="1"/>
  <c r="J911" i="1"/>
  <c r="BA911" i="1"/>
  <c r="BB911" i="1"/>
  <c r="BD911" i="1"/>
  <c r="BF911" i="1"/>
  <c r="BG911" i="1"/>
  <c r="BH911" i="1"/>
  <c r="BI911" i="1"/>
  <c r="BY911" i="1"/>
  <c r="BZ911" i="1"/>
  <c r="B912" i="1"/>
  <c r="G912" i="1"/>
  <c r="H912" i="1"/>
  <c r="I912" i="1"/>
  <c r="J912" i="1"/>
  <c r="BA912" i="1"/>
  <c r="BB912" i="1"/>
  <c r="BD912" i="1"/>
  <c r="BF912" i="1"/>
  <c r="BG912" i="1"/>
  <c r="BH912" i="1"/>
  <c r="BI912" i="1"/>
  <c r="BY912" i="1"/>
  <c r="BZ912" i="1"/>
  <c r="B913" i="1"/>
  <c r="G913" i="1"/>
  <c r="H913" i="1"/>
  <c r="I913" i="1"/>
  <c r="J913" i="1"/>
  <c r="BA913" i="1"/>
  <c r="BB913" i="1"/>
  <c r="BD913" i="1"/>
  <c r="BF913" i="1"/>
  <c r="BG913" i="1"/>
  <c r="BH913" i="1"/>
  <c r="BI913" i="1"/>
  <c r="BY913" i="1"/>
  <c r="BZ913" i="1"/>
  <c r="B914" i="1"/>
  <c r="G914" i="1"/>
  <c r="H914" i="1"/>
  <c r="I914" i="1"/>
  <c r="J914" i="1"/>
  <c r="BA914" i="1"/>
  <c r="BB914" i="1"/>
  <c r="BD914" i="1"/>
  <c r="BF914" i="1"/>
  <c r="BG914" i="1"/>
  <c r="BH914" i="1"/>
  <c r="BI914" i="1"/>
  <c r="BY914" i="1"/>
  <c r="BZ914" i="1"/>
  <c r="B915" i="1"/>
  <c r="G915" i="1"/>
  <c r="H915" i="1"/>
  <c r="I915" i="1"/>
  <c r="J915" i="1"/>
  <c r="BA915" i="1"/>
  <c r="BB915" i="1"/>
  <c r="BD915" i="1"/>
  <c r="BF915" i="1"/>
  <c r="BG915" i="1"/>
  <c r="BH915" i="1"/>
  <c r="BI915" i="1"/>
  <c r="BK915" i="1"/>
  <c r="BL915" i="1"/>
  <c r="BM915" i="1"/>
  <c r="BN915" i="1"/>
  <c r="BY915" i="1"/>
  <c r="BZ915" i="1"/>
  <c r="B916" i="1"/>
  <c r="G916" i="1"/>
  <c r="H916" i="1"/>
  <c r="I916" i="1"/>
  <c r="J916" i="1"/>
  <c r="BA916" i="1"/>
  <c r="BB916" i="1"/>
  <c r="BD916" i="1"/>
  <c r="BF916" i="1"/>
  <c r="BG916" i="1"/>
  <c r="BH916" i="1"/>
  <c r="BI916" i="1"/>
  <c r="BY916" i="1"/>
  <c r="BZ916" i="1"/>
  <c r="B917" i="1"/>
  <c r="G917" i="1"/>
  <c r="H917" i="1"/>
  <c r="I917" i="1"/>
  <c r="J917" i="1"/>
  <c r="BA917" i="1"/>
  <c r="BB917" i="1"/>
  <c r="BD917" i="1"/>
  <c r="BF917" i="1"/>
  <c r="BG917" i="1"/>
  <c r="BH917" i="1"/>
  <c r="BI917" i="1"/>
  <c r="BY917" i="1"/>
  <c r="BZ917" i="1"/>
  <c r="B918" i="1"/>
  <c r="G918" i="1"/>
  <c r="H918" i="1"/>
  <c r="I918" i="1"/>
  <c r="J918" i="1"/>
  <c r="BA918" i="1"/>
  <c r="BB918" i="1"/>
  <c r="BD918" i="1"/>
  <c r="BF918" i="1"/>
  <c r="BG918" i="1"/>
  <c r="BH918" i="1"/>
  <c r="BI918" i="1"/>
  <c r="BY918" i="1"/>
  <c r="BZ918" i="1"/>
  <c r="B919" i="1"/>
  <c r="G919" i="1"/>
  <c r="H919" i="1"/>
  <c r="I919" i="1"/>
  <c r="J919" i="1"/>
  <c r="BA919" i="1"/>
  <c r="BB919" i="1"/>
  <c r="BD919" i="1"/>
  <c r="BF919" i="1"/>
  <c r="BG919" i="1"/>
  <c r="BH919" i="1"/>
  <c r="BI919" i="1"/>
  <c r="BY919" i="1"/>
  <c r="BZ919" i="1"/>
  <c r="B920" i="1"/>
  <c r="G920" i="1"/>
  <c r="H920" i="1"/>
  <c r="I920" i="1"/>
  <c r="J920" i="1"/>
  <c r="BA920" i="1"/>
  <c r="BB920" i="1"/>
  <c r="BD920" i="1"/>
  <c r="BF920" i="1"/>
  <c r="BG920" i="1"/>
  <c r="BH920" i="1"/>
  <c r="BI920" i="1"/>
  <c r="BY920" i="1"/>
  <c r="BZ920" i="1"/>
  <c r="B921" i="1"/>
  <c r="G921" i="1"/>
  <c r="H921" i="1"/>
  <c r="I921" i="1"/>
  <c r="J921" i="1"/>
  <c r="BA921" i="1"/>
  <c r="BB921" i="1"/>
  <c r="BD921" i="1"/>
  <c r="BF921" i="1"/>
  <c r="BG921" i="1"/>
  <c r="BH921" i="1"/>
  <c r="BI921" i="1"/>
  <c r="BK921" i="1"/>
  <c r="BL921" i="1"/>
  <c r="BM921" i="1"/>
  <c r="BN921" i="1"/>
  <c r="BY921" i="1"/>
  <c r="BZ921" i="1"/>
  <c r="B922" i="1"/>
  <c r="G922" i="1"/>
  <c r="H922" i="1"/>
  <c r="I922" i="1"/>
  <c r="J922" i="1"/>
  <c r="BA922" i="1"/>
  <c r="BB922" i="1"/>
  <c r="BD922" i="1"/>
  <c r="BF922" i="1"/>
  <c r="BG922" i="1"/>
  <c r="BH922" i="1"/>
  <c r="BI922" i="1"/>
  <c r="BY922" i="1"/>
  <c r="BZ922" i="1"/>
  <c r="B923" i="1"/>
  <c r="G923" i="1"/>
  <c r="H923" i="1"/>
  <c r="I923" i="1"/>
  <c r="J923" i="1"/>
  <c r="BA923" i="1"/>
  <c r="BB923" i="1"/>
  <c r="BD923" i="1"/>
  <c r="BF923" i="1"/>
  <c r="BG923" i="1"/>
  <c r="BH923" i="1"/>
  <c r="BI923" i="1"/>
  <c r="BY923" i="1"/>
  <c r="BZ923" i="1"/>
  <c r="B924" i="1"/>
  <c r="G924" i="1"/>
  <c r="H924" i="1"/>
  <c r="I924" i="1"/>
  <c r="J924" i="1"/>
  <c r="BA924" i="1"/>
  <c r="BB924" i="1"/>
  <c r="BD924" i="1"/>
  <c r="BF924" i="1"/>
  <c r="BG924" i="1"/>
  <c r="BH924" i="1"/>
  <c r="BI924" i="1"/>
  <c r="BY924" i="1"/>
  <c r="BZ924" i="1"/>
  <c r="B925" i="1"/>
  <c r="G925" i="1"/>
  <c r="H925" i="1"/>
  <c r="I925" i="1"/>
  <c r="J925" i="1"/>
  <c r="BA925" i="1"/>
  <c r="BB925" i="1"/>
  <c r="BD925" i="1"/>
  <c r="BF925" i="1"/>
  <c r="BG925" i="1"/>
  <c r="BH925" i="1"/>
  <c r="BI925" i="1"/>
  <c r="BY925" i="1"/>
  <c r="BZ925" i="1"/>
  <c r="B926" i="1"/>
  <c r="G926" i="1"/>
  <c r="H926" i="1"/>
  <c r="I926" i="1"/>
  <c r="J926" i="1"/>
  <c r="BA926" i="1"/>
  <c r="BB926" i="1"/>
  <c r="BD926" i="1"/>
  <c r="BF926" i="1"/>
  <c r="BG926" i="1"/>
  <c r="BH926" i="1"/>
  <c r="BI926" i="1"/>
  <c r="BY926" i="1"/>
  <c r="BZ926" i="1"/>
  <c r="B927" i="1"/>
  <c r="G927" i="1"/>
  <c r="H927" i="1"/>
  <c r="I927" i="1"/>
  <c r="J927" i="1"/>
  <c r="BA927" i="1"/>
  <c r="BB927" i="1"/>
  <c r="BD927" i="1"/>
  <c r="BF927" i="1"/>
  <c r="BG927" i="1"/>
  <c r="BH927" i="1"/>
  <c r="BI927" i="1"/>
  <c r="BY927" i="1"/>
  <c r="BZ927" i="1"/>
  <c r="B928" i="1"/>
  <c r="G928" i="1"/>
  <c r="H928" i="1"/>
  <c r="I928" i="1"/>
  <c r="J928" i="1"/>
  <c r="BA928" i="1"/>
  <c r="BB928" i="1"/>
  <c r="BD928" i="1"/>
  <c r="BF928" i="1"/>
  <c r="BG928" i="1"/>
  <c r="BH928" i="1"/>
  <c r="BI928" i="1"/>
  <c r="BY928" i="1"/>
  <c r="BZ928" i="1"/>
  <c r="B929" i="1"/>
  <c r="G929" i="1"/>
  <c r="H929" i="1"/>
  <c r="I929" i="1"/>
  <c r="J929" i="1"/>
  <c r="BA929" i="1"/>
  <c r="BB929" i="1"/>
  <c r="BD929" i="1"/>
  <c r="BF929" i="1"/>
  <c r="BG929" i="1"/>
  <c r="BH929" i="1"/>
  <c r="BI929" i="1"/>
  <c r="BY929" i="1"/>
  <c r="BZ929" i="1"/>
  <c r="B930" i="1"/>
  <c r="G930" i="1"/>
  <c r="H930" i="1"/>
  <c r="I930" i="1"/>
  <c r="J930" i="1"/>
  <c r="BA930" i="1"/>
  <c r="BB930" i="1"/>
  <c r="BD930" i="1"/>
  <c r="BF930" i="1"/>
  <c r="BG930" i="1"/>
  <c r="BH930" i="1"/>
  <c r="BI930" i="1"/>
  <c r="BY930" i="1"/>
  <c r="BZ930" i="1"/>
  <c r="B931" i="1"/>
  <c r="G931" i="1"/>
  <c r="H931" i="1"/>
  <c r="I931" i="1"/>
  <c r="J931" i="1"/>
  <c r="BA931" i="1"/>
  <c r="BB931" i="1"/>
  <c r="BD931" i="1"/>
  <c r="BF931" i="1"/>
  <c r="BG931" i="1"/>
  <c r="BH931" i="1"/>
  <c r="BI931" i="1"/>
  <c r="BY931" i="1"/>
  <c r="BZ931" i="1"/>
  <c r="B932" i="1"/>
  <c r="G932" i="1"/>
  <c r="H932" i="1"/>
  <c r="I932" i="1"/>
  <c r="J932" i="1"/>
  <c r="BA932" i="1"/>
  <c r="BB932" i="1"/>
  <c r="BD932" i="1"/>
  <c r="BF932" i="1"/>
  <c r="BG932" i="1"/>
  <c r="BH932" i="1"/>
  <c r="BI932" i="1"/>
  <c r="BY932" i="1"/>
  <c r="BZ932" i="1"/>
  <c r="B933" i="1"/>
  <c r="G933" i="1"/>
  <c r="H933" i="1"/>
  <c r="I933" i="1"/>
  <c r="J933" i="1"/>
  <c r="BA933" i="1"/>
  <c r="BB933" i="1"/>
  <c r="BD933" i="1"/>
  <c r="BF933" i="1"/>
  <c r="BG933" i="1"/>
  <c r="BH933" i="1"/>
  <c r="BI933" i="1"/>
  <c r="BY933" i="1"/>
  <c r="BZ933" i="1"/>
  <c r="B934" i="1"/>
  <c r="G934" i="1"/>
  <c r="H934" i="1"/>
  <c r="I934" i="1"/>
  <c r="J934" i="1"/>
  <c r="BA934" i="1"/>
  <c r="BB934" i="1"/>
  <c r="BD934" i="1"/>
  <c r="BF934" i="1"/>
  <c r="BG934" i="1"/>
  <c r="BH934" i="1"/>
  <c r="BI934" i="1"/>
  <c r="BY934" i="1"/>
  <c r="BZ934" i="1"/>
  <c r="B935" i="1"/>
  <c r="G935" i="1"/>
  <c r="H935" i="1"/>
  <c r="I935" i="1"/>
  <c r="J935" i="1"/>
  <c r="BA935" i="1"/>
  <c r="BB935" i="1"/>
  <c r="BD935" i="1"/>
  <c r="BF935" i="1"/>
  <c r="BG935" i="1"/>
  <c r="BH935" i="1"/>
  <c r="BI935" i="1"/>
  <c r="BY935" i="1"/>
  <c r="BZ935" i="1"/>
  <c r="B936" i="1"/>
  <c r="G936" i="1"/>
  <c r="H936" i="1"/>
  <c r="I936" i="1"/>
  <c r="J936" i="1"/>
  <c r="BA936" i="1"/>
  <c r="BB936" i="1"/>
  <c r="BD936" i="1"/>
  <c r="BF936" i="1"/>
  <c r="BG936" i="1"/>
  <c r="BH936" i="1"/>
  <c r="BI936" i="1"/>
  <c r="BY936" i="1"/>
  <c r="BZ936" i="1"/>
  <c r="B937" i="1"/>
  <c r="G937" i="1"/>
  <c r="H937" i="1"/>
  <c r="I937" i="1"/>
  <c r="J937" i="1"/>
  <c r="BA937" i="1"/>
  <c r="BB937" i="1"/>
  <c r="BD937" i="1"/>
  <c r="BF937" i="1"/>
  <c r="BG937" i="1"/>
  <c r="BH937" i="1"/>
  <c r="BI937" i="1"/>
  <c r="BY937" i="1"/>
  <c r="BZ937" i="1"/>
  <c r="B938" i="1"/>
  <c r="G938" i="1"/>
  <c r="H938" i="1"/>
  <c r="I938" i="1"/>
  <c r="J938" i="1"/>
  <c r="BA938" i="1"/>
  <c r="BB938" i="1"/>
  <c r="BD938" i="1"/>
  <c r="BF938" i="1"/>
  <c r="BG938" i="1"/>
  <c r="BH938" i="1"/>
  <c r="BI938" i="1"/>
  <c r="BY938" i="1"/>
  <c r="BZ938" i="1"/>
  <c r="B939" i="1"/>
  <c r="G939" i="1"/>
  <c r="H939" i="1"/>
  <c r="I939" i="1"/>
  <c r="J939" i="1"/>
  <c r="BA939" i="1"/>
  <c r="BB939" i="1"/>
  <c r="BD939" i="1"/>
  <c r="BF939" i="1"/>
  <c r="BG939" i="1"/>
  <c r="BH939" i="1"/>
  <c r="BI939" i="1"/>
  <c r="BY939" i="1"/>
  <c r="BZ939" i="1"/>
  <c r="B940" i="1"/>
  <c r="G940" i="1"/>
  <c r="H940" i="1"/>
  <c r="I940" i="1"/>
  <c r="J940" i="1"/>
  <c r="BA940" i="1"/>
  <c r="BB940" i="1"/>
  <c r="BD940" i="1"/>
  <c r="BF940" i="1"/>
  <c r="BG940" i="1"/>
  <c r="BH940" i="1"/>
  <c r="BI940" i="1"/>
  <c r="BY940" i="1"/>
  <c r="BZ940" i="1"/>
  <c r="B941" i="1"/>
  <c r="G941" i="1"/>
  <c r="H941" i="1"/>
  <c r="I941" i="1"/>
  <c r="J941" i="1"/>
  <c r="BA941" i="1"/>
  <c r="BB941" i="1"/>
  <c r="BD941" i="1"/>
  <c r="BF941" i="1"/>
  <c r="BG941" i="1"/>
  <c r="BH941" i="1"/>
  <c r="BI941" i="1"/>
  <c r="BY941" i="1"/>
  <c r="BZ941" i="1"/>
  <c r="B942" i="1"/>
  <c r="G942" i="1"/>
  <c r="H942" i="1"/>
  <c r="I942" i="1"/>
  <c r="J942" i="1"/>
  <c r="BA942" i="1"/>
  <c r="BB942" i="1"/>
  <c r="BD942" i="1"/>
  <c r="BF942" i="1"/>
  <c r="BG942" i="1"/>
  <c r="BH942" i="1"/>
  <c r="BI942" i="1"/>
  <c r="BY942" i="1"/>
  <c r="BZ942" i="1"/>
  <c r="B943" i="1"/>
  <c r="G943" i="1"/>
  <c r="H943" i="1"/>
  <c r="I943" i="1"/>
  <c r="J943" i="1"/>
  <c r="BA943" i="1"/>
  <c r="BB943" i="1"/>
  <c r="BD943" i="1"/>
  <c r="BF943" i="1"/>
  <c r="BG943" i="1"/>
  <c r="BH943" i="1"/>
  <c r="BI943" i="1"/>
  <c r="BY943" i="1"/>
  <c r="BZ943" i="1"/>
  <c r="B944" i="1"/>
  <c r="G944" i="1"/>
  <c r="H944" i="1"/>
  <c r="I944" i="1"/>
  <c r="J944" i="1"/>
  <c r="BA944" i="1"/>
  <c r="BB944" i="1"/>
  <c r="BD944" i="1"/>
  <c r="BF944" i="1"/>
  <c r="BG944" i="1"/>
  <c r="BH944" i="1"/>
  <c r="BI944" i="1"/>
  <c r="BY944" i="1"/>
  <c r="BZ944" i="1"/>
  <c r="B945" i="1"/>
  <c r="G945" i="1"/>
  <c r="H945" i="1"/>
  <c r="I945" i="1"/>
  <c r="J945" i="1"/>
  <c r="BA945" i="1"/>
  <c r="BB945" i="1"/>
  <c r="BD945" i="1"/>
  <c r="BF945" i="1"/>
  <c r="BG945" i="1"/>
  <c r="BH945" i="1"/>
  <c r="BI945" i="1"/>
  <c r="BY945" i="1"/>
  <c r="BZ945" i="1"/>
  <c r="B946" i="1"/>
  <c r="G946" i="1"/>
  <c r="H946" i="1"/>
  <c r="I946" i="1"/>
  <c r="J946" i="1"/>
  <c r="BA946" i="1"/>
  <c r="BB946" i="1"/>
  <c r="BD946" i="1"/>
  <c r="BF946" i="1"/>
  <c r="BG946" i="1"/>
  <c r="BH946" i="1"/>
  <c r="BI946" i="1"/>
  <c r="BY946" i="1"/>
  <c r="BZ946" i="1"/>
  <c r="B947" i="1"/>
  <c r="G947" i="1"/>
  <c r="H947" i="1"/>
  <c r="I947" i="1"/>
  <c r="J947" i="1"/>
  <c r="BA947" i="1"/>
  <c r="BB947" i="1"/>
  <c r="BD947" i="1"/>
  <c r="BF947" i="1"/>
  <c r="BG947" i="1"/>
  <c r="BH947" i="1"/>
  <c r="BI947" i="1"/>
  <c r="BY947" i="1"/>
  <c r="BZ947" i="1"/>
  <c r="B948" i="1"/>
  <c r="G948" i="1"/>
  <c r="H948" i="1"/>
  <c r="I948" i="1"/>
  <c r="J948" i="1"/>
  <c r="BA948" i="1"/>
  <c r="BB948" i="1"/>
  <c r="BD948" i="1"/>
  <c r="BF948" i="1"/>
  <c r="BG948" i="1"/>
  <c r="BH948" i="1"/>
  <c r="BI948" i="1"/>
  <c r="BY948" i="1"/>
  <c r="BZ948" i="1"/>
  <c r="B949" i="1"/>
  <c r="G949" i="1"/>
  <c r="H949" i="1"/>
  <c r="I949" i="1"/>
  <c r="J949" i="1"/>
  <c r="BA949" i="1"/>
  <c r="BB949" i="1"/>
  <c r="BD949" i="1"/>
  <c r="BF949" i="1"/>
  <c r="BG949" i="1"/>
  <c r="BH949" i="1"/>
  <c r="BI949" i="1"/>
  <c r="BY949" i="1"/>
  <c r="BZ949" i="1"/>
  <c r="B950" i="1"/>
  <c r="G950" i="1"/>
  <c r="H950" i="1"/>
  <c r="I950" i="1"/>
  <c r="J950" i="1"/>
  <c r="BA950" i="1"/>
  <c r="BB950" i="1"/>
  <c r="BD950" i="1"/>
  <c r="BF950" i="1"/>
  <c r="BG950" i="1"/>
  <c r="BH950" i="1"/>
  <c r="BI950" i="1"/>
  <c r="BY950" i="1"/>
  <c r="BZ950" i="1"/>
  <c r="B951" i="1"/>
  <c r="G951" i="1"/>
  <c r="H951" i="1"/>
  <c r="I951" i="1"/>
  <c r="J951" i="1"/>
  <c r="BA951" i="1"/>
  <c r="BB951" i="1"/>
  <c r="BD951" i="1"/>
  <c r="BF951" i="1"/>
  <c r="BG951" i="1"/>
  <c r="BH951" i="1"/>
  <c r="BI951" i="1"/>
  <c r="BY951" i="1"/>
  <c r="BZ951" i="1"/>
  <c r="B952" i="1"/>
  <c r="G952" i="1"/>
  <c r="H952" i="1"/>
  <c r="I952" i="1"/>
  <c r="J952" i="1"/>
  <c r="BA952" i="1"/>
  <c r="BB952" i="1"/>
  <c r="BD952" i="1"/>
  <c r="BF952" i="1"/>
  <c r="BG952" i="1"/>
  <c r="BH952" i="1"/>
  <c r="BI952" i="1"/>
  <c r="BK952" i="1"/>
  <c r="BL952" i="1"/>
  <c r="BM952" i="1"/>
  <c r="BN952" i="1"/>
  <c r="BP952" i="1"/>
  <c r="BQ952" i="1"/>
  <c r="BR952" i="1"/>
  <c r="BS952" i="1"/>
  <c r="BY952" i="1"/>
  <c r="BZ952" i="1"/>
  <c r="B953" i="1"/>
  <c r="G953" i="1"/>
  <c r="H953" i="1"/>
  <c r="I953" i="1"/>
  <c r="J953" i="1"/>
  <c r="BA953" i="1"/>
  <c r="BB953" i="1"/>
  <c r="BD953" i="1"/>
  <c r="BF953" i="1"/>
  <c r="BG953" i="1"/>
  <c r="BH953" i="1"/>
  <c r="BI953" i="1"/>
  <c r="BK953" i="1"/>
  <c r="BL953" i="1"/>
  <c r="BM953" i="1"/>
  <c r="BN953" i="1"/>
  <c r="BP953" i="1"/>
  <c r="BQ953" i="1"/>
  <c r="BR953" i="1"/>
  <c r="BS953" i="1"/>
  <c r="BY953" i="1"/>
  <c r="BZ953" i="1"/>
  <c r="B954" i="1"/>
  <c r="G954" i="1"/>
  <c r="H954" i="1"/>
  <c r="I954" i="1"/>
  <c r="J954" i="1"/>
  <c r="BA954" i="1"/>
  <c r="BB954" i="1"/>
  <c r="BD954" i="1"/>
  <c r="BF954" i="1"/>
  <c r="BG954" i="1"/>
  <c r="BH954" i="1"/>
  <c r="BI954" i="1"/>
  <c r="BK954" i="1"/>
  <c r="BL954" i="1"/>
  <c r="BM954" i="1"/>
  <c r="BN954" i="1"/>
  <c r="BP954" i="1"/>
  <c r="BQ954" i="1"/>
  <c r="BR954" i="1"/>
  <c r="BS954" i="1"/>
  <c r="BY954" i="1"/>
  <c r="BZ954" i="1"/>
  <c r="B955" i="1"/>
  <c r="G955" i="1"/>
  <c r="H955" i="1"/>
  <c r="I955" i="1"/>
  <c r="J955" i="1"/>
  <c r="BA955" i="1"/>
  <c r="BB955" i="1"/>
  <c r="BD955" i="1"/>
  <c r="BF955" i="1"/>
  <c r="BG955" i="1"/>
  <c r="BH955" i="1"/>
  <c r="BI955" i="1"/>
  <c r="BK955" i="1"/>
  <c r="BL955" i="1"/>
  <c r="BM955" i="1"/>
  <c r="BN955" i="1"/>
  <c r="BP955" i="1"/>
  <c r="BQ955" i="1"/>
  <c r="BR955" i="1"/>
  <c r="BS955" i="1"/>
  <c r="BY955" i="1"/>
  <c r="BZ955" i="1"/>
  <c r="B956" i="1"/>
  <c r="G956" i="1"/>
  <c r="H956" i="1"/>
  <c r="I956" i="1"/>
  <c r="J956" i="1"/>
  <c r="BA956" i="1"/>
  <c r="BB956" i="1"/>
  <c r="BD956" i="1"/>
  <c r="BF956" i="1"/>
  <c r="BG956" i="1"/>
  <c r="BH956" i="1"/>
  <c r="BI956" i="1"/>
  <c r="BY956" i="1"/>
  <c r="BZ956" i="1"/>
  <c r="B957" i="1"/>
  <c r="G957" i="1"/>
  <c r="H957" i="1"/>
  <c r="I957" i="1"/>
  <c r="J957" i="1"/>
  <c r="BA957" i="1"/>
  <c r="BB957" i="1"/>
  <c r="BD957" i="1"/>
  <c r="BF957" i="1"/>
  <c r="BG957" i="1"/>
  <c r="BH957" i="1"/>
  <c r="BI957" i="1"/>
  <c r="BY957" i="1"/>
  <c r="BZ957" i="1"/>
  <c r="B958" i="1"/>
  <c r="G958" i="1"/>
  <c r="H958" i="1"/>
  <c r="I958" i="1"/>
  <c r="J958" i="1"/>
  <c r="BA958" i="1"/>
  <c r="BB958" i="1"/>
  <c r="BD958" i="1"/>
  <c r="BF958" i="1"/>
  <c r="BG958" i="1"/>
  <c r="BH958" i="1"/>
  <c r="BI958" i="1"/>
  <c r="BY958" i="1"/>
  <c r="BZ958" i="1"/>
  <c r="B959" i="1"/>
  <c r="G959" i="1"/>
  <c r="H959" i="1"/>
  <c r="I959" i="1"/>
  <c r="J959" i="1"/>
  <c r="BA959" i="1"/>
  <c r="BB959" i="1"/>
  <c r="BD959" i="1"/>
  <c r="BF959" i="1"/>
  <c r="BG959" i="1"/>
  <c r="BH959" i="1"/>
  <c r="BI959" i="1"/>
  <c r="BY959" i="1"/>
  <c r="BZ959" i="1"/>
  <c r="B960" i="1"/>
  <c r="G960" i="1"/>
  <c r="H960" i="1"/>
  <c r="I960" i="1"/>
  <c r="J960" i="1"/>
  <c r="BA960" i="1"/>
  <c r="BB960" i="1"/>
  <c r="BD960" i="1"/>
  <c r="BF960" i="1"/>
  <c r="BG960" i="1"/>
  <c r="BH960" i="1"/>
  <c r="BI960" i="1"/>
  <c r="BY960" i="1"/>
  <c r="BZ960" i="1"/>
  <c r="B961" i="1"/>
  <c r="G961" i="1"/>
  <c r="H961" i="1"/>
  <c r="I961" i="1"/>
  <c r="J961" i="1"/>
  <c r="BA961" i="1"/>
  <c r="BB961" i="1"/>
  <c r="BD961" i="1"/>
  <c r="BF961" i="1"/>
  <c r="BG961" i="1"/>
  <c r="BH961" i="1"/>
  <c r="BI961" i="1"/>
  <c r="BK961" i="1"/>
  <c r="BL961" i="1"/>
  <c r="BM961" i="1"/>
  <c r="BN961" i="1"/>
  <c r="BY961" i="1"/>
  <c r="BZ961" i="1"/>
  <c r="B962" i="1"/>
  <c r="G962" i="1"/>
  <c r="H962" i="1"/>
  <c r="I962" i="1"/>
  <c r="J962" i="1"/>
  <c r="BA962" i="1"/>
  <c r="BB962" i="1"/>
  <c r="BD962" i="1"/>
  <c r="BF962" i="1"/>
  <c r="BG962" i="1"/>
  <c r="BH962" i="1"/>
  <c r="BI962" i="1"/>
  <c r="BY962" i="1"/>
  <c r="BZ962" i="1"/>
  <c r="B963" i="1"/>
  <c r="G963" i="1"/>
  <c r="H963" i="1"/>
  <c r="I963" i="1"/>
  <c r="J963" i="1"/>
  <c r="BA963" i="1"/>
  <c r="BB963" i="1"/>
  <c r="BD963" i="1"/>
  <c r="BF963" i="1"/>
  <c r="BG963" i="1"/>
  <c r="BH963" i="1"/>
  <c r="BI963" i="1"/>
  <c r="BY963" i="1"/>
  <c r="BZ963" i="1"/>
  <c r="B964" i="1"/>
  <c r="G964" i="1"/>
  <c r="H964" i="1"/>
  <c r="I964" i="1"/>
  <c r="J964" i="1"/>
  <c r="BA964" i="1"/>
  <c r="BB964" i="1"/>
  <c r="BD964" i="1"/>
  <c r="BF964" i="1"/>
  <c r="BG964" i="1"/>
  <c r="BH964" i="1"/>
  <c r="BI964" i="1"/>
  <c r="BY964" i="1"/>
  <c r="BZ964" i="1"/>
  <c r="B965" i="1"/>
  <c r="G965" i="1"/>
  <c r="H965" i="1"/>
  <c r="I965" i="1"/>
  <c r="J965" i="1"/>
  <c r="BA965" i="1"/>
  <c r="BB965" i="1"/>
  <c r="BD965" i="1"/>
  <c r="BF965" i="1"/>
  <c r="BG965" i="1"/>
  <c r="BH965" i="1"/>
  <c r="BI965" i="1"/>
  <c r="BY965" i="1"/>
  <c r="BZ965" i="1"/>
  <c r="B966" i="1"/>
  <c r="G966" i="1"/>
  <c r="H966" i="1"/>
  <c r="I966" i="1"/>
  <c r="J966" i="1"/>
  <c r="BA966" i="1"/>
  <c r="BB966" i="1"/>
  <c r="BD966" i="1"/>
  <c r="BF966" i="1"/>
  <c r="BG966" i="1"/>
  <c r="BH966" i="1"/>
  <c r="BI966" i="1"/>
  <c r="BY966" i="1"/>
  <c r="BZ966" i="1"/>
  <c r="B967" i="1"/>
  <c r="G967" i="1"/>
  <c r="H967" i="1"/>
  <c r="I967" i="1"/>
  <c r="J967" i="1"/>
  <c r="BA967" i="1"/>
  <c r="BB967" i="1"/>
  <c r="BD967" i="1"/>
  <c r="BF967" i="1"/>
  <c r="BG967" i="1"/>
  <c r="BH967" i="1"/>
  <c r="BI967" i="1"/>
  <c r="BY967" i="1"/>
  <c r="BZ967" i="1"/>
  <c r="B968" i="1"/>
  <c r="G968" i="1"/>
  <c r="H968" i="1"/>
  <c r="I968" i="1"/>
  <c r="J968" i="1"/>
  <c r="BA968" i="1"/>
  <c r="BB968" i="1"/>
  <c r="BD968" i="1"/>
  <c r="BF968" i="1"/>
  <c r="BG968" i="1"/>
  <c r="BH968" i="1"/>
  <c r="BI968" i="1"/>
  <c r="BY968" i="1"/>
  <c r="BZ968" i="1"/>
  <c r="B969" i="1"/>
  <c r="G969" i="1"/>
  <c r="H969" i="1"/>
  <c r="I969" i="1"/>
  <c r="J969" i="1"/>
  <c r="BA969" i="1"/>
  <c r="BB969" i="1"/>
  <c r="BD969" i="1"/>
  <c r="BF969" i="1"/>
  <c r="BG969" i="1"/>
  <c r="BH969" i="1"/>
  <c r="BI969" i="1"/>
  <c r="BY969" i="1"/>
  <c r="BZ969" i="1"/>
  <c r="B970" i="1"/>
  <c r="G970" i="1"/>
  <c r="H970" i="1"/>
  <c r="I970" i="1"/>
  <c r="J970" i="1"/>
  <c r="BA970" i="1"/>
  <c r="BB970" i="1"/>
  <c r="BD970" i="1"/>
  <c r="BF970" i="1"/>
  <c r="BG970" i="1"/>
  <c r="BH970" i="1"/>
  <c r="BI970" i="1"/>
  <c r="BY970" i="1"/>
  <c r="BZ970" i="1"/>
  <c r="B971" i="1"/>
  <c r="G971" i="1"/>
  <c r="H971" i="1"/>
  <c r="I971" i="1"/>
  <c r="J971" i="1"/>
  <c r="BA971" i="1"/>
  <c r="BB971" i="1"/>
  <c r="BD971" i="1"/>
  <c r="BF971" i="1"/>
  <c r="BG971" i="1"/>
  <c r="BH971" i="1"/>
  <c r="BI971" i="1"/>
  <c r="BY971" i="1"/>
  <c r="BZ971" i="1"/>
  <c r="B972" i="1"/>
  <c r="G972" i="1"/>
  <c r="H972" i="1"/>
  <c r="I972" i="1"/>
  <c r="J972" i="1"/>
  <c r="BA972" i="1"/>
  <c r="BB972" i="1"/>
  <c r="BD972" i="1"/>
  <c r="BF972" i="1"/>
  <c r="BG972" i="1"/>
  <c r="BH972" i="1"/>
  <c r="BI972" i="1"/>
  <c r="BY972" i="1"/>
  <c r="BZ972" i="1"/>
  <c r="B973" i="1"/>
  <c r="G973" i="1"/>
  <c r="H973" i="1"/>
  <c r="I973" i="1"/>
  <c r="J973" i="1"/>
  <c r="BA973" i="1"/>
  <c r="BB973" i="1"/>
  <c r="BD973" i="1"/>
  <c r="BF973" i="1"/>
  <c r="BG973" i="1"/>
  <c r="BH973" i="1"/>
  <c r="BI973" i="1"/>
  <c r="BY973" i="1"/>
  <c r="BZ973" i="1"/>
  <c r="B974" i="1"/>
  <c r="G974" i="1"/>
  <c r="H974" i="1"/>
  <c r="I974" i="1"/>
  <c r="J974" i="1"/>
  <c r="BA974" i="1"/>
  <c r="BB974" i="1"/>
  <c r="BD974" i="1"/>
  <c r="BF974" i="1"/>
  <c r="BG974" i="1"/>
  <c r="BH974" i="1"/>
  <c r="BI974" i="1"/>
  <c r="BK974" i="1"/>
  <c r="BL974" i="1"/>
  <c r="BM974" i="1"/>
  <c r="BN974" i="1"/>
  <c r="BY974" i="1"/>
  <c r="BZ974" i="1"/>
  <c r="B975" i="1"/>
  <c r="G975" i="1"/>
  <c r="H975" i="1"/>
  <c r="I975" i="1"/>
  <c r="J975" i="1"/>
  <c r="BA975" i="1"/>
  <c r="BB975" i="1"/>
  <c r="BD975" i="1"/>
  <c r="BF975" i="1"/>
  <c r="BG975" i="1"/>
  <c r="BH975" i="1"/>
  <c r="BI975" i="1"/>
  <c r="BY975" i="1"/>
  <c r="BZ975" i="1"/>
  <c r="B976" i="1"/>
  <c r="G976" i="1"/>
  <c r="H976" i="1"/>
  <c r="I976" i="1"/>
  <c r="J976" i="1"/>
  <c r="BA976" i="1"/>
  <c r="BB976" i="1"/>
  <c r="BD976" i="1"/>
  <c r="BF976" i="1"/>
  <c r="BG976" i="1"/>
  <c r="BH976" i="1"/>
  <c r="BI976" i="1"/>
  <c r="BY976" i="1"/>
  <c r="BZ976" i="1"/>
  <c r="B977" i="1"/>
  <c r="G977" i="1"/>
  <c r="H977" i="1"/>
  <c r="I977" i="1"/>
  <c r="J977" i="1"/>
  <c r="BA977" i="1"/>
  <c r="BB977" i="1"/>
  <c r="BD977" i="1"/>
  <c r="BF977" i="1"/>
  <c r="BG977" i="1"/>
  <c r="BH977" i="1"/>
  <c r="BI977" i="1"/>
  <c r="BY977" i="1"/>
  <c r="BZ977" i="1"/>
  <c r="B978" i="1"/>
  <c r="G978" i="1"/>
  <c r="H978" i="1"/>
  <c r="I978" i="1"/>
  <c r="J978" i="1"/>
  <c r="BA978" i="1"/>
  <c r="BB978" i="1"/>
  <c r="BD978" i="1"/>
  <c r="BF978" i="1"/>
  <c r="BG978" i="1"/>
  <c r="BH978" i="1"/>
  <c r="BI978" i="1"/>
  <c r="BY978" i="1"/>
  <c r="BZ978" i="1"/>
  <c r="B979" i="1"/>
  <c r="G979" i="1"/>
  <c r="H979" i="1"/>
  <c r="I979" i="1"/>
  <c r="J979" i="1"/>
  <c r="BA979" i="1"/>
  <c r="BB979" i="1"/>
  <c r="BD979" i="1"/>
  <c r="BF979" i="1"/>
  <c r="BG979" i="1"/>
  <c r="BH979" i="1"/>
  <c r="BI979" i="1"/>
  <c r="BY979" i="1"/>
  <c r="BZ979" i="1"/>
  <c r="B980" i="1"/>
  <c r="G980" i="1"/>
  <c r="H980" i="1"/>
  <c r="I980" i="1"/>
  <c r="J980" i="1"/>
  <c r="BA980" i="1"/>
  <c r="BB980" i="1"/>
  <c r="BD980" i="1"/>
  <c r="BF980" i="1"/>
  <c r="BG980" i="1"/>
  <c r="BH980" i="1"/>
  <c r="BI980" i="1"/>
  <c r="BY980" i="1"/>
  <c r="BZ980" i="1"/>
  <c r="B981" i="1"/>
  <c r="G981" i="1"/>
  <c r="H981" i="1"/>
  <c r="I981" i="1"/>
  <c r="J981" i="1"/>
  <c r="BA981" i="1"/>
  <c r="BB981" i="1"/>
  <c r="BD981" i="1"/>
  <c r="BF981" i="1"/>
  <c r="BG981" i="1"/>
  <c r="BH981" i="1"/>
  <c r="BI981" i="1"/>
  <c r="BY981" i="1"/>
  <c r="BZ981" i="1"/>
  <c r="B982" i="1"/>
  <c r="G982" i="1"/>
  <c r="H982" i="1"/>
  <c r="I982" i="1"/>
  <c r="J982" i="1"/>
  <c r="BA982" i="1"/>
  <c r="BB982" i="1"/>
  <c r="BD982" i="1"/>
  <c r="BF982" i="1"/>
  <c r="BG982" i="1"/>
  <c r="BH982" i="1"/>
  <c r="BI982" i="1"/>
  <c r="BY982" i="1"/>
  <c r="BZ982" i="1"/>
  <c r="B983" i="1"/>
  <c r="G983" i="1"/>
  <c r="H983" i="1"/>
  <c r="I983" i="1"/>
  <c r="J983" i="1"/>
  <c r="BA983" i="1"/>
  <c r="BB983" i="1"/>
  <c r="BD983" i="1"/>
  <c r="BF983" i="1"/>
  <c r="BG983" i="1"/>
  <c r="BH983" i="1"/>
  <c r="BI983" i="1"/>
  <c r="BY983" i="1"/>
  <c r="BZ983" i="1"/>
  <c r="B984" i="1"/>
  <c r="G984" i="1"/>
  <c r="H984" i="1"/>
  <c r="I984" i="1"/>
  <c r="J984" i="1"/>
  <c r="BA984" i="1"/>
  <c r="BB984" i="1"/>
  <c r="BD984" i="1"/>
  <c r="BF984" i="1"/>
  <c r="BG984" i="1"/>
  <c r="BH984" i="1"/>
  <c r="BI984" i="1"/>
  <c r="BY984" i="1"/>
  <c r="BZ984" i="1"/>
  <c r="B985" i="1"/>
  <c r="G985" i="1"/>
  <c r="H985" i="1"/>
  <c r="I985" i="1"/>
  <c r="J985" i="1"/>
  <c r="BA985" i="1"/>
  <c r="BB985" i="1"/>
  <c r="BD985" i="1"/>
  <c r="BF985" i="1"/>
  <c r="BG985" i="1"/>
  <c r="BH985" i="1"/>
  <c r="BI985" i="1"/>
  <c r="BY985" i="1"/>
  <c r="BZ985" i="1"/>
  <c r="B986" i="1"/>
  <c r="G986" i="1"/>
  <c r="H986" i="1"/>
  <c r="I986" i="1"/>
  <c r="J986" i="1"/>
  <c r="BA986" i="1"/>
  <c r="BB986" i="1"/>
  <c r="BD986" i="1"/>
  <c r="BF986" i="1"/>
  <c r="BG986" i="1"/>
  <c r="BH986" i="1"/>
  <c r="BI986" i="1"/>
  <c r="BY986" i="1"/>
  <c r="BZ986" i="1"/>
  <c r="B987" i="1"/>
  <c r="G987" i="1"/>
  <c r="H987" i="1"/>
  <c r="I987" i="1"/>
  <c r="J987" i="1"/>
  <c r="BA987" i="1"/>
  <c r="BB987" i="1"/>
  <c r="BD987" i="1"/>
  <c r="BF987" i="1"/>
  <c r="BG987" i="1"/>
  <c r="BH987" i="1"/>
  <c r="BI987" i="1"/>
  <c r="BY987" i="1"/>
  <c r="BZ987" i="1"/>
  <c r="B988" i="1"/>
  <c r="G988" i="1"/>
  <c r="H988" i="1"/>
  <c r="I988" i="1"/>
  <c r="J988" i="1"/>
  <c r="BA988" i="1"/>
  <c r="BB988" i="1"/>
  <c r="BD988" i="1"/>
  <c r="BF988" i="1"/>
  <c r="BG988" i="1"/>
  <c r="BH988" i="1"/>
  <c r="BI988" i="1"/>
  <c r="BY988" i="1"/>
  <c r="BZ988" i="1"/>
  <c r="B989" i="1"/>
  <c r="G989" i="1"/>
  <c r="H989" i="1"/>
  <c r="I989" i="1"/>
  <c r="J989" i="1"/>
  <c r="BA989" i="1"/>
  <c r="BB989" i="1"/>
  <c r="BD989" i="1"/>
  <c r="BF989" i="1"/>
  <c r="BG989" i="1"/>
  <c r="BH989" i="1"/>
  <c r="BI989" i="1"/>
  <c r="BY989" i="1"/>
  <c r="BZ989" i="1"/>
  <c r="B990" i="1"/>
  <c r="G990" i="1"/>
  <c r="H990" i="1"/>
  <c r="I990" i="1"/>
  <c r="J990" i="1"/>
  <c r="BA990" i="1"/>
  <c r="BB990" i="1"/>
  <c r="BD990" i="1"/>
  <c r="BF990" i="1"/>
  <c r="BG990" i="1"/>
  <c r="BH990" i="1"/>
  <c r="BI990" i="1"/>
  <c r="BY990" i="1"/>
  <c r="BZ990" i="1"/>
  <c r="B991" i="1"/>
  <c r="G991" i="1"/>
  <c r="H991" i="1"/>
  <c r="I991" i="1"/>
  <c r="J991" i="1"/>
  <c r="BA991" i="1"/>
  <c r="BB991" i="1"/>
  <c r="BD991" i="1"/>
  <c r="BF991" i="1"/>
  <c r="BG991" i="1"/>
  <c r="BH991" i="1"/>
  <c r="BI991" i="1"/>
  <c r="BY991" i="1"/>
  <c r="BZ991" i="1"/>
  <c r="B992" i="1"/>
  <c r="G992" i="1"/>
  <c r="H992" i="1"/>
  <c r="I992" i="1"/>
  <c r="J992" i="1"/>
  <c r="BA992" i="1"/>
  <c r="BB992" i="1"/>
  <c r="BD992" i="1"/>
  <c r="BF992" i="1"/>
  <c r="BG992" i="1"/>
  <c r="BH992" i="1"/>
  <c r="BI992" i="1"/>
  <c r="BY992" i="1"/>
  <c r="BZ992" i="1"/>
  <c r="B993" i="1"/>
  <c r="G993" i="1"/>
  <c r="H993" i="1"/>
  <c r="I993" i="1"/>
  <c r="J993" i="1"/>
  <c r="BA993" i="1"/>
  <c r="BB993" i="1"/>
  <c r="BD993" i="1"/>
  <c r="BF993" i="1"/>
  <c r="BG993" i="1"/>
  <c r="BH993" i="1"/>
  <c r="BI993" i="1"/>
  <c r="BY993" i="1"/>
  <c r="BZ993" i="1"/>
  <c r="B994" i="1"/>
  <c r="G994" i="1"/>
  <c r="H994" i="1"/>
  <c r="I994" i="1"/>
  <c r="J994" i="1"/>
  <c r="BA994" i="1"/>
  <c r="BB994" i="1"/>
  <c r="BD994" i="1"/>
  <c r="BF994" i="1"/>
  <c r="BG994" i="1"/>
  <c r="BH994" i="1"/>
  <c r="BI994" i="1"/>
  <c r="BK994" i="1"/>
  <c r="BL994" i="1"/>
  <c r="BM994" i="1"/>
  <c r="BN994" i="1"/>
  <c r="BY994" i="1"/>
  <c r="BZ994" i="1"/>
  <c r="B995" i="1"/>
  <c r="G995" i="1"/>
  <c r="H995" i="1"/>
  <c r="I995" i="1"/>
  <c r="J995" i="1"/>
  <c r="BA995" i="1"/>
  <c r="BB995" i="1"/>
  <c r="BD995" i="1"/>
  <c r="BF995" i="1"/>
  <c r="BG995" i="1"/>
  <c r="BH995" i="1"/>
  <c r="BI995" i="1"/>
  <c r="BK995" i="1"/>
  <c r="BL995" i="1"/>
  <c r="BM995" i="1"/>
  <c r="BN995" i="1"/>
  <c r="BY995" i="1"/>
  <c r="BZ995" i="1"/>
  <c r="B996" i="1"/>
  <c r="G996" i="1"/>
  <c r="H996" i="1"/>
  <c r="I996" i="1"/>
  <c r="J996" i="1"/>
  <c r="BA996" i="1"/>
  <c r="BB996" i="1"/>
  <c r="BD996" i="1"/>
  <c r="BF996" i="1"/>
  <c r="BG996" i="1"/>
  <c r="BH996" i="1"/>
  <c r="BI996" i="1"/>
  <c r="BY996" i="1"/>
  <c r="BZ996" i="1"/>
  <c r="B997" i="1"/>
  <c r="G997" i="1"/>
  <c r="H997" i="1"/>
  <c r="I997" i="1"/>
  <c r="J997" i="1"/>
  <c r="BA997" i="1"/>
  <c r="BB997" i="1"/>
  <c r="BD997" i="1"/>
  <c r="BF997" i="1"/>
  <c r="BG997" i="1"/>
  <c r="BH997" i="1"/>
  <c r="BI997" i="1"/>
  <c r="BY997" i="1"/>
  <c r="BZ997" i="1"/>
  <c r="B998" i="1"/>
  <c r="G998" i="1"/>
  <c r="H998" i="1"/>
  <c r="I998" i="1"/>
  <c r="J998" i="1"/>
  <c r="BA998" i="1"/>
  <c r="BB998" i="1"/>
  <c r="BD998" i="1"/>
  <c r="BF998" i="1"/>
  <c r="BG998" i="1"/>
  <c r="BH998" i="1"/>
  <c r="BI998" i="1"/>
  <c r="BK998" i="1"/>
  <c r="BL998" i="1"/>
  <c r="BM998" i="1"/>
  <c r="BN998" i="1"/>
  <c r="BY998" i="1"/>
  <c r="BZ998" i="1"/>
  <c r="B999" i="1"/>
  <c r="G999" i="1"/>
  <c r="H999" i="1"/>
  <c r="I999" i="1"/>
  <c r="J999" i="1"/>
  <c r="BA999" i="1"/>
  <c r="BB999" i="1"/>
  <c r="BD999" i="1"/>
  <c r="BF999" i="1"/>
  <c r="BG999" i="1"/>
  <c r="BH999" i="1"/>
  <c r="BI999" i="1"/>
  <c r="BK999" i="1"/>
  <c r="BL999" i="1"/>
  <c r="BM999" i="1"/>
  <c r="BN999" i="1"/>
  <c r="BY999" i="1"/>
  <c r="BZ999" i="1"/>
  <c r="B1000" i="1"/>
  <c r="G1000" i="1"/>
  <c r="H1000" i="1"/>
  <c r="I1000" i="1"/>
  <c r="J1000" i="1"/>
  <c r="BA1000" i="1"/>
  <c r="BB1000" i="1"/>
  <c r="BD1000" i="1"/>
  <c r="BF1000" i="1"/>
  <c r="BG1000" i="1"/>
  <c r="BH1000" i="1"/>
  <c r="BI1000" i="1"/>
  <c r="BK1000" i="1"/>
  <c r="BL1000" i="1"/>
  <c r="BM1000" i="1"/>
  <c r="BN1000" i="1"/>
  <c r="BY1000" i="1"/>
  <c r="BZ1000" i="1"/>
  <c r="B1001" i="1"/>
  <c r="G1001" i="1"/>
  <c r="H1001" i="1"/>
  <c r="I1001" i="1"/>
  <c r="J1001" i="1"/>
  <c r="BA1001" i="1"/>
  <c r="BB1001" i="1"/>
  <c r="BD1001" i="1"/>
  <c r="BF1001" i="1"/>
  <c r="BG1001" i="1"/>
  <c r="BH1001" i="1"/>
  <c r="BI1001" i="1"/>
  <c r="BK1001" i="1"/>
  <c r="BL1001" i="1"/>
  <c r="BM1001" i="1"/>
  <c r="BN1001" i="1"/>
  <c r="BY1001" i="1"/>
  <c r="BZ1001" i="1"/>
  <c r="B1002" i="1"/>
  <c r="G1002" i="1"/>
  <c r="H1002" i="1"/>
  <c r="I1002" i="1"/>
  <c r="J1002" i="1"/>
  <c r="BA1002" i="1"/>
  <c r="BB1002" i="1"/>
  <c r="BD1002" i="1"/>
  <c r="BF1002" i="1"/>
  <c r="BG1002" i="1"/>
  <c r="BH1002" i="1"/>
  <c r="BI1002" i="1"/>
  <c r="BK1002" i="1"/>
  <c r="BL1002" i="1"/>
  <c r="BM1002" i="1"/>
  <c r="BN1002" i="1"/>
  <c r="BY1002" i="1"/>
  <c r="BZ1002" i="1"/>
  <c r="B1003" i="1"/>
  <c r="G1003" i="1"/>
  <c r="H1003" i="1"/>
  <c r="I1003" i="1"/>
  <c r="J1003" i="1"/>
  <c r="BA1003" i="1"/>
  <c r="BB1003" i="1"/>
  <c r="BD1003" i="1"/>
  <c r="BF1003" i="1"/>
  <c r="BG1003" i="1"/>
  <c r="BH1003" i="1"/>
  <c r="BI1003" i="1"/>
  <c r="BY1003" i="1"/>
  <c r="BZ1003" i="1"/>
  <c r="B1004" i="1"/>
  <c r="G1004" i="1"/>
  <c r="H1004" i="1"/>
  <c r="I1004" i="1"/>
  <c r="J1004" i="1"/>
  <c r="BA1004" i="1"/>
  <c r="BB1004" i="1"/>
  <c r="BD1004" i="1"/>
  <c r="BF1004" i="1"/>
  <c r="BG1004" i="1"/>
  <c r="BH1004" i="1"/>
  <c r="BI1004" i="1"/>
  <c r="BK1004" i="1"/>
  <c r="BL1004" i="1"/>
  <c r="BM1004" i="1"/>
  <c r="BN1004" i="1"/>
  <c r="BY1004" i="1"/>
  <c r="BZ1004" i="1"/>
  <c r="B1005" i="1"/>
  <c r="G1005" i="1"/>
  <c r="H1005" i="1"/>
  <c r="I1005" i="1"/>
  <c r="J1005" i="1"/>
  <c r="BA1005" i="1"/>
  <c r="BB1005" i="1"/>
  <c r="BD1005" i="1"/>
  <c r="BF1005" i="1"/>
  <c r="BG1005" i="1"/>
  <c r="BH1005" i="1"/>
  <c r="BI1005" i="1"/>
  <c r="BK1005" i="1"/>
  <c r="BL1005" i="1"/>
  <c r="BM1005" i="1"/>
  <c r="BN1005" i="1"/>
  <c r="BY1005" i="1"/>
  <c r="BZ1005" i="1"/>
  <c r="B1006" i="1"/>
  <c r="G1006" i="1"/>
  <c r="H1006" i="1"/>
  <c r="I1006" i="1"/>
  <c r="J1006" i="1"/>
  <c r="BA1006" i="1"/>
  <c r="BB1006" i="1"/>
  <c r="BD1006" i="1"/>
  <c r="BF1006" i="1"/>
  <c r="BG1006" i="1"/>
  <c r="BH1006" i="1"/>
  <c r="BI1006" i="1"/>
  <c r="BK1006" i="1"/>
  <c r="BL1006" i="1"/>
  <c r="BM1006" i="1"/>
  <c r="BN1006" i="1"/>
  <c r="BY1006" i="1"/>
  <c r="BZ1006" i="1"/>
  <c r="B1007" i="1"/>
  <c r="G1007" i="1"/>
  <c r="H1007" i="1"/>
  <c r="I1007" i="1"/>
  <c r="J1007" i="1"/>
  <c r="BA1007" i="1"/>
  <c r="BB1007" i="1"/>
  <c r="BD1007" i="1"/>
  <c r="BF1007" i="1"/>
  <c r="BG1007" i="1"/>
  <c r="BH1007" i="1"/>
  <c r="BI1007" i="1"/>
  <c r="BY1007" i="1"/>
  <c r="BZ1007" i="1"/>
  <c r="B1008" i="1"/>
  <c r="G1008" i="1"/>
  <c r="H1008" i="1"/>
  <c r="I1008" i="1"/>
  <c r="J1008" i="1"/>
  <c r="BA1008" i="1"/>
  <c r="BB1008" i="1"/>
  <c r="BD1008" i="1"/>
  <c r="BF1008" i="1"/>
  <c r="BG1008" i="1"/>
  <c r="BH1008" i="1"/>
  <c r="BI1008" i="1"/>
  <c r="BY1008" i="1"/>
  <c r="BZ1008" i="1"/>
  <c r="B1009" i="1"/>
  <c r="G1009" i="1"/>
  <c r="H1009" i="1"/>
  <c r="I1009" i="1"/>
  <c r="J1009" i="1"/>
  <c r="BA1009" i="1"/>
  <c r="BB1009" i="1"/>
  <c r="BD1009" i="1"/>
  <c r="BF1009" i="1"/>
  <c r="BG1009" i="1"/>
  <c r="BH1009" i="1"/>
  <c r="BI1009" i="1"/>
  <c r="BY1009" i="1"/>
  <c r="BZ1009" i="1"/>
  <c r="B1010" i="1"/>
  <c r="G1010" i="1"/>
  <c r="H1010" i="1"/>
  <c r="I1010" i="1"/>
  <c r="J1010" i="1"/>
  <c r="BA1010" i="1"/>
  <c r="BB1010" i="1"/>
  <c r="BD1010" i="1"/>
  <c r="BF1010" i="1"/>
  <c r="BG1010" i="1"/>
  <c r="BH1010" i="1"/>
  <c r="BI1010" i="1"/>
  <c r="BK1010" i="1"/>
  <c r="BL1010" i="1"/>
  <c r="BM1010" i="1"/>
  <c r="BN1010" i="1"/>
  <c r="BY1010" i="1"/>
  <c r="BZ1010" i="1"/>
  <c r="B1011" i="1"/>
  <c r="G1011" i="1"/>
  <c r="H1011" i="1"/>
  <c r="I1011" i="1"/>
  <c r="J1011" i="1"/>
  <c r="BA1011" i="1"/>
  <c r="BB1011" i="1"/>
  <c r="BD1011" i="1"/>
  <c r="BF1011" i="1"/>
  <c r="BG1011" i="1"/>
  <c r="BH1011" i="1"/>
  <c r="BI1011" i="1"/>
  <c r="BY1011" i="1"/>
  <c r="BZ1011" i="1"/>
  <c r="B1012" i="1"/>
  <c r="G1012" i="1"/>
  <c r="H1012" i="1"/>
  <c r="I1012" i="1"/>
  <c r="J1012" i="1"/>
  <c r="BA1012" i="1"/>
  <c r="BB1012" i="1"/>
  <c r="BD1012" i="1"/>
  <c r="BF1012" i="1"/>
  <c r="BG1012" i="1"/>
  <c r="BH1012" i="1"/>
  <c r="BI1012" i="1"/>
  <c r="BY1012" i="1"/>
  <c r="BZ1012" i="1"/>
  <c r="B1013" i="1"/>
  <c r="G1013" i="1"/>
  <c r="H1013" i="1"/>
  <c r="I1013" i="1"/>
  <c r="J1013" i="1"/>
  <c r="BA1013" i="1"/>
  <c r="BB1013" i="1"/>
  <c r="BD1013" i="1"/>
  <c r="BF1013" i="1"/>
  <c r="BG1013" i="1"/>
  <c r="BH1013" i="1"/>
  <c r="BI1013" i="1"/>
  <c r="BK1013" i="1"/>
  <c r="BL1013" i="1"/>
  <c r="BM1013" i="1"/>
  <c r="BN1013" i="1"/>
  <c r="BP1013" i="1"/>
  <c r="BQ1013" i="1"/>
  <c r="BR1013" i="1"/>
  <c r="BS1013" i="1"/>
  <c r="BY1013" i="1"/>
  <c r="BZ1013" i="1"/>
  <c r="B1014" i="1"/>
  <c r="G1014" i="1"/>
  <c r="H1014" i="1"/>
  <c r="I1014" i="1"/>
  <c r="J1014" i="1"/>
  <c r="BA1014" i="1"/>
  <c r="BB1014" i="1"/>
  <c r="BD1014" i="1"/>
  <c r="BF1014" i="1"/>
  <c r="BG1014" i="1"/>
  <c r="BH1014" i="1"/>
  <c r="BI1014" i="1"/>
  <c r="BK1014" i="1"/>
  <c r="BL1014" i="1"/>
  <c r="BM1014" i="1"/>
  <c r="BN1014" i="1"/>
  <c r="BY1014" i="1"/>
  <c r="BZ1014" i="1"/>
  <c r="B1015" i="1"/>
  <c r="G1015" i="1"/>
  <c r="H1015" i="1"/>
  <c r="I1015" i="1"/>
  <c r="J1015" i="1"/>
  <c r="BA1015" i="1"/>
  <c r="BB1015" i="1"/>
  <c r="BD1015" i="1"/>
  <c r="BF1015" i="1"/>
  <c r="BG1015" i="1"/>
  <c r="BH1015" i="1"/>
  <c r="BI1015" i="1"/>
  <c r="BK1015" i="1"/>
  <c r="BL1015" i="1"/>
  <c r="BM1015" i="1"/>
  <c r="BN1015" i="1"/>
  <c r="BY1015" i="1"/>
  <c r="BZ1015" i="1"/>
  <c r="B1016" i="1"/>
  <c r="G1016" i="1"/>
  <c r="H1016" i="1"/>
  <c r="I1016" i="1"/>
  <c r="J1016" i="1"/>
  <c r="BA1016" i="1"/>
  <c r="BB1016" i="1"/>
  <c r="BD1016" i="1"/>
  <c r="BF1016" i="1"/>
  <c r="BG1016" i="1"/>
  <c r="BH1016" i="1"/>
  <c r="BI1016" i="1"/>
  <c r="BY1016" i="1"/>
  <c r="BZ1016" i="1"/>
  <c r="B1017" i="1"/>
  <c r="G1017" i="1"/>
  <c r="H1017" i="1"/>
  <c r="I1017" i="1"/>
  <c r="J1017" i="1"/>
  <c r="BA1017" i="1"/>
  <c r="BB1017" i="1"/>
  <c r="BD1017" i="1"/>
  <c r="BF1017" i="1"/>
  <c r="BG1017" i="1"/>
  <c r="BH1017" i="1"/>
  <c r="BI1017" i="1"/>
  <c r="BY1017" i="1"/>
  <c r="BZ1017" i="1"/>
  <c r="B1018" i="1"/>
  <c r="G1018" i="1"/>
  <c r="H1018" i="1"/>
  <c r="I1018" i="1"/>
  <c r="J1018" i="1"/>
  <c r="BA1018" i="1"/>
  <c r="BB1018" i="1"/>
  <c r="BD1018" i="1"/>
  <c r="BF1018" i="1"/>
  <c r="BG1018" i="1"/>
  <c r="BH1018" i="1"/>
  <c r="BI1018" i="1"/>
  <c r="BY1018" i="1"/>
  <c r="BZ1018" i="1"/>
  <c r="B1019" i="1"/>
  <c r="G1019" i="1"/>
  <c r="H1019" i="1"/>
  <c r="I1019" i="1"/>
  <c r="J1019" i="1"/>
  <c r="BA1019" i="1"/>
  <c r="BB1019" i="1"/>
  <c r="BD1019" i="1"/>
  <c r="BF1019" i="1"/>
  <c r="BG1019" i="1"/>
  <c r="BH1019" i="1"/>
  <c r="BI1019" i="1"/>
  <c r="BY1019" i="1"/>
  <c r="BZ1019" i="1"/>
  <c r="B1020" i="1"/>
  <c r="G1020" i="1"/>
  <c r="H1020" i="1"/>
  <c r="I1020" i="1"/>
  <c r="J1020" i="1"/>
  <c r="BA1020" i="1"/>
  <c r="BB1020" i="1"/>
  <c r="BD1020" i="1"/>
  <c r="BF1020" i="1"/>
  <c r="BG1020" i="1"/>
  <c r="BH1020" i="1"/>
  <c r="BI1020" i="1"/>
  <c r="BY1020" i="1"/>
  <c r="BZ1020" i="1"/>
  <c r="B1021" i="1"/>
  <c r="G1021" i="1"/>
  <c r="H1021" i="1"/>
  <c r="I1021" i="1"/>
  <c r="J1021" i="1"/>
  <c r="BA1021" i="1"/>
  <c r="BB1021" i="1"/>
  <c r="BD1021" i="1"/>
  <c r="BF1021" i="1"/>
  <c r="BG1021" i="1"/>
  <c r="BH1021" i="1"/>
  <c r="BI1021" i="1"/>
  <c r="BY1021" i="1"/>
  <c r="BZ1021" i="1"/>
  <c r="B1022" i="1"/>
  <c r="G1022" i="1"/>
  <c r="H1022" i="1"/>
  <c r="I1022" i="1"/>
  <c r="J1022" i="1"/>
  <c r="BA1022" i="1"/>
  <c r="BB1022" i="1"/>
  <c r="BD1022" i="1"/>
  <c r="BF1022" i="1"/>
  <c r="BG1022" i="1"/>
  <c r="BH1022" i="1"/>
  <c r="BI1022" i="1"/>
  <c r="BY1022" i="1"/>
  <c r="BZ1022" i="1"/>
  <c r="B1023" i="1"/>
  <c r="G1023" i="1"/>
  <c r="H1023" i="1"/>
  <c r="I1023" i="1"/>
  <c r="J1023" i="1"/>
  <c r="BA1023" i="1"/>
  <c r="BB1023" i="1"/>
  <c r="BD1023" i="1"/>
  <c r="BF1023" i="1"/>
  <c r="BG1023" i="1"/>
  <c r="BH1023" i="1"/>
  <c r="BI1023" i="1"/>
  <c r="BY1023" i="1"/>
  <c r="BZ1023" i="1"/>
  <c r="B1024" i="1"/>
  <c r="G1024" i="1"/>
  <c r="H1024" i="1"/>
  <c r="I1024" i="1"/>
  <c r="J1024" i="1"/>
  <c r="BA1024" i="1"/>
  <c r="BB1024" i="1"/>
  <c r="BD1024" i="1"/>
  <c r="BF1024" i="1"/>
  <c r="BG1024" i="1"/>
  <c r="BH1024" i="1"/>
  <c r="BI1024" i="1"/>
  <c r="BY1024" i="1"/>
  <c r="BZ1024" i="1"/>
  <c r="B1025" i="1"/>
  <c r="G1025" i="1"/>
  <c r="H1025" i="1"/>
  <c r="I1025" i="1"/>
  <c r="J1025" i="1"/>
  <c r="BA1025" i="1"/>
  <c r="BB1025" i="1"/>
  <c r="BD1025" i="1"/>
  <c r="BF1025" i="1"/>
  <c r="BG1025" i="1"/>
  <c r="BH1025" i="1"/>
  <c r="BI1025" i="1"/>
  <c r="BY1025" i="1"/>
  <c r="BZ1025" i="1"/>
  <c r="B1026" i="1"/>
  <c r="G1026" i="1"/>
  <c r="H1026" i="1"/>
  <c r="I1026" i="1"/>
  <c r="J1026" i="1"/>
  <c r="BA1026" i="1"/>
  <c r="BB1026" i="1"/>
  <c r="BD1026" i="1"/>
  <c r="BF1026" i="1"/>
  <c r="BG1026" i="1"/>
  <c r="BH1026" i="1"/>
  <c r="BI1026" i="1"/>
  <c r="BY1026" i="1"/>
  <c r="BZ1026" i="1"/>
  <c r="B1027" i="1"/>
  <c r="G1027" i="1"/>
  <c r="H1027" i="1"/>
  <c r="I1027" i="1"/>
  <c r="J1027" i="1"/>
  <c r="BA1027" i="1"/>
  <c r="BB1027" i="1"/>
  <c r="BD1027" i="1"/>
  <c r="BF1027" i="1"/>
  <c r="BG1027" i="1"/>
  <c r="BH1027" i="1"/>
  <c r="BI1027" i="1"/>
  <c r="BY1027" i="1"/>
  <c r="BZ1027" i="1"/>
  <c r="B1028" i="1"/>
  <c r="G1028" i="1"/>
  <c r="H1028" i="1"/>
  <c r="I1028" i="1"/>
  <c r="J1028" i="1"/>
  <c r="BA1028" i="1"/>
  <c r="BB1028" i="1"/>
  <c r="BD1028" i="1"/>
  <c r="BF1028" i="1"/>
  <c r="BG1028" i="1"/>
  <c r="BH1028" i="1"/>
  <c r="BI1028" i="1"/>
  <c r="BY1028" i="1"/>
  <c r="BZ1028" i="1"/>
  <c r="B1029" i="1"/>
  <c r="G1029" i="1"/>
  <c r="H1029" i="1"/>
  <c r="I1029" i="1"/>
  <c r="J1029" i="1"/>
  <c r="BA1029" i="1"/>
  <c r="BB1029" i="1"/>
  <c r="BD1029" i="1"/>
  <c r="BF1029" i="1"/>
  <c r="BG1029" i="1"/>
  <c r="BH1029" i="1"/>
  <c r="BI1029" i="1"/>
  <c r="BY1029" i="1"/>
  <c r="BZ1029" i="1"/>
  <c r="B1030" i="1"/>
  <c r="G1030" i="1"/>
  <c r="H1030" i="1"/>
  <c r="I1030" i="1"/>
  <c r="J1030" i="1"/>
  <c r="BA1030" i="1"/>
  <c r="BB1030" i="1"/>
  <c r="BD1030" i="1"/>
  <c r="BF1030" i="1"/>
  <c r="BG1030" i="1"/>
  <c r="BH1030" i="1"/>
  <c r="BI1030" i="1"/>
  <c r="BY1030" i="1"/>
  <c r="BZ1030" i="1"/>
  <c r="B1031" i="1"/>
  <c r="G1031" i="1"/>
  <c r="H1031" i="1"/>
  <c r="I1031" i="1"/>
  <c r="J1031" i="1"/>
  <c r="BA1031" i="1"/>
  <c r="BB1031" i="1"/>
  <c r="BD1031" i="1"/>
  <c r="BF1031" i="1"/>
  <c r="BG1031" i="1"/>
  <c r="BH1031" i="1"/>
  <c r="BI1031" i="1"/>
  <c r="BY1031" i="1"/>
  <c r="BZ1031" i="1"/>
  <c r="B1032" i="1"/>
  <c r="G1032" i="1"/>
  <c r="H1032" i="1"/>
  <c r="I1032" i="1"/>
  <c r="J1032" i="1"/>
  <c r="BA1032" i="1"/>
  <c r="BB1032" i="1"/>
  <c r="BD1032" i="1"/>
  <c r="BF1032" i="1"/>
  <c r="BG1032" i="1"/>
  <c r="BH1032" i="1"/>
  <c r="BI1032" i="1"/>
  <c r="BY1032" i="1"/>
  <c r="BZ1032" i="1"/>
  <c r="B1033" i="1"/>
  <c r="G1033" i="1"/>
  <c r="H1033" i="1"/>
  <c r="I1033" i="1"/>
  <c r="J1033" i="1"/>
  <c r="BA1033" i="1"/>
  <c r="BB1033" i="1"/>
  <c r="BD1033" i="1"/>
  <c r="BF1033" i="1"/>
  <c r="BG1033" i="1"/>
  <c r="BH1033" i="1"/>
  <c r="BI1033" i="1"/>
  <c r="BY1033" i="1"/>
  <c r="BZ1033" i="1"/>
  <c r="B1034" i="1"/>
  <c r="G1034" i="1"/>
  <c r="H1034" i="1"/>
  <c r="I1034" i="1"/>
  <c r="J1034" i="1"/>
  <c r="BA1034" i="1"/>
  <c r="BB1034" i="1"/>
  <c r="BD1034" i="1"/>
  <c r="BF1034" i="1"/>
  <c r="BG1034" i="1"/>
  <c r="BH1034" i="1"/>
  <c r="BI1034" i="1"/>
  <c r="BY1034" i="1"/>
  <c r="BZ1034" i="1"/>
  <c r="B1035" i="1"/>
  <c r="G1035" i="1"/>
  <c r="H1035" i="1"/>
  <c r="I1035" i="1"/>
  <c r="J1035" i="1"/>
  <c r="BA1035" i="1"/>
  <c r="BB1035" i="1"/>
  <c r="BD1035" i="1"/>
  <c r="BF1035" i="1"/>
  <c r="BG1035" i="1"/>
  <c r="BH1035" i="1"/>
  <c r="BI1035" i="1"/>
  <c r="BK1035" i="1"/>
  <c r="BL1035" i="1"/>
  <c r="BM1035" i="1"/>
  <c r="BN1035" i="1"/>
  <c r="BY1035" i="1"/>
  <c r="BZ1035" i="1"/>
  <c r="B1036" i="1"/>
  <c r="G1036" i="1"/>
  <c r="H1036" i="1"/>
  <c r="I1036" i="1"/>
  <c r="J1036" i="1"/>
  <c r="BA1036" i="1"/>
  <c r="BB1036" i="1"/>
  <c r="BD1036" i="1"/>
  <c r="BF1036" i="1"/>
  <c r="BG1036" i="1"/>
  <c r="BH1036" i="1"/>
  <c r="BI1036" i="1"/>
  <c r="BK1036" i="1"/>
  <c r="BL1036" i="1"/>
  <c r="BM1036" i="1"/>
  <c r="BN1036" i="1"/>
  <c r="BY1036" i="1"/>
  <c r="BZ1036" i="1"/>
  <c r="B1037" i="1"/>
  <c r="G1037" i="1"/>
  <c r="H1037" i="1"/>
  <c r="I1037" i="1"/>
  <c r="J1037" i="1"/>
  <c r="BA1037" i="1"/>
  <c r="BB1037" i="1"/>
  <c r="BD1037" i="1"/>
  <c r="BF1037" i="1"/>
  <c r="BG1037" i="1"/>
  <c r="BH1037" i="1"/>
  <c r="BI1037" i="1"/>
  <c r="BY1037" i="1"/>
  <c r="BZ1037" i="1"/>
  <c r="B1038" i="1"/>
  <c r="G1038" i="1"/>
  <c r="H1038" i="1"/>
  <c r="I1038" i="1"/>
  <c r="J1038" i="1"/>
  <c r="BA1038" i="1"/>
  <c r="BB1038" i="1"/>
  <c r="BD1038" i="1"/>
  <c r="BF1038" i="1"/>
  <c r="BG1038" i="1"/>
  <c r="BH1038" i="1"/>
  <c r="BI1038" i="1"/>
  <c r="BK1038" i="1"/>
  <c r="BL1038" i="1"/>
  <c r="BM1038" i="1"/>
  <c r="BN1038" i="1"/>
  <c r="BY1038" i="1"/>
  <c r="BZ1038" i="1"/>
  <c r="B1039" i="1"/>
  <c r="G1039" i="1"/>
  <c r="H1039" i="1"/>
  <c r="I1039" i="1"/>
  <c r="J1039" i="1"/>
  <c r="BA1039" i="1"/>
  <c r="BB1039" i="1"/>
  <c r="BD1039" i="1"/>
  <c r="BF1039" i="1"/>
  <c r="BG1039" i="1"/>
  <c r="BH1039" i="1"/>
  <c r="BI1039" i="1"/>
  <c r="BK1039" i="1"/>
  <c r="BL1039" i="1"/>
  <c r="BM1039" i="1"/>
  <c r="BN1039" i="1"/>
  <c r="BY1039" i="1"/>
  <c r="BZ1039" i="1"/>
  <c r="B1040" i="1"/>
  <c r="G1040" i="1"/>
  <c r="H1040" i="1"/>
  <c r="I1040" i="1"/>
  <c r="J1040" i="1"/>
  <c r="BA1040" i="1"/>
  <c r="BB1040" i="1"/>
  <c r="BD1040" i="1"/>
  <c r="BF1040" i="1"/>
  <c r="BG1040" i="1"/>
  <c r="BH1040" i="1"/>
  <c r="BI1040" i="1"/>
  <c r="BK1040" i="1"/>
  <c r="BL1040" i="1"/>
  <c r="BM1040" i="1"/>
  <c r="BN1040" i="1"/>
  <c r="BY1040" i="1"/>
  <c r="BZ1040" i="1"/>
  <c r="B1041" i="1"/>
  <c r="G1041" i="1"/>
  <c r="H1041" i="1"/>
  <c r="I1041" i="1"/>
  <c r="J1041" i="1"/>
  <c r="BA1041" i="1"/>
  <c r="BB1041" i="1"/>
  <c r="BD1041" i="1"/>
  <c r="BF1041" i="1"/>
  <c r="BG1041" i="1"/>
  <c r="BH1041" i="1"/>
  <c r="BI1041" i="1"/>
  <c r="BK1041" i="1"/>
  <c r="BL1041" i="1"/>
  <c r="BM1041" i="1"/>
  <c r="BN1041" i="1"/>
  <c r="BY1041" i="1"/>
  <c r="BZ1041" i="1"/>
  <c r="B1042" i="1"/>
  <c r="G1042" i="1"/>
  <c r="H1042" i="1"/>
  <c r="I1042" i="1"/>
  <c r="J1042" i="1"/>
  <c r="BA1042" i="1"/>
  <c r="BB1042" i="1"/>
  <c r="BD1042" i="1"/>
  <c r="BF1042" i="1"/>
  <c r="BG1042" i="1"/>
  <c r="BH1042" i="1"/>
  <c r="BI1042" i="1"/>
  <c r="BY1042" i="1"/>
  <c r="BZ1042" i="1"/>
  <c r="B1043" i="1"/>
  <c r="G1043" i="1"/>
  <c r="H1043" i="1"/>
  <c r="I1043" i="1"/>
  <c r="J1043" i="1"/>
  <c r="BA1043" i="1"/>
  <c r="BB1043" i="1"/>
  <c r="BD1043" i="1"/>
  <c r="BF1043" i="1"/>
  <c r="BG1043" i="1"/>
  <c r="BH1043" i="1"/>
  <c r="BI1043" i="1"/>
  <c r="BK1043" i="1"/>
  <c r="BL1043" i="1"/>
  <c r="BM1043" i="1"/>
  <c r="BN1043" i="1"/>
  <c r="BY1043" i="1"/>
  <c r="BZ1043" i="1"/>
  <c r="B1044" i="1"/>
  <c r="G1044" i="1"/>
  <c r="H1044" i="1"/>
  <c r="I1044" i="1"/>
  <c r="J1044" i="1"/>
  <c r="BA1044" i="1"/>
  <c r="BB1044" i="1"/>
  <c r="BD1044" i="1"/>
  <c r="BF1044" i="1"/>
  <c r="BG1044" i="1"/>
  <c r="BH1044" i="1"/>
  <c r="BI1044" i="1"/>
  <c r="BY1044" i="1"/>
  <c r="BZ1044" i="1"/>
  <c r="B1045" i="1"/>
  <c r="G1045" i="1"/>
  <c r="H1045" i="1"/>
  <c r="I1045" i="1"/>
  <c r="J1045" i="1"/>
  <c r="BA1045" i="1"/>
  <c r="BB1045" i="1"/>
  <c r="BD1045" i="1"/>
  <c r="BF1045" i="1"/>
  <c r="BG1045" i="1"/>
  <c r="BH1045" i="1"/>
  <c r="BI1045" i="1"/>
  <c r="BY1045" i="1"/>
  <c r="BZ1045" i="1"/>
  <c r="B1046" i="1"/>
  <c r="G1046" i="1"/>
  <c r="H1046" i="1"/>
  <c r="I1046" i="1"/>
  <c r="J1046" i="1"/>
  <c r="BA1046" i="1"/>
  <c r="BB1046" i="1"/>
  <c r="BD1046" i="1"/>
  <c r="BF1046" i="1"/>
  <c r="BG1046" i="1"/>
  <c r="BH1046" i="1"/>
  <c r="BI1046" i="1"/>
  <c r="BK1046" i="1"/>
  <c r="BL1046" i="1"/>
  <c r="BM1046" i="1"/>
  <c r="BN1046" i="1"/>
  <c r="BY1046" i="1"/>
  <c r="BZ1046" i="1"/>
  <c r="B1047" i="1"/>
  <c r="G1047" i="1"/>
  <c r="H1047" i="1"/>
  <c r="I1047" i="1"/>
  <c r="J1047" i="1"/>
  <c r="BA1047" i="1"/>
  <c r="BB1047" i="1"/>
  <c r="BD1047" i="1"/>
  <c r="BF1047" i="1"/>
  <c r="BG1047" i="1"/>
  <c r="BH1047" i="1"/>
  <c r="BI1047" i="1"/>
  <c r="BK1047" i="1"/>
  <c r="BL1047" i="1"/>
  <c r="BM1047" i="1"/>
  <c r="BN1047" i="1"/>
  <c r="BY1047" i="1"/>
  <c r="BZ1047" i="1"/>
  <c r="B1048" i="1"/>
  <c r="G1048" i="1"/>
  <c r="H1048" i="1"/>
  <c r="I1048" i="1"/>
  <c r="J1048" i="1"/>
  <c r="BA1048" i="1"/>
  <c r="BB1048" i="1"/>
  <c r="BD1048" i="1"/>
  <c r="BF1048" i="1"/>
  <c r="BG1048" i="1"/>
  <c r="BH1048" i="1"/>
  <c r="BI1048" i="1"/>
  <c r="BK1048" i="1"/>
  <c r="BL1048" i="1"/>
  <c r="BM1048" i="1"/>
  <c r="BN1048" i="1"/>
  <c r="BY1048" i="1"/>
  <c r="BZ1048" i="1"/>
  <c r="B1049" i="1"/>
  <c r="G1049" i="1"/>
  <c r="H1049" i="1"/>
  <c r="I1049" i="1"/>
  <c r="J1049" i="1"/>
  <c r="BA1049" i="1"/>
  <c r="BB1049" i="1"/>
  <c r="BD1049" i="1"/>
  <c r="BF1049" i="1"/>
  <c r="BG1049" i="1"/>
  <c r="BH1049" i="1"/>
  <c r="BI1049" i="1"/>
  <c r="BK1049" i="1"/>
  <c r="BL1049" i="1"/>
  <c r="BM1049" i="1"/>
  <c r="BN1049" i="1"/>
  <c r="BY1049" i="1"/>
  <c r="BZ1049" i="1"/>
  <c r="B1050" i="1"/>
  <c r="G1050" i="1"/>
  <c r="H1050" i="1"/>
  <c r="I1050" i="1"/>
  <c r="J1050" i="1"/>
  <c r="BA1050" i="1"/>
  <c r="BB1050" i="1"/>
  <c r="BD1050" i="1"/>
  <c r="BF1050" i="1"/>
  <c r="BG1050" i="1"/>
  <c r="BH1050" i="1"/>
  <c r="BI1050" i="1"/>
  <c r="BY1050" i="1"/>
  <c r="BZ1050" i="1"/>
  <c r="B1051" i="1"/>
  <c r="G1051" i="1"/>
  <c r="H1051" i="1"/>
  <c r="I1051" i="1"/>
  <c r="J1051" i="1"/>
  <c r="BA1051" i="1"/>
  <c r="BB1051" i="1"/>
  <c r="BD1051" i="1"/>
  <c r="BF1051" i="1"/>
  <c r="BG1051" i="1"/>
  <c r="BH1051" i="1"/>
  <c r="BI1051" i="1"/>
  <c r="BY1051" i="1"/>
  <c r="BZ1051" i="1"/>
  <c r="B1052" i="1"/>
  <c r="G1052" i="1"/>
  <c r="H1052" i="1"/>
  <c r="I1052" i="1"/>
  <c r="J1052" i="1"/>
  <c r="BA1052" i="1"/>
  <c r="BB1052" i="1"/>
  <c r="BD1052" i="1"/>
  <c r="BF1052" i="1"/>
  <c r="BG1052" i="1"/>
  <c r="BH1052" i="1"/>
  <c r="BI1052" i="1"/>
  <c r="BY1052" i="1"/>
  <c r="BZ1052" i="1"/>
  <c r="B1053" i="1"/>
  <c r="G1053" i="1"/>
  <c r="H1053" i="1"/>
  <c r="I1053" i="1"/>
  <c r="J1053" i="1"/>
  <c r="BA1053" i="1"/>
  <c r="BB1053" i="1"/>
  <c r="BD1053" i="1"/>
  <c r="BF1053" i="1"/>
  <c r="BG1053" i="1"/>
  <c r="BH1053" i="1"/>
  <c r="BI1053" i="1"/>
  <c r="BY1053" i="1"/>
  <c r="BZ1053" i="1"/>
  <c r="B1054" i="1"/>
  <c r="G1054" i="1"/>
  <c r="H1054" i="1"/>
  <c r="I1054" i="1"/>
  <c r="J1054" i="1"/>
  <c r="BA1054" i="1"/>
  <c r="BB1054" i="1"/>
  <c r="BD1054" i="1"/>
  <c r="BF1054" i="1"/>
  <c r="BG1054" i="1"/>
  <c r="BH1054" i="1"/>
  <c r="BI1054" i="1"/>
  <c r="BY1054" i="1"/>
  <c r="BZ1054" i="1"/>
  <c r="B1055" i="1"/>
  <c r="G1055" i="1"/>
  <c r="H1055" i="1"/>
  <c r="I1055" i="1"/>
  <c r="J1055" i="1"/>
  <c r="BA1055" i="1"/>
  <c r="BB1055" i="1"/>
  <c r="BD1055" i="1"/>
  <c r="BF1055" i="1"/>
  <c r="BG1055" i="1"/>
  <c r="BH1055" i="1"/>
  <c r="BI1055" i="1"/>
  <c r="BY1055" i="1"/>
  <c r="BZ1055" i="1"/>
  <c r="B1056" i="1"/>
  <c r="G1056" i="1"/>
  <c r="H1056" i="1"/>
  <c r="I1056" i="1"/>
  <c r="J1056" i="1"/>
  <c r="BA1056" i="1"/>
  <c r="BB1056" i="1"/>
  <c r="BD1056" i="1"/>
  <c r="BF1056" i="1"/>
  <c r="BG1056" i="1"/>
  <c r="BH1056" i="1"/>
  <c r="BI1056" i="1"/>
  <c r="BY1056" i="1"/>
  <c r="BZ1056" i="1"/>
  <c r="B1057" i="1"/>
  <c r="G1057" i="1"/>
  <c r="H1057" i="1"/>
  <c r="I1057" i="1"/>
  <c r="J1057" i="1"/>
  <c r="BA1057" i="1"/>
  <c r="BB1057" i="1"/>
  <c r="BD1057" i="1"/>
  <c r="BF1057" i="1"/>
  <c r="BG1057" i="1"/>
  <c r="BH1057" i="1"/>
  <c r="BI1057" i="1"/>
  <c r="BY1057" i="1"/>
  <c r="BZ1057" i="1"/>
  <c r="B1058" i="1"/>
  <c r="G1058" i="1"/>
  <c r="H1058" i="1"/>
  <c r="I1058" i="1"/>
  <c r="J1058" i="1"/>
  <c r="BA1058" i="1"/>
  <c r="BB1058" i="1"/>
  <c r="BD1058" i="1"/>
  <c r="BF1058" i="1"/>
  <c r="BG1058" i="1"/>
  <c r="BH1058" i="1"/>
  <c r="BI1058" i="1"/>
  <c r="BY1058" i="1"/>
  <c r="BZ1058" i="1"/>
  <c r="B1059" i="1"/>
  <c r="G1059" i="1"/>
  <c r="H1059" i="1"/>
  <c r="I1059" i="1"/>
  <c r="J1059" i="1"/>
  <c r="BA1059" i="1"/>
  <c r="BB1059" i="1"/>
  <c r="BD1059" i="1"/>
  <c r="BF1059" i="1"/>
  <c r="BG1059" i="1"/>
  <c r="BH1059" i="1"/>
  <c r="BI1059" i="1"/>
  <c r="BY1059" i="1"/>
  <c r="BZ1059" i="1"/>
  <c r="B1060" i="1"/>
  <c r="G1060" i="1"/>
  <c r="H1060" i="1"/>
  <c r="I1060" i="1"/>
  <c r="J1060" i="1"/>
  <c r="BA1060" i="1"/>
  <c r="BB1060" i="1"/>
  <c r="BD1060" i="1"/>
  <c r="BF1060" i="1"/>
  <c r="BG1060" i="1"/>
  <c r="BH1060" i="1"/>
  <c r="BI1060" i="1"/>
  <c r="BY1060" i="1"/>
  <c r="BZ1060" i="1"/>
  <c r="B1061" i="1"/>
  <c r="G1061" i="1"/>
  <c r="H1061" i="1"/>
  <c r="I1061" i="1"/>
  <c r="J1061" i="1"/>
  <c r="BA1061" i="1"/>
  <c r="BB1061" i="1"/>
  <c r="BD1061" i="1"/>
  <c r="BF1061" i="1"/>
  <c r="BG1061" i="1"/>
  <c r="BH1061" i="1"/>
  <c r="BI1061" i="1"/>
  <c r="BY1061" i="1"/>
  <c r="BZ1061" i="1"/>
  <c r="B1062" i="1"/>
  <c r="G1062" i="1"/>
  <c r="H1062" i="1"/>
  <c r="I1062" i="1"/>
  <c r="J1062" i="1"/>
  <c r="BA1062" i="1"/>
  <c r="BB1062" i="1"/>
  <c r="BD1062" i="1"/>
  <c r="BF1062" i="1"/>
  <c r="BG1062" i="1"/>
  <c r="BH1062" i="1"/>
  <c r="BI1062" i="1"/>
  <c r="BY1062" i="1"/>
  <c r="BZ1062" i="1"/>
  <c r="B1063" i="1"/>
  <c r="G1063" i="1"/>
  <c r="H1063" i="1"/>
  <c r="I1063" i="1"/>
  <c r="J1063" i="1"/>
  <c r="BA1063" i="1"/>
  <c r="BB1063" i="1"/>
  <c r="BD1063" i="1"/>
  <c r="BF1063" i="1"/>
  <c r="BG1063" i="1"/>
  <c r="BH1063" i="1"/>
  <c r="BI1063" i="1"/>
  <c r="BY1063" i="1"/>
  <c r="BZ1063" i="1"/>
  <c r="B1064" i="1"/>
  <c r="G1064" i="1"/>
  <c r="H1064" i="1"/>
  <c r="I1064" i="1"/>
  <c r="J1064" i="1"/>
  <c r="BA1064" i="1"/>
  <c r="BB1064" i="1"/>
  <c r="BD1064" i="1"/>
  <c r="BF1064" i="1"/>
  <c r="BG1064" i="1"/>
  <c r="BH1064" i="1"/>
  <c r="BI1064" i="1"/>
  <c r="BY1064" i="1"/>
  <c r="BZ1064" i="1"/>
  <c r="B1065" i="1"/>
  <c r="G1065" i="1"/>
  <c r="H1065" i="1"/>
  <c r="I1065" i="1"/>
  <c r="J1065" i="1"/>
  <c r="BA1065" i="1"/>
  <c r="BB1065" i="1"/>
  <c r="BD1065" i="1"/>
  <c r="BF1065" i="1"/>
  <c r="BG1065" i="1"/>
  <c r="BH1065" i="1"/>
  <c r="BI1065" i="1"/>
  <c r="BY1065" i="1"/>
  <c r="BZ1065" i="1"/>
  <c r="B1066" i="1"/>
  <c r="G1066" i="1"/>
  <c r="H1066" i="1"/>
  <c r="I1066" i="1"/>
  <c r="J1066" i="1"/>
  <c r="BA1066" i="1"/>
  <c r="BB1066" i="1"/>
  <c r="BD1066" i="1"/>
  <c r="BF1066" i="1"/>
  <c r="BG1066" i="1"/>
  <c r="BH1066" i="1"/>
  <c r="BI1066" i="1"/>
  <c r="BY1066" i="1"/>
  <c r="BZ1066" i="1"/>
  <c r="B1067" i="1"/>
  <c r="G1067" i="1"/>
  <c r="H1067" i="1"/>
  <c r="I1067" i="1"/>
  <c r="J1067" i="1"/>
  <c r="BA1067" i="1"/>
  <c r="BB1067" i="1"/>
  <c r="BD1067" i="1"/>
  <c r="BF1067" i="1"/>
  <c r="BG1067" i="1"/>
  <c r="BH1067" i="1"/>
  <c r="BI1067" i="1"/>
  <c r="BY1067" i="1"/>
  <c r="BZ1067" i="1"/>
  <c r="B1068" i="1"/>
  <c r="G1068" i="1"/>
  <c r="H1068" i="1"/>
  <c r="I1068" i="1"/>
  <c r="J1068" i="1"/>
  <c r="BA1068" i="1"/>
  <c r="BB1068" i="1"/>
  <c r="BD1068" i="1"/>
  <c r="BF1068" i="1"/>
  <c r="BG1068" i="1"/>
  <c r="BH1068" i="1"/>
  <c r="BI1068" i="1"/>
  <c r="BY1068" i="1"/>
  <c r="BZ1068" i="1"/>
  <c r="B1069" i="1"/>
  <c r="G1069" i="1"/>
  <c r="H1069" i="1"/>
  <c r="I1069" i="1"/>
  <c r="J1069" i="1"/>
  <c r="BA1069" i="1"/>
  <c r="BB1069" i="1"/>
  <c r="BD1069" i="1"/>
  <c r="BF1069" i="1"/>
  <c r="BG1069" i="1"/>
  <c r="BH1069" i="1"/>
  <c r="BI1069" i="1"/>
  <c r="BY1069" i="1"/>
  <c r="BZ1069" i="1"/>
  <c r="B1070" i="1"/>
  <c r="G1070" i="1"/>
  <c r="H1070" i="1"/>
  <c r="I1070" i="1"/>
  <c r="J1070" i="1"/>
  <c r="BA1070" i="1"/>
  <c r="BB1070" i="1"/>
  <c r="BD1070" i="1"/>
  <c r="BF1070" i="1"/>
  <c r="BG1070" i="1"/>
  <c r="BH1070" i="1"/>
  <c r="BI1070" i="1"/>
  <c r="BY1070" i="1"/>
  <c r="BZ1070" i="1"/>
  <c r="B1071" i="1"/>
  <c r="G1071" i="1"/>
  <c r="H1071" i="1"/>
  <c r="I1071" i="1"/>
  <c r="J1071" i="1"/>
  <c r="BA1071" i="1"/>
  <c r="BB1071" i="1"/>
  <c r="BD1071" i="1"/>
  <c r="BF1071" i="1"/>
  <c r="BG1071" i="1"/>
  <c r="BH1071" i="1"/>
  <c r="BI1071" i="1"/>
  <c r="BY1071" i="1"/>
  <c r="BZ1071" i="1"/>
  <c r="B1072" i="1"/>
  <c r="G1072" i="1"/>
  <c r="H1072" i="1"/>
  <c r="I1072" i="1"/>
  <c r="J1072" i="1"/>
  <c r="BA1072" i="1"/>
  <c r="BB1072" i="1"/>
  <c r="BD1072" i="1"/>
  <c r="BF1072" i="1"/>
  <c r="BG1072" i="1"/>
  <c r="BH1072" i="1"/>
  <c r="BI1072" i="1"/>
  <c r="BK1072" i="1"/>
  <c r="BL1072" i="1"/>
  <c r="BM1072" i="1"/>
  <c r="BN1072" i="1"/>
  <c r="BY1072" i="1"/>
  <c r="BZ1072" i="1"/>
  <c r="B1073" i="1"/>
  <c r="G1073" i="1"/>
  <c r="H1073" i="1"/>
  <c r="I1073" i="1"/>
  <c r="J1073" i="1"/>
  <c r="BA1073" i="1"/>
  <c r="BB1073" i="1"/>
  <c r="BD1073" i="1"/>
  <c r="BF1073" i="1"/>
  <c r="BG1073" i="1"/>
  <c r="BH1073" i="1"/>
  <c r="BI1073" i="1"/>
  <c r="BK1073" i="1"/>
  <c r="BL1073" i="1"/>
  <c r="BM1073" i="1"/>
  <c r="BN1073" i="1"/>
  <c r="BY1073" i="1"/>
  <c r="BZ1073" i="1"/>
  <c r="B1074" i="1"/>
  <c r="G1074" i="1"/>
  <c r="H1074" i="1"/>
  <c r="I1074" i="1"/>
  <c r="J1074" i="1"/>
  <c r="BA1074" i="1"/>
  <c r="BB1074" i="1"/>
  <c r="BD1074" i="1"/>
  <c r="BF1074" i="1"/>
  <c r="BG1074" i="1"/>
  <c r="BH1074" i="1"/>
  <c r="BI1074" i="1"/>
  <c r="BK1074" i="1"/>
  <c r="BL1074" i="1"/>
  <c r="BM1074" i="1"/>
  <c r="BN1074" i="1"/>
  <c r="BY1074" i="1"/>
  <c r="BZ1074" i="1"/>
  <c r="B1075" i="1"/>
  <c r="G1075" i="1"/>
  <c r="H1075" i="1"/>
  <c r="I1075" i="1"/>
  <c r="J1075" i="1"/>
  <c r="BA1075" i="1"/>
  <c r="BB1075" i="1"/>
  <c r="BD1075" i="1"/>
  <c r="BF1075" i="1"/>
  <c r="BG1075" i="1"/>
  <c r="BH1075" i="1"/>
  <c r="BI1075" i="1"/>
  <c r="BY1075" i="1"/>
  <c r="BZ1075" i="1"/>
  <c r="B1076" i="1"/>
  <c r="G1076" i="1"/>
  <c r="H1076" i="1"/>
  <c r="I1076" i="1"/>
  <c r="J1076" i="1"/>
  <c r="BA1076" i="1"/>
  <c r="BB1076" i="1"/>
  <c r="BD1076" i="1"/>
  <c r="BF1076" i="1"/>
  <c r="BG1076" i="1"/>
  <c r="BH1076" i="1"/>
  <c r="BI1076" i="1"/>
  <c r="BY1076" i="1"/>
  <c r="BZ1076" i="1"/>
  <c r="B1077" i="1"/>
  <c r="G1077" i="1"/>
  <c r="H1077" i="1"/>
  <c r="I1077" i="1"/>
  <c r="J1077" i="1"/>
  <c r="BA1077" i="1"/>
  <c r="BB1077" i="1"/>
  <c r="BD1077" i="1"/>
  <c r="BF1077" i="1"/>
  <c r="BG1077" i="1"/>
  <c r="BH1077" i="1"/>
  <c r="BI1077" i="1"/>
  <c r="BY1077" i="1"/>
  <c r="BZ1077" i="1"/>
  <c r="B1078" i="1"/>
  <c r="G1078" i="1"/>
  <c r="H1078" i="1"/>
  <c r="I1078" i="1"/>
  <c r="J1078" i="1"/>
  <c r="BA1078" i="1"/>
  <c r="BB1078" i="1"/>
  <c r="BD1078" i="1"/>
  <c r="BF1078" i="1"/>
  <c r="BG1078" i="1"/>
  <c r="BH1078" i="1"/>
  <c r="BI1078" i="1"/>
  <c r="BY1078" i="1"/>
  <c r="BZ1078" i="1"/>
  <c r="B1079" i="1"/>
  <c r="G1079" i="1"/>
  <c r="H1079" i="1"/>
  <c r="I1079" i="1"/>
  <c r="J1079" i="1"/>
  <c r="BA1079" i="1"/>
  <c r="BB1079" i="1"/>
  <c r="BD1079" i="1"/>
  <c r="BF1079" i="1"/>
  <c r="BG1079" i="1"/>
  <c r="BH1079" i="1"/>
  <c r="BI1079" i="1"/>
  <c r="BY1079" i="1"/>
  <c r="BZ1079" i="1"/>
  <c r="B1080" i="1"/>
  <c r="G1080" i="1"/>
  <c r="H1080" i="1"/>
  <c r="I1080" i="1"/>
  <c r="J1080" i="1"/>
  <c r="BA1080" i="1"/>
  <c r="BB1080" i="1"/>
  <c r="BD1080" i="1"/>
  <c r="BF1080" i="1"/>
  <c r="BG1080" i="1"/>
  <c r="BH1080" i="1"/>
  <c r="BI1080" i="1"/>
  <c r="BK1080" i="1"/>
  <c r="BL1080" i="1"/>
  <c r="BM1080" i="1"/>
  <c r="BN1080" i="1"/>
  <c r="BY1080" i="1"/>
  <c r="BZ1080" i="1"/>
  <c r="B1081" i="1"/>
  <c r="G1081" i="1"/>
  <c r="H1081" i="1"/>
  <c r="I1081" i="1"/>
  <c r="J1081" i="1"/>
  <c r="BA1081" i="1"/>
  <c r="BB1081" i="1"/>
  <c r="BD1081" i="1"/>
  <c r="BF1081" i="1"/>
  <c r="BG1081" i="1"/>
  <c r="BH1081" i="1"/>
  <c r="BI1081" i="1"/>
  <c r="BY1081" i="1"/>
  <c r="BZ1081" i="1"/>
  <c r="B1082" i="1"/>
  <c r="G1082" i="1"/>
  <c r="H1082" i="1"/>
  <c r="I1082" i="1"/>
  <c r="J1082" i="1"/>
  <c r="BA1082" i="1"/>
  <c r="BB1082" i="1"/>
  <c r="BD1082" i="1"/>
  <c r="BF1082" i="1"/>
  <c r="BG1082" i="1"/>
  <c r="BH1082" i="1"/>
  <c r="BI1082" i="1"/>
  <c r="BK1082" i="1"/>
  <c r="BL1082" i="1"/>
  <c r="BM1082" i="1"/>
  <c r="BN1082" i="1"/>
  <c r="BY1082" i="1"/>
  <c r="BZ1082" i="1"/>
  <c r="B1083" i="1"/>
  <c r="G1083" i="1"/>
  <c r="H1083" i="1"/>
  <c r="I1083" i="1"/>
  <c r="J1083" i="1"/>
  <c r="BA1083" i="1"/>
  <c r="BB1083" i="1"/>
  <c r="BD1083" i="1"/>
  <c r="BF1083" i="1"/>
  <c r="BG1083" i="1"/>
  <c r="BH1083" i="1"/>
  <c r="BI1083" i="1"/>
  <c r="BK1083" i="1"/>
  <c r="BL1083" i="1"/>
  <c r="BM1083" i="1"/>
  <c r="BN1083" i="1"/>
  <c r="BY1083" i="1"/>
  <c r="BZ1083" i="1"/>
  <c r="B1084" i="1"/>
  <c r="G1084" i="1"/>
  <c r="H1084" i="1"/>
  <c r="I1084" i="1"/>
  <c r="J1084" i="1"/>
  <c r="BA1084" i="1"/>
  <c r="BB1084" i="1"/>
  <c r="BD1084" i="1"/>
  <c r="BF1084" i="1"/>
  <c r="BG1084" i="1"/>
  <c r="BH1084" i="1"/>
  <c r="BI1084" i="1"/>
  <c r="BY1084" i="1"/>
  <c r="BZ1084" i="1"/>
  <c r="B1085" i="1"/>
  <c r="G1085" i="1"/>
  <c r="H1085" i="1"/>
  <c r="I1085" i="1"/>
  <c r="J1085" i="1"/>
  <c r="BA1085" i="1"/>
  <c r="BB1085" i="1"/>
  <c r="BD1085" i="1"/>
  <c r="BF1085" i="1"/>
  <c r="BG1085" i="1"/>
  <c r="BH1085" i="1"/>
  <c r="BI1085" i="1"/>
  <c r="BY1085" i="1"/>
  <c r="BZ1085" i="1"/>
  <c r="B1086" i="1"/>
  <c r="G1086" i="1"/>
  <c r="H1086" i="1"/>
  <c r="I1086" i="1"/>
  <c r="J1086" i="1"/>
  <c r="BA1086" i="1"/>
  <c r="BB1086" i="1"/>
  <c r="BD1086" i="1"/>
  <c r="BF1086" i="1"/>
  <c r="BG1086" i="1"/>
  <c r="BH1086" i="1"/>
  <c r="BI1086" i="1"/>
  <c r="BY1086" i="1"/>
  <c r="BZ1086" i="1"/>
  <c r="B1087" i="1"/>
  <c r="G1087" i="1"/>
  <c r="H1087" i="1"/>
  <c r="I1087" i="1"/>
  <c r="J1087" i="1"/>
  <c r="BA1087" i="1"/>
  <c r="BB1087" i="1"/>
  <c r="BD1087" i="1"/>
  <c r="BF1087" i="1"/>
  <c r="BG1087" i="1"/>
  <c r="BH1087" i="1"/>
  <c r="BI1087" i="1"/>
  <c r="BK1087" i="1"/>
  <c r="BL1087" i="1"/>
  <c r="BM1087" i="1"/>
  <c r="BN1087" i="1"/>
  <c r="BY1087" i="1"/>
  <c r="BZ1087" i="1"/>
  <c r="B1088" i="1"/>
  <c r="G1088" i="1"/>
  <c r="H1088" i="1"/>
  <c r="I1088" i="1"/>
  <c r="J1088" i="1"/>
  <c r="BA1088" i="1"/>
  <c r="BB1088" i="1"/>
  <c r="BD1088" i="1"/>
  <c r="BF1088" i="1"/>
  <c r="BG1088" i="1"/>
  <c r="BH1088" i="1"/>
  <c r="BI1088" i="1"/>
  <c r="BY1088" i="1"/>
  <c r="BZ1088" i="1"/>
  <c r="B1089" i="1"/>
  <c r="G1089" i="1"/>
  <c r="H1089" i="1"/>
  <c r="I1089" i="1"/>
  <c r="J1089" i="1"/>
  <c r="BA1089" i="1"/>
  <c r="BB1089" i="1"/>
  <c r="BD1089" i="1"/>
  <c r="BF1089" i="1"/>
  <c r="BG1089" i="1"/>
  <c r="BH1089" i="1"/>
  <c r="BI1089" i="1"/>
  <c r="BK1089" i="1"/>
  <c r="BL1089" i="1"/>
  <c r="BM1089" i="1"/>
  <c r="BN1089" i="1"/>
  <c r="BY1089" i="1"/>
  <c r="BZ1089" i="1"/>
  <c r="B1090" i="1"/>
  <c r="G1090" i="1"/>
  <c r="H1090" i="1"/>
  <c r="I1090" i="1"/>
  <c r="J1090" i="1"/>
  <c r="BA1090" i="1"/>
  <c r="BB1090" i="1"/>
  <c r="BD1090" i="1"/>
  <c r="BF1090" i="1"/>
  <c r="BG1090" i="1"/>
  <c r="BH1090" i="1"/>
  <c r="BI1090" i="1"/>
  <c r="BK1090" i="1"/>
  <c r="BL1090" i="1"/>
  <c r="BM1090" i="1"/>
  <c r="BN1090" i="1"/>
  <c r="BY1090" i="1"/>
  <c r="BZ1090" i="1"/>
  <c r="B1091" i="1"/>
  <c r="G1091" i="1"/>
  <c r="H1091" i="1"/>
  <c r="I1091" i="1"/>
  <c r="J1091" i="1"/>
  <c r="BA1091" i="1"/>
  <c r="BB1091" i="1"/>
  <c r="BD1091" i="1"/>
  <c r="BF1091" i="1"/>
  <c r="BG1091" i="1"/>
  <c r="BH1091" i="1"/>
  <c r="BI1091" i="1"/>
  <c r="BK1091" i="1"/>
  <c r="BL1091" i="1"/>
  <c r="BM1091" i="1"/>
  <c r="BN1091" i="1"/>
  <c r="BY1091" i="1"/>
  <c r="BZ1091" i="1"/>
  <c r="B1092" i="1"/>
  <c r="G1092" i="1"/>
  <c r="H1092" i="1"/>
  <c r="I1092" i="1"/>
  <c r="J1092" i="1"/>
  <c r="BA1092" i="1"/>
  <c r="BB1092" i="1"/>
  <c r="BD1092" i="1"/>
  <c r="BF1092" i="1"/>
  <c r="BG1092" i="1"/>
  <c r="BH1092" i="1"/>
  <c r="BI1092" i="1"/>
  <c r="BY1092" i="1"/>
  <c r="BZ1092" i="1"/>
  <c r="B1093" i="1"/>
  <c r="G1093" i="1"/>
  <c r="H1093" i="1"/>
  <c r="I1093" i="1"/>
  <c r="J1093" i="1"/>
  <c r="BA1093" i="1"/>
  <c r="BB1093" i="1"/>
  <c r="BD1093" i="1"/>
  <c r="BF1093" i="1"/>
  <c r="BG1093" i="1"/>
  <c r="BH1093" i="1"/>
  <c r="BI1093" i="1"/>
  <c r="BK1093" i="1"/>
  <c r="BL1093" i="1"/>
  <c r="BM1093" i="1"/>
  <c r="BN1093" i="1"/>
  <c r="BY1093" i="1"/>
  <c r="BZ1093" i="1"/>
  <c r="B1094" i="1"/>
  <c r="G1094" i="1"/>
  <c r="H1094" i="1"/>
  <c r="I1094" i="1"/>
  <c r="J1094" i="1"/>
  <c r="BA1094" i="1"/>
  <c r="BB1094" i="1"/>
  <c r="BD1094" i="1"/>
  <c r="BF1094" i="1"/>
  <c r="BG1094" i="1"/>
  <c r="BH1094" i="1"/>
  <c r="BI1094" i="1"/>
  <c r="BY1094" i="1"/>
  <c r="BZ1094" i="1"/>
  <c r="B1095" i="1"/>
  <c r="G1095" i="1"/>
  <c r="H1095" i="1"/>
  <c r="I1095" i="1"/>
  <c r="J1095" i="1"/>
  <c r="BA1095" i="1"/>
  <c r="BB1095" i="1"/>
  <c r="BD1095" i="1"/>
  <c r="BF1095" i="1"/>
  <c r="BG1095" i="1"/>
  <c r="BH1095" i="1"/>
  <c r="BI1095" i="1"/>
  <c r="BY1095" i="1"/>
  <c r="BZ1095" i="1"/>
  <c r="B1096" i="1"/>
  <c r="G1096" i="1"/>
  <c r="H1096" i="1"/>
  <c r="I1096" i="1"/>
  <c r="J1096" i="1"/>
  <c r="BA1096" i="1"/>
  <c r="BB1096" i="1"/>
  <c r="BD1096" i="1"/>
  <c r="BF1096" i="1"/>
  <c r="BG1096" i="1"/>
  <c r="BH1096" i="1"/>
  <c r="BI1096" i="1"/>
  <c r="BY1096" i="1"/>
  <c r="BZ1096" i="1"/>
  <c r="B1097" i="1"/>
  <c r="G1097" i="1"/>
  <c r="H1097" i="1"/>
  <c r="I1097" i="1"/>
  <c r="J1097" i="1"/>
  <c r="BA1097" i="1"/>
  <c r="BB1097" i="1"/>
  <c r="BD1097" i="1"/>
  <c r="BF1097" i="1"/>
  <c r="BG1097" i="1"/>
  <c r="BH1097" i="1"/>
  <c r="BI1097" i="1"/>
  <c r="BY1097" i="1"/>
  <c r="BZ1097" i="1"/>
  <c r="B1098" i="1"/>
  <c r="G1098" i="1"/>
  <c r="H1098" i="1"/>
  <c r="I1098" i="1"/>
  <c r="J1098" i="1"/>
  <c r="BA1098" i="1"/>
  <c r="BB1098" i="1"/>
  <c r="BD1098" i="1"/>
  <c r="BF1098" i="1"/>
  <c r="BG1098" i="1"/>
  <c r="BH1098" i="1"/>
  <c r="BI1098" i="1"/>
  <c r="BY1098" i="1"/>
  <c r="BZ1098" i="1"/>
  <c r="B1099" i="1"/>
  <c r="G1099" i="1"/>
  <c r="H1099" i="1"/>
  <c r="I1099" i="1"/>
  <c r="J1099" i="1"/>
  <c r="BA1099" i="1"/>
  <c r="BB1099" i="1"/>
  <c r="BD1099" i="1"/>
  <c r="BF1099" i="1"/>
  <c r="BG1099" i="1"/>
  <c r="BH1099" i="1"/>
  <c r="BI1099" i="1"/>
  <c r="BY1099" i="1"/>
  <c r="BZ1099" i="1"/>
  <c r="B1100" i="1"/>
  <c r="G1100" i="1"/>
  <c r="H1100" i="1"/>
  <c r="I1100" i="1"/>
  <c r="J1100" i="1"/>
  <c r="BA1100" i="1"/>
  <c r="BB1100" i="1"/>
  <c r="BD1100" i="1"/>
  <c r="BF1100" i="1"/>
  <c r="BG1100" i="1"/>
  <c r="BH1100" i="1"/>
  <c r="BI1100" i="1"/>
  <c r="BK1100" i="1"/>
  <c r="BL1100" i="1"/>
  <c r="BM1100" i="1"/>
  <c r="BN1100" i="1"/>
  <c r="BP1100" i="1"/>
  <c r="BQ1100" i="1"/>
  <c r="BR1100" i="1"/>
  <c r="BS1100" i="1"/>
  <c r="BY1100" i="1"/>
  <c r="BZ1100" i="1"/>
  <c r="B1101" i="1"/>
  <c r="G1101" i="1"/>
  <c r="H1101" i="1"/>
  <c r="I1101" i="1"/>
  <c r="J1101" i="1"/>
  <c r="BA1101" i="1"/>
  <c r="BB1101" i="1"/>
  <c r="BD1101" i="1"/>
  <c r="BF1101" i="1"/>
  <c r="BG1101" i="1"/>
  <c r="BH1101" i="1"/>
  <c r="BI1101" i="1"/>
  <c r="BK1101" i="1"/>
  <c r="BL1101" i="1"/>
  <c r="BM1101" i="1"/>
  <c r="BN1101" i="1"/>
  <c r="BY1101" i="1"/>
  <c r="BZ1101" i="1"/>
  <c r="B1102" i="1"/>
  <c r="G1102" i="1"/>
  <c r="H1102" i="1"/>
  <c r="I1102" i="1"/>
  <c r="J1102" i="1"/>
  <c r="BA1102" i="1"/>
  <c r="BB1102" i="1"/>
  <c r="BD1102" i="1"/>
  <c r="BF1102" i="1"/>
  <c r="BG1102" i="1"/>
  <c r="BH1102" i="1"/>
  <c r="BI1102" i="1"/>
  <c r="BY1102" i="1"/>
  <c r="BZ1102" i="1"/>
  <c r="B1103" i="1"/>
  <c r="G1103" i="1"/>
  <c r="H1103" i="1"/>
  <c r="I1103" i="1"/>
  <c r="J1103" i="1"/>
  <c r="BA1103" i="1"/>
  <c r="BB1103" i="1"/>
  <c r="BD1103" i="1"/>
  <c r="BF1103" i="1"/>
  <c r="BG1103" i="1"/>
  <c r="BH1103" i="1"/>
  <c r="BI1103" i="1"/>
  <c r="BY1103" i="1"/>
  <c r="BZ1103" i="1"/>
  <c r="B1104" i="1"/>
  <c r="G1104" i="1"/>
  <c r="H1104" i="1"/>
  <c r="I1104" i="1"/>
  <c r="J1104" i="1"/>
  <c r="BA1104" i="1"/>
  <c r="BB1104" i="1"/>
  <c r="BD1104" i="1"/>
  <c r="BF1104" i="1"/>
  <c r="BG1104" i="1"/>
  <c r="BH1104" i="1"/>
  <c r="BI1104" i="1"/>
  <c r="BY1104" i="1"/>
  <c r="BZ1104" i="1"/>
  <c r="B1105" i="1"/>
  <c r="G1105" i="1"/>
  <c r="H1105" i="1"/>
  <c r="I1105" i="1"/>
  <c r="J1105" i="1"/>
  <c r="BA1105" i="1"/>
  <c r="BB1105" i="1"/>
  <c r="BD1105" i="1"/>
  <c r="BF1105" i="1"/>
  <c r="BG1105" i="1"/>
  <c r="BH1105" i="1"/>
  <c r="BI1105" i="1"/>
  <c r="BY1105" i="1"/>
  <c r="BZ1105" i="1"/>
  <c r="B1106" i="1"/>
  <c r="G1106" i="1"/>
  <c r="H1106" i="1"/>
  <c r="I1106" i="1"/>
  <c r="J1106" i="1"/>
  <c r="BA1106" i="1"/>
  <c r="BB1106" i="1"/>
  <c r="BD1106" i="1"/>
  <c r="BF1106" i="1"/>
  <c r="BG1106" i="1"/>
  <c r="BH1106" i="1"/>
  <c r="BI1106" i="1"/>
  <c r="BY1106" i="1"/>
  <c r="BZ1106" i="1"/>
  <c r="B1107" i="1"/>
  <c r="G1107" i="1"/>
  <c r="H1107" i="1"/>
  <c r="I1107" i="1"/>
  <c r="J1107" i="1"/>
  <c r="BA1107" i="1"/>
  <c r="BB1107" i="1"/>
  <c r="BD1107" i="1"/>
  <c r="BF1107" i="1"/>
  <c r="BG1107" i="1"/>
  <c r="BH1107" i="1"/>
  <c r="BI1107" i="1"/>
  <c r="BY1107" i="1"/>
  <c r="BZ1107" i="1"/>
  <c r="B1108" i="1"/>
  <c r="G1108" i="1"/>
  <c r="H1108" i="1"/>
  <c r="I1108" i="1"/>
  <c r="J1108" i="1"/>
  <c r="BA1108" i="1"/>
  <c r="BB1108" i="1"/>
  <c r="BD1108" i="1"/>
  <c r="BF1108" i="1"/>
  <c r="BG1108" i="1"/>
  <c r="BH1108" i="1"/>
  <c r="BI1108" i="1"/>
  <c r="BY1108" i="1"/>
  <c r="BZ1108" i="1"/>
  <c r="B1109" i="1"/>
  <c r="G1109" i="1"/>
  <c r="H1109" i="1"/>
  <c r="I1109" i="1"/>
  <c r="J1109" i="1"/>
  <c r="BA1109" i="1"/>
  <c r="BB1109" i="1"/>
  <c r="BD1109" i="1"/>
  <c r="BF1109" i="1"/>
  <c r="BG1109" i="1"/>
  <c r="BH1109" i="1"/>
  <c r="BI1109" i="1"/>
  <c r="BY1109" i="1"/>
  <c r="BZ1109" i="1"/>
  <c r="B1110" i="1"/>
  <c r="G1110" i="1"/>
  <c r="H1110" i="1"/>
  <c r="I1110" i="1"/>
  <c r="J1110" i="1"/>
  <c r="BA1110" i="1"/>
  <c r="BB1110" i="1"/>
  <c r="BD1110" i="1"/>
  <c r="BF1110" i="1"/>
  <c r="BG1110" i="1"/>
  <c r="BH1110" i="1"/>
  <c r="BI1110" i="1"/>
  <c r="BY1110" i="1"/>
  <c r="BZ1110" i="1"/>
  <c r="B1111" i="1"/>
  <c r="G1111" i="1"/>
  <c r="H1111" i="1"/>
  <c r="I1111" i="1"/>
  <c r="J1111" i="1"/>
  <c r="BA1111" i="1"/>
  <c r="BB1111" i="1"/>
  <c r="BD1111" i="1"/>
  <c r="BF1111" i="1"/>
  <c r="BG1111" i="1"/>
  <c r="BH1111" i="1"/>
  <c r="BI1111" i="1"/>
  <c r="BY1111" i="1"/>
  <c r="BZ1111" i="1"/>
  <c r="B1112" i="1"/>
  <c r="G1112" i="1"/>
  <c r="H1112" i="1"/>
  <c r="I1112" i="1"/>
  <c r="J1112" i="1"/>
  <c r="BA1112" i="1"/>
  <c r="BB1112" i="1"/>
  <c r="BD1112" i="1"/>
  <c r="BF1112" i="1"/>
  <c r="BG1112" i="1"/>
  <c r="BH1112" i="1"/>
  <c r="BI1112" i="1"/>
  <c r="BY1112" i="1"/>
  <c r="BZ1112" i="1"/>
  <c r="B1113" i="1"/>
  <c r="G1113" i="1"/>
  <c r="H1113" i="1"/>
  <c r="I1113" i="1"/>
  <c r="J1113" i="1"/>
  <c r="BA1113" i="1"/>
  <c r="BB1113" i="1"/>
  <c r="BD1113" i="1"/>
  <c r="BF1113" i="1"/>
  <c r="BG1113" i="1"/>
  <c r="BH1113" i="1"/>
  <c r="BI1113" i="1"/>
  <c r="BY1113" i="1"/>
  <c r="BZ1113" i="1"/>
  <c r="B1114" i="1"/>
  <c r="G1114" i="1"/>
  <c r="H1114" i="1"/>
  <c r="I1114" i="1"/>
  <c r="J1114" i="1"/>
  <c r="BA1114" i="1"/>
  <c r="BB1114" i="1"/>
  <c r="BD1114" i="1"/>
  <c r="BF1114" i="1"/>
  <c r="BG1114" i="1"/>
  <c r="BH1114" i="1"/>
  <c r="BI1114" i="1"/>
  <c r="BK1114" i="1"/>
  <c r="BL1114" i="1"/>
  <c r="BM1114" i="1"/>
  <c r="BN1114" i="1"/>
  <c r="BY1114" i="1"/>
  <c r="BZ1114" i="1"/>
  <c r="B1115" i="1"/>
  <c r="G1115" i="1"/>
  <c r="H1115" i="1"/>
  <c r="I1115" i="1"/>
  <c r="J1115" i="1"/>
  <c r="BA1115" i="1"/>
  <c r="BB1115" i="1"/>
  <c r="BD1115" i="1"/>
  <c r="BF1115" i="1"/>
  <c r="BG1115" i="1"/>
  <c r="BH1115" i="1"/>
  <c r="BI1115" i="1"/>
  <c r="BY1115" i="1"/>
  <c r="BZ1115" i="1"/>
  <c r="B1116" i="1"/>
  <c r="G1116" i="1"/>
  <c r="H1116" i="1"/>
  <c r="I1116" i="1"/>
  <c r="J1116" i="1"/>
  <c r="BA1116" i="1"/>
  <c r="BB1116" i="1"/>
  <c r="BD1116" i="1"/>
  <c r="BF1116" i="1"/>
  <c r="BG1116" i="1"/>
  <c r="BH1116" i="1"/>
  <c r="BI1116" i="1"/>
  <c r="BK1116" i="1"/>
  <c r="BL1116" i="1"/>
  <c r="BM1116" i="1"/>
  <c r="BN1116" i="1"/>
  <c r="BY1116" i="1"/>
  <c r="BZ1116" i="1"/>
  <c r="B1117" i="1"/>
  <c r="G1117" i="1"/>
  <c r="H1117" i="1"/>
  <c r="I1117" i="1"/>
  <c r="J1117" i="1"/>
  <c r="BA1117" i="1"/>
  <c r="BB1117" i="1"/>
  <c r="BD1117" i="1"/>
  <c r="BF1117" i="1"/>
  <c r="BG1117" i="1"/>
  <c r="BH1117" i="1"/>
  <c r="BI1117" i="1"/>
  <c r="BY1117" i="1"/>
  <c r="BZ1117" i="1"/>
  <c r="B1118" i="1"/>
  <c r="G1118" i="1"/>
  <c r="H1118" i="1"/>
  <c r="I1118" i="1"/>
  <c r="J1118" i="1"/>
  <c r="BA1118" i="1"/>
  <c r="BB1118" i="1"/>
  <c r="BD1118" i="1"/>
  <c r="BF1118" i="1"/>
  <c r="BG1118" i="1"/>
  <c r="BH1118" i="1"/>
  <c r="BI1118" i="1"/>
  <c r="BY1118" i="1"/>
  <c r="BZ1118" i="1"/>
  <c r="B1119" i="1"/>
  <c r="G1119" i="1"/>
  <c r="H1119" i="1"/>
  <c r="I1119" i="1"/>
  <c r="J1119" i="1"/>
  <c r="BA1119" i="1"/>
  <c r="BB1119" i="1"/>
  <c r="BD1119" i="1"/>
  <c r="BF1119" i="1"/>
  <c r="BG1119" i="1"/>
  <c r="BH1119" i="1"/>
  <c r="BI1119" i="1"/>
  <c r="BY1119" i="1"/>
  <c r="BZ1119" i="1"/>
  <c r="B1120" i="1"/>
  <c r="G1120" i="1"/>
  <c r="H1120" i="1"/>
  <c r="I1120" i="1"/>
  <c r="J1120" i="1"/>
  <c r="BA1120" i="1"/>
  <c r="BB1120" i="1"/>
  <c r="BD1120" i="1"/>
  <c r="BF1120" i="1"/>
  <c r="BG1120" i="1"/>
  <c r="BH1120" i="1"/>
  <c r="BI1120" i="1"/>
  <c r="BY1120" i="1"/>
  <c r="BZ1120" i="1"/>
  <c r="B1121" i="1"/>
  <c r="G1121" i="1"/>
  <c r="H1121" i="1"/>
  <c r="I1121" i="1"/>
  <c r="J1121" i="1"/>
  <c r="BA1121" i="1"/>
  <c r="BB1121" i="1"/>
  <c r="BD1121" i="1"/>
  <c r="BF1121" i="1"/>
  <c r="BG1121" i="1"/>
  <c r="BH1121" i="1"/>
  <c r="BI1121" i="1"/>
  <c r="BY1121" i="1"/>
  <c r="BZ1121" i="1"/>
  <c r="B1122" i="1"/>
  <c r="G1122" i="1"/>
  <c r="H1122" i="1"/>
  <c r="I1122" i="1"/>
  <c r="J1122" i="1"/>
  <c r="BA1122" i="1"/>
  <c r="BB1122" i="1"/>
  <c r="BD1122" i="1"/>
  <c r="BF1122" i="1"/>
  <c r="BG1122" i="1"/>
  <c r="BH1122" i="1"/>
  <c r="BI1122" i="1"/>
  <c r="BY1122" i="1"/>
  <c r="BZ1122" i="1"/>
  <c r="B1123" i="1"/>
  <c r="G1123" i="1"/>
  <c r="H1123" i="1"/>
  <c r="I1123" i="1"/>
  <c r="J1123" i="1"/>
  <c r="BA1123" i="1"/>
  <c r="BB1123" i="1"/>
  <c r="BD1123" i="1"/>
  <c r="BF1123" i="1"/>
  <c r="BG1123" i="1"/>
  <c r="BH1123" i="1"/>
  <c r="BI1123" i="1"/>
  <c r="BY1123" i="1"/>
  <c r="BZ1123" i="1"/>
  <c r="B1124" i="1"/>
  <c r="G1124" i="1"/>
  <c r="H1124" i="1"/>
  <c r="I1124" i="1"/>
  <c r="J1124" i="1"/>
  <c r="BA1124" i="1"/>
  <c r="BB1124" i="1"/>
  <c r="BD1124" i="1"/>
  <c r="BF1124" i="1"/>
  <c r="BG1124" i="1"/>
  <c r="BH1124" i="1"/>
  <c r="BI1124" i="1"/>
  <c r="BY1124" i="1"/>
  <c r="BZ1124" i="1"/>
  <c r="B1125" i="1"/>
  <c r="G1125" i="1"/>
  <c r="H1125" i="1"/>
  <c r="I1125" i="1"/>
  <c r="J1125" i="1"/>
  <c r="BA1125" i="1"/>
  <c r="BB1125" i="1"/>
  <c r="BD1125" i="1"/>
  <c r="BF1125" i="1"/>
  <c r="BG1125" i="1"/>
  <c r="BH1125" i="1"/>
  <c r="BI1125" i="1"/>
  <c r="BY1125" i="1"/>
  <c r="BZ1125" i="1"/>
  <c r="B1126" i="1"/>
  <c r="G1126" i="1"/>
  <c r="H1126" i="1"/>
  <c r="I1126" i="1"/>
  <c r="J1126" i="1"/>
  <c r="BA1126" i="1"/>
  <c r="BB1126" i="1"/>
  <c r="BD1126" i="1"/>
  <c r="BF1126" i="1"/>
  <c r="BG1126" i="1"/>
  <c r="BH1126" i="1"/>
  <c r="BI1126" i="1"/>
  <c r="BY1126" i="1"/>
  <c r="BZ1126" i="1"/>
  <c r="B1127" i="1"/>
  <c r="G1127" i="1"/>
  <c r="H1127" i="1"/>
  <c r="I1127" i="1"/>
  <c r="J1127" i="1"/>
  <c r="BA1127" i="1"/>
  <c r="BB1127" i="1"/>
  <c r="BD1127" i="1"/>
  <c r="BF1127" i="1"/>
  <c r="BG1127" i="1"/>
  <c r="BH1127" i="1"/>
  <c r="BI1127" i="1"/>
  <c r="BY1127" i="1"/>
  <c r="BZ1127" i="1"/>
  <c r="B1128" i="1"/>
  <c r="G1128" i="1"/>
  <c r="H1128" i="1"/>
  <c r="I1128" i="1"/>
  <c r="J1128" i="1"/>
  <c r="BA1128" i="1"/>
  <c r="BB1128" i="1"/>
  <c r="BD1128" i="1"/>
  <c r="BF1128" i="1"/>
  <c r="BG1128" i="1"/>
  <c r="BH1128" i="1"/>
  <c r="BI1128" i="1"/>
  <c r="BY1128" i="1"/>
  <c r="BZ1128" i="1"/>
  <c r="B1129" i="1"/>
  <c r="G1129" i="1"/>
  <c r="H1129" i="1"/>
  <c r="I1129" i="1"/>
  <c r="J1129" i="1"/>
  <c r="BA1129" i="1"/>
  <c r="BB1129" i="1"/>
  <c r="BD1129" i="1"/>
  <c r="BF1129" i="1"/>
  <c r="BG1129" i="1"/>
  <c r="BH1129" i="1"/>
  <c r="BI1129" i="1"/>
  <c r="BK1129" i="1"/>
  <c r="BL1129" i="1"/>
  <c r="BM1129" i="1"/>
  <c r="BN1129" i="1"/>
  <c r="BY1129" i="1"/>
  <c r="BZ1129" i="1"/>
  <c r="B1130" i="1"/>
  <c r="G1130" i="1"/>
  <c r="H1130" i="1"/>
  <c r="I1130" i="1"/>
  <c r="J1130" i="1"/>
  <c r="BA1130" i="1"/>
  <c r="BB1130" i="1"/>
  <c r="BD1130" i="1"/>
  <c r="BF1130" i="1"/>
  <c r="BG1130" i="1"/>
  <c r="BH1130" i="1"/>
  <c r="BI1130" i="1"/>
  <c r="BY1130" i="1"/>
  <c r="BZ1130" i="1"/>
  <c r="B1131" i="1"/>
  <c r="G1131" i="1"/>
  <c r="H1131" i="1"/>
  <c r="I1131" i="1"/>
  <c r="J1131" i="1"/>
  <c r="BA1131" i="1"/>
  <c r="BB1131" i="1"/>
  <c r="BD1131" i="1"/>
  <c r="BF1131" i="1"/>
  <c r="BG1131" i="1"/>
  <c r="BH1131" i="1"/>
  <c r="BI1131" i="1"/>
  <c r="BY1131" i="1"/>
  <c r="BZ1131" i="1"/>
  <c r="B1132" i="1"/>
  <c r="G1132" i="1"/>
  <c r="H1132" i="1"/>
  <c r="I1132" i="1"/>
  <c r="J1132" i="1"/>
  <c r="BA1132" i="1"/>
  <c r="BB1132" i="1"/>
  <c r="BD1132" i="1"/>
  <c r="BF1132" i="1"/>
  <c r="BG1132" i="1"/>
  <c r="BH1132" i="1"/>
  <c r="BI1132" i="1"/>
  <c r="BY1132" i="1"/>
  <c r="BZ1132" i="1"/>
  <c r="B1133" i="1"/>
  <c r="G1133" i="1"/>
  <c r="H1133" i="1"/>
  <c r="I1133" i="1"/>
  <c r="J1133" i="1"/>
  <c r="BA1133" i="1"/>
  <c r="BB1133" i="1"/>
  <c r="BD1133" i="1"/>
  <c r="BF1133" i="1"/>
  <c r="BG1133" i="1"/>
  <c r="BH1133" i="1"/>
  <c r="BI1133" i="1"/>
  <c r="BY1133" i="1"/>
  <c r="BZ1133" i="1"/>
</calcChain>
</file>

<file path=xl/sharedStrings.xml><?xml version="1.0" encoding="utf-8"?>
<sst xmlns="http://schemas.openxmlformats.org/spreadsheetml/2006/main" count="57921" uniqueCount="20957">
  <si>
    <t>Item Number</t>
  </si>
  <si>
    <t>UPC</t>
  </si>
  <si>
    <t>Name</t>
  </si>
  <si>
    <t>Collection Name</t>
  </si>
  <si>
    <t>Category Display Name</t>
  </si>
  <si>
    <t>Subcategory Display Name</t>
  </si>
  <si>
    <t>Width</t>
  </si>
  <si>
    <t>Depth</t>
  </si>
  <si>
    <t>Height</t>
  </si>
  <si>
    <t>Weight</t>
  </si>
  <si>
    <t>Color 1</t>
  </si>
  <si>
    <t>Color 2</t>
  </si>
  <si>
    <t>Color 3</t>
  </si>
  <si>
    <t>Material 1</t>
  </si>
  <si>
    <t>Material 2</t>
  </si>
  <si>
    <t>Material 3</t>
  </si>
  <si>
    <t>Material 4</t>
  </si>
  <si>
    <t>Material 5</t>
  </si>
  <si>
    <t>Material 6</t>
  </si>
  <si>
    <t>Hospitality Grade</t>
  </si>
  <si>
    <t>Performance Fabric</t>
  </si>
  <si>
    <t>Description</t>
  </si>
  <si>
    <t>Primary Image Thumbnail Url</t>
  </si>
  <si>
    <t>Image 1</t>
  </si>
  <si>
    <t>Image 2</t>
  </si>
  <si>
    <t>Image 3</t>
  </si>
  <si>
    <t>Image 4</t>
  </si>
  <si>
    <t>Image 5</t>
  </si>
  <si>
    <t>Image 6</t>
  </si>
  <si>
    <t>Image 7</t>
  </si>
  <si>
    <t>Image 8</t>
  </si>
  <si>
    <t>Image 9</t>
  </si>
  <si>
    <t>Image 10</t>
  </si>
  <si>
    <t>Image 11</t>
  </si>
  <si>
    <t>Image 12</t>
  </si>
  <si>
    <t>Image 13</t>
  </si>
  <si>
    <t>Image 14</t>
  </si>
  <si>
    <t>Image 15</t>
  </si>
  <si>
    <t>Image 16</t>
  </si>
  <si>
    <t>Image 17</t>
  </si>
  <si>
    <t>Image 18</t>
  </si>
  <si>
    <t>Image 19</t>
  </si>
  <si>
    <t>Image 20</t>
  </si>
  <si>
    <t>Image 21</t>
  </si>
  <si>
    <t>Image 22</t>
  </si>
  <si>
    <t>Image 23</t>
  </si>
  <si>
    <t>Image 24</t>
  </si>
  <si>
    <t>Image 25</t>
  </si>
  <si>
    <t>Image 26</t>
  </si>
  <si>
    <t>Image 27</t>
  </si>
  <si>
    <t>Image 28</t>
  </si>
  <si>
    <t>Image 29</t>
  </si>
  <si>
    <t>Country</t>
  </si>
  <si>
    <t>Box Count</t>
  </si>
  <si>
    <t>Box 1 Contents</t>
  </si>
  <si>
    <t>Box 1 Width</t>
  </si>
  <si>
    <t>Box 1 Depth</t>
  </si>
  <si>
    <t>Box 1 Height</t>
  </si>
  <si>
    <t>Box 1 Weight</t>
  </si>
  <si>
    <t>Box 2 Contents</t>
  </si>
  <si>
    <t>Box 2 Width</t>
  </si>
  <si>
    <t>Box 2 Depth</t>
  </si>
  <si>
    <t>Box 2 Height</t>
  </si>
  <si>
    <t>Box 2 Weight</t>
  </si>
  <si>
    <t>Box 3 Contents</t>
  </si>
  <si>
    <t>Box 3 Width</t>
  </si>
  <si>
    <t>Box 3 Depth</t>
  </si>
  <si>
    <t>Box 3 Height</t>
  </si>
  <si>
    <t>Box 3 Weight</t>
  </si>
  <si>
    <t>Box 4 Contents</t>
  </si>
  <si>
    <t>Box 4 Width</t>
  </si>
  <si>
    <t>Box 4 Depth</t>
  </si>
  <si>
    <t>Box 4 Height</t>
  </si>
  <si>
    <t>Box 4 Weight</t>
  </si>
  <si>
    <t>Volume Cubic Feet</t>
  </si>
  <si>
    <t>Volume Cubic Meters</t>
  </si>
  <si>
    <t>Item Class Rank</t>
  </si>
  <si>
    <t>Fixed Shelf Depth 1</t>
  </si>
  <si>
    <t>Fixed Shelf Height 1</t>
  </si>
  <si>
    <t>Fixed Shelf Width 1</t>
  </si>
  <si>
    <t>Interior Section Depth 1</t>
  </si>
  <si>
    <t>Interior Section Height 1</t>
  </si>
  <si>
    <t>Interior Section Width 1</t>
  </si>
  <si>
    <t>Seat Cushion Depth 1</t>
  </si>
  <si>
    <t>Seat Cushion Thickness 1</t>
  </si>
  <si>
    <t>Seat Cushion Width 1</t>
  </si>
  <si>
    <t>Seat Depth 1</t>
  </si>
  <si>
    <t>Seat Height 1</t>
  </si>
  <si>
    <t>Seat Width 1</t>
  </si>
  <si>
    <t>Arm Pillow Qty</t>
  </si>
  <si>
    <t>Back Cushion Qty</t>
  </si>
  <si>
    <t>Chair Arm Option</t>
  </si>
  <si>
    <t>Cleaning Code</t>
  </si>
  <si>
    <t>Drawer Glide Type</t>
  </si>
  <si>
    <t>Drawer Quantity</t>
  </si>
  <si>
    <t>Drawer Stop Material</t>
  </si>
  <si>
    <t>Filling in Seat</t>
  </si>
  <si>
    <t>Fixed Shelf Qty</t>
  </si>
  <si>
    <t>Fixed Shelves</t>
  </si>
  <si>
    <t>Frame Construction Joinery</t>
  </si>
  <si>
    <t>Functionality</t>
  </si>
  <si>
    <t>Lumbar Pillow Qty</t>
  </si>
  <si>
    <t>Recommended Shelf Capacity (kg)</t>
  </si>
  <si>
    <t>Recommended Shelf Capacity (lbs)</t>
  </si>
  <si>
    <t>Removable Shelf Qty</t>
  </si>
  <si>
    <t>Rub Rate</t>
  </si>
  <si>
    <t>Seat Construction</t>
  </si>
  <si>
    <t>Seat Cushion Attachment</t>
  </si>
  <si>
    <t>Seat Cushion Detail</t>
  </si>
  <si>
    <t>Seat Cushion Qty</t>
  </si>
  <si>
    <t>Seating Capacity</t>
  </si>
  <si>
    <t>Shape Type</t>
  </si>
  <si>
    <t>Suite</t>
  </si>
  <si>
    <t>Toss Pillow Qty</t>
  </si>
  <si>
    <t>Weight Capacity</t>
  </si>
  <si>
    <t>Arm Height from Floor</t>
  </si>
  <si>
    <t>Arm Height from Seat</t>
  </si>
  <si>
    <t>Arm Length</t>
  </si>
  <si>
    <t>Arm Pillow Depth</t>
  </si>
  <si>
    <t>Arm Pillow Height</t>
  </si>
  <si>
    <t>Arm Pillow Width</t>
  </si>
  <si>
    <t>Arm Width</t>
  </si>
  <si>
    <t>Back Cushion Depth 1</t>
  </si>
  <si>
    <t>Back Cushion Height 1</t>
  </si>
  <si>
    <t>Back Cushion Width 1</t>
  </si>
  <si>
    <t>Clearance from Floor 1</t>
  </si>
  <si>
    <t>Distance between Legs (Front to Back) 1</t>
  </si>
  <si>
    <t>Distance between Legs (Side to Side) 1</t>
  </si>
  <si>
    <t>Seat Back Height</t>
  </si>
  <si>
    <t>Arm Pillow Detail</t>
  </si>
  <si>
    <t>Arm Pillows</t>
  </si>
  <si>
    <t>Back Cushion Attachment</t>
  </si>
  <si>
    <t>Back Cushion Detail</t>
  </si>
  <si>
    <t>Filling in Back Cushion</t>
  </si>
  <si>
    <t>Filling in Body</t>
  </si>
  <si>
    <t>Toss Pillow Detail</t>
  </si>
  <si>
    <t>Leg/Base Depth 1</t>
  </si>
  <si>
    <t>Leg/Base Height 1</t>
  </si>
  <si>
    <t>Leg/Base Width 1</t>
  </si>
  <si>
    <t>Tabletop Thickness</t>
  </si>
  <si>
    <t>Has Leveler</t>
  </si>
  <si>
    <t>Interior Section Quantity</t>
  </si>
  <si>
    <t>Leaf Qty</t>
  </si>
  <si>
    <t>Seat Width (Back)</t>
  </si>
  <si>
    <t>Seat Width (Front)</t>
  </si>
  <si>
    <t>Minimum Number Of Plugs Required</t>
  </si>
  <si>
    <t>Number Of Motors Supported By Plug</t>
  </si>
  <si>
    <t>Upholstery Finishing Detail</t>
  </si>
  <si>
    <t>Wall Clearance</t>
  </si>
  <si>
    <t>Apron Height</t>
  </si>
  <si>
    <t>Opening for Seating Height</t>
  </si>
  <si>
    <t>Overhang Width 1</t>
  </si>
  <si>
    <t>Table Type</t>
  </si>
  <si>
    <t>Door Height 1</t>
  </si>
  <si>
    <t>Door Thickness 1</t>
  </si>
  <si>
    <t>Door Width 1</t>
  </si>
  <si>
    <t>Removable Shelf (Fixed or Adjustable) Depth 1</t>
  </si>
  <si>
    <t>Removable Shelf (Fixed or Adjustable) Height 1</t>
  </si>
  <si>
    <t>Removable Shelf (Fixed or Adjustable) Width 1</t>
  </si>
  <si>
    <t>Bottle Qty</t>
  </si>
  <si>
    <t>Cord Management</t>
  </si>
  <si>
    <t>Door Closure Catch Type</t>
  </si>
  <si>
    <t>Door Qty</t>
  </si>
  <si>
    <t>Door Type</t>
  </si>
  <si>
    <t>Hinge Type</t>
  </si>
  <si>
    <t>Num Of Stemware Racks</t>
  </si>
  <si>
    <t>Removable Shelf</t>
  </si>
  <si>
    <t>Cabinet Storage Type</t>
  </si>
  <si>
    <t>Door Panel Construction</t>
  </si>
  <si>
    <t>Has Soft Close Drawers</t>
  </si>
  <si>
    <t>Socket Qty</t>
  </si>
  <si>
    <t>Drawer Depth 1</t>
  </si>
  <si>
    <t>Drawer Depth 2</t>
  </si>
  <si>
    <t>Drawer Height 1</t>
  </si>
  <si>
    <t>Drawer Height 2</t>
  </si>
  <si>
    <t>Drawer Width 1</t>
  </si>
  <si>
    <t>Drawer Width 2</t>
  </si>
  <si>
    <t>Drawer Glide Color</t>
  </si>
  <si>
    <t>Drawer Inserts</t>
  </si>
  <si>
    <t>Drawer Joinery</t>
  </si>
  <si>
    <t>Drawer Stop Anti Tip Rail</t>
  </si>
  <si>
    <t>Interior Section Depth 2</t>
  </si>
  <si>
    <t>Interior Section Height 2</t>
  </si>
  <si>
    <t>Interior Section Width 2</t>
  </si>
  <si>
    <t>Filing Drawers Qty</t>
  </si>
  <si>
    <t>Large Table Depth</t>
  </si>
  <si>
    <t>Large Table Height</t>
  </si>
  <si>
    <t>Large Table Width</t>
  </si>
  <si>
    <t>Small Table Depth</t>
  </si>
  <si>
    <t>Small Table Height</t>
  </si>
  <si>
    <t>Small Table Width</t>
  </si>
  <si>
    <t>Back Cushion Depth 2</t>
  </si>
  <si>
    <t>Back Cushion Height 2</t>
  </si>
  <si>
    <t>Back Cushion Width 2</t>
  </si>
  <si>
    <t>Reversible</t>
  </si>
  <si>
    <t>Sectional Clip</t>
  </si>
  <si>
    <t>Sectional Configurations</t>
  </si>
  <si>
    <t>Interior Section Depth 3</t>
  </si>
  <si>
    <t>Interior Section Depth 4</t>
  </si>
  <si>
    <t>Interior Section Height 3</t>
  </si>
  <si>
    <t>Interior Section Height 4</t>
  </si>
  <si>
    <t>Interior Section Width 3</t>
  </si>
  <si>
    <t>Interior Section Width 4</t>
  </si>
  <si>
    <t>Distance between Pin Placements</t>
  </si>
  <si>
    <t>Drawer Depth 3</t>
  </si>
  <si>
    <t>Drawer Depth 4</t>
  </si>
  <si>
    <t>Drawer Height 3</t>
  </si>
  <si>
    <t>Drawer Height 4</t>
  </si>
  <si>
    <t>Drawer Width 3</t>
  </si>
  <si>
    <t>Drawer Width 4</t>
  </si>
  <si>
    <t>Removable Shelf (Fixed or Adjustable) Depth 2</t>
  </si>
  <si>
    <t>Removable Shelf (Fixed or Adjustable) Height 2</t>
  </si>
  <si>
    <t>Removable Shelf (Fixed or Adjustable) Width 2</t>
  </si>
  <si>
    <t>Can Be Floated</t>
  </si>
  <si>
    <t>Removable Shelf Adjustable?</t>
  </si>
  <si>
    <t>Trunk Interior Depth</t>
  </si>
  <si>
    <t>Trunk Interior Height</t>
  </si>
  <si>
    <t>Trunk Interior Width</t>
  </si>
  <si>
    <t>Swivel Mechanism</t>
  </si>
  <si>
    <t>Clearance from Footboard</t>
  </si>
  <si>
    <t>Clearance from Headboard</t>
  </si>
  <si>
    <t>Clearance from Side Rails</t>
  </si>
  <si>
    <t>Footboard Height</t>
  </si>
  <si>
    <t>Footboard Thickness</t>
  </si>
  <si>
    <t>Footboard Width</t>
  </si>
  <si>
    <t>Headboard Height</t>
  </si>
  <si>
    <t>Headboard Thickness</t>
  </si>
  <si>
    <t>Headboard Width</t>
  </si>
  <si>
    <t>Interior Dimension for Mattress Depth</t>
  </si>
  <si>
    <t>Interior Dimension for Mattress Height</t>
  </si>
  <si>
    <t>Interior Dimension for Mattress Width</t>
  </si>
  <si>
    <t>Side Rails Height</t>
  </si>
  <si>
    <t>Side Rails Length</t>
  </si>
  <si>
    <t>Side Rails Thickness</t>
  </si>
  <si>
    <t>Adjustable Bed Frame Compatible</t>
  </si>
  <si>
    <t>Bed Backing</t>
  </si>
  <si>
    <t>Bed Material</t>
  </si>
  <si>
    <t>Box Spring Required</t>
  </si>
  <si>
    <t>Size</t>
  </si>
  <si>
    <t>Lumbar Pillow Depth 1</t>
  </si>
  <si>
    <t>Lumbar Pillow Height 1</t>
  </si>
  <si>
    <t>Lumbar Pillow Width 1</t>
  </si>
  <si>
    <t>Lumbar Pillow Detail</t>
  </si>
  <si>
    <t>Lumbar Pillows</t>
  </si>
  <si>
    <t>Distance between Slats</t>
  </si>
  <si>
    <t>Floor to Top of Slat Height</t>
  </si>
  <si>
    <t>Slat Width</t>
  </si>
  <si>
    <t>Has Slats</t>
  </si>
  <si>
    <t>Slat Type</t>
  </si>
  <si>
    <t>Fully Reclined Depth</t>
  </si>
  <si>
    <t>Fully Reclined Height</t>
  </si>
  <si>
    <t>Interior Frame Depth (Without Slats and Center Rail)</t>
  </si>
  <si>
    <t>Interior Frame Width (Without Slats and Center Rail)</t>
  </si>
  <si>
    <t>Seat Height Adjustable (Max)</t>
  </si>
  <si>
    <t>Seat Height Adjustable (Min)</t>
  </si>
  <si>
    <t>Toss Pillow Depth 1</t>
  </si>
  <si>
    <t>Toss Pillow Height 1</t>
  </si>
  <si>
    <t>Toss Pillow Width 1</t>
  </si>
  <si>
    <t>Bottle Rack Depth</t>
  </si>
  <si>
    <t>Wine Bottle Rack</t>
  </si>
  <si>
    <t>Toss Pillows</t>
  </si>
  <si>
    <t>Fully Opened Sleeper Height</t>
  </si>
  <si>
    <t>Sleeping Surface Depth</t>
  </si>
  <si>
    <t>Sleeping Surface Width</t>
  </si>
  <si>
    <t>Adjustable Shelf Depth 1</t>
  </si>
  <si>
    <t>Adjustable Shelf Height 1</t>
  </si>
  <si>
    <t>Adjustable Shelf Width 1</t>
  </si>
  <si>
    <t>Distance 1 between Adjustable Shelves</t>
  </si>
  <si>
    <t>Distance between Legs (Back) 1</t>
  </si>
  <si>
    <t>Distance between Legs (Front) 1</t>
  </si>
  <si>
    <t>Fixed Shelf Depth 2</t>
  </si>
  <si>
    <t>Fixed Shelf Height 2</t>
  </si>
  <si>
    <t>Fixed Shelf Width 2</t>
  </si>
  <si>
    <t>Casters</t>
  </si>
  <si>
    <t>Width with Leaf</t>
  </si>
  <si>
    <t>Width without Leaf</t>
  </si>
  <si>
    <t>Extension Type</t>
  </si>
  <si>
    <t>Leaf Type</t>
  </si>
  <si>
    <t>Tray Depth</t>
  </si>
  <si>
    <t>Tray Height</t>
  </si>
  <si>
    <t>Tray Width</t>
  </si>
  <si>
    <t>Functional Ladder</t>
  </si>
  <si>
    <t>Interior Section Depth 5</t>
  </si>
  <si>
    <t>Interior Section Height 5</t>
  </si>
  <si>
    <t>Interior Section Width 5</t>
  </si>
  <si>
    <t>Object 1 Depth</t>
  </si>
  <si>
    <t>Object 1 Height</t>
  </si>
  <si>
    <t>Object 1 Width</t>
  </si>
  <si>
    <t>Num Of Pieces</t>
  </si>
  <si>
    <t>Anti-Tip Kit Included?</t>
  </si>
  <si>
    <t>Sliding Door Track</t>
  </si>
  <si>
    <t>Adjustable</t>
  </si>
  <si>
    <t>Door Height 2</t>
  </si>
  <si>
    <t>Door Thickness 2</t>
  </si>
  <si>
    <t>Door Width 2</t>
  </si>
  <si>
    <t>Interior Section Depth 6</t>
  </si>
  <si>
    <t>Interior Section Depth 7</t>
  </si>
  <si>
    <t>Interior Section Height 6</t>
  </si>
  <si>
    <t>Interior Section Height 7</t>
  </si>
  <si>
    <t>Interior Section Width 6</t>
  </si>
  <si>
    <t>Interior Section Width 7</t>
  </si>
  <si>
    <t>Headrest Motion</t>
  </si>
  <si>
    <t>Power Motion</t>
  </si>
  <si>
    <t>Toss Pillow Depth 2</t>
  </si>
  <si>
    <t>Toss Pillow Height 2</t>
  </si>
  <si>
    <t>Toss Pillow Width 2</t>
  </si>
  <si>
    <t>Overall Sofa &amp; Bed Depth</t>
  </si>
  <si>
    <t>Sleeping Surface Height</t>
  </si>
  <si>
    <t>Under Bed Clearance Height</t>
  </si>
  <si>
    <t>Interior Section Depth 10</t>
  </si>
  <si>
    <t>Interior Section Depth 11</t>
  </si>
  <si>
    <t>Interior Section Depth 12</t>
  </si>
  <si>
    <t>Interior Section Depth 8</t>
  </si>
  <si>
    <t>Interior Section Depth 9</t>
  </si>
  <si>
    <t>Interior Section Height 10</t>
  </si>
  <si>
    <t>Interior Section Height 11</t>
  </si>
  <si>
    <t>Interior Section Height 12</t>
  </si>
  <si>
    <t>Interior Section Height 8</t>
  </si>
  <si>
    <t>Interior Section Height 9</t>
  </si>
  <si>
    <t>Interior Section Width 10</t>
  </si>
  <si>
    <t>Interior Section Width 11</t>
  </si>
  <si>
    <t>Interior Section Width 12</t>
  </si>
  <si>
    <t>Interior Section Width 8</t>
  </si>
  <si>
    <t>Interior Section Width 9</t>
  </si>
  <si>
    <t>Sofa Back to Mattress Gap Depth</t>
  </si>
  <si>
    <t>10 Point Area Diameter</t>
  </si>
  <si>
    <t>20 Point Area Diameter</t>
  </si>
  <si>
    <t>50 Point Area Diameter</t>
  </si>
  <si>
    <t>Bullseye Diameter</t>
  </si>
  <si>
    <t>Dart Height</t>
  </si>
  <si>
    <t>Dart Width &amp; Depth</t>
  </si>
  <si>
    <t>Balls Included Qty</t>
  </si>
  <si>
    <t>Cupholders Included Qty</t>
  </si>
  <si>
    <t>Dart Material</t>
  </si>
  <si>
    <t>Darts Included Qty</t>
  </si>
  <si>
    <t>Dice Included Qty</t>
  </si>
  <si>
    <t>Entryway Openings Qty</t>
  </si>
  <si>
    <t>Game Type</t>
  </si>
  <si>
    <t>Paddles Included Qty</t>
  </si>
  <si>
    <t>Playing Pieces Included Qty</t>
  </si>
  <si>
    <t>Poker Chipholder Qty</t>
  </si>
  <si>
    <t>Pucks Included Qty</t>
  </si>
  <si>
    <t>Strikers Included Qty</t>
  </si>
  <si>
    <t>Dust Panel</t>
  </si>
  <si>
    <t>Ball Diameter</t>
  </si>
  <si>
    <t>Paddle Depth</t>
  </si>
  <si>
    <t>Paddle Height</t>
  </si>
  <si>
    <t>Paddle Width</t>
  </si>
  <si>
    <t>Removable Net Height</t>
  </si>
  <si>
    <t>Removable Net Width</t>
  </si>
  <si>
    <t>Table Height Adjustable (Max)</t>
  </si>
  <si>
    <t>Table Height Adjustable (Min)</t>
  </si>
  <si>
    <t>Fixed Shelf Depth 3</t>
  </si>
  <si>
    <t>Fixed Shelf Depth 4</t>
  </si>
  <si>
    <t>Fixed Shelf Depth 5</t>
  </si>
  <si>
    <t>Fixed Shelf Depth 6</t>
  </si>
  <si>
    <t>Fixed Shelf Height 3</t>
  </si>
  <si>
    <t>Fixed Shelf Height 4</t>
  </si>
  <si>
    <t>Fixed Shelf Height 5</t>
  </si>
  <si>
    <t>Fixed Shelf Height 6</t>
  </si>
  <si>
    <t>Fixed Shelf Width 3</t>
  </si>
  <si>
    <t>Fixed Shelf Width 4</t>
  </si>
  <si>
    <t>Fixed Shelf Width 5</t>
  </si>
  <si>
    <t>Fixed Shelf Width 6</t>
  </si>
  <si>
    <t>100039-002</t>
  </si>
  <si>
    <t>Edmon Bench - Sheffield Ivory</t>
  </si>
  <si>
    <t>Ashford</t>
  </si>
  <si>
    <t>Benches</t>
  </si>
  <si>
    <t>Accent Benches</t>
  </si>
  <si>
    <t>Sheffield Ivory</t>
  </si>
  <si>
    <t>Warm Oak</t>
  </si>
  <si>
    <t>100% Polyester</t>
  </si>
  <si>
    <t>Solid Oak</t>
  </si>
  <si>
    <t>No</t>
  </si>
  <si>
    <t>Mixed materials and open styling allows for versatile placement options. A warm oak frame forms clean lines to support a cushion upholstered in traditional ivory fabric with a classic box print. As perfect for dining as in entryway.</t>
  </si>
  <si>
    <t>https://dd3ka9h4chfr8.cloudfront.net/image/725136000567/image_6pfssg35jt2iv50c3nbod4li5e/-S150x150-FJPG/100039-002_PRM_1.jpg</t>
  </si>
  <si>
    <t>https://dd3ka9h4chfr8.cloudfront.net/image/725136000567/image_ps1334s57p07r0d3r281s5rr39/-FJPG/100039-002_FRT_1.jpg</t>
  </si>
  <si>
    <t>https://dd3ka9h4chfr8.cloudfront.net/image/725136000567/image_6pfssg35jt2iv50c3nbod4li5e/-FJPG/100039-002_PRM_1.jpg</t>
  </si>
  <si>
    <t>https://dd3ka9h4chfr8.cloudfront.net/image/725136000567/image_3ocuo1j4n10nj1vj477ivmrd1l/-FJPG/100039-002_SID_1.jpg</t>
  </si>
  <si>
    <t>https://dd3ka9h4chfr8.cloudfront.net/image/725136000567/image_vlolaeuuoh0p7bp03f414bsn22/-FJPG/100039-002_ESS.tif</t>
  </si>
  <si>
    <t>https://dd3ka9h4chfr8.cloudfront.net/image/725136000567/image_efunrj5olh2atblgaihice925e/-FJPG/100039-002_DET_2.jpg</t>
  </si>
  <si>
    <t>https://dd3ka9h4chfr8.cloudfront.net/image/725136000567/image_bed4hht4h90qr1nuvtbb6put1b/-FJPG/100039-002_DET_1.jpg</t>
  </si>
  <si>
    <t>https://dd3ka9h4chfr8.cloudfront.net/image/725136000567/image_fgs30lk61l1ed8jnqjduhakr29/-FJPG/100039-002_DET_3.jpg</t>
  </si>
  <si>
    <t>https://dd3ka9h4chfr8.cloudfront.net/image/725136000567/image_53p6593fcd6apega7m72flhp33/-FJPG/100039-002_DET_4.jpg</t>
  </si>
  <si>
    <t>https://dd3ka9h4chfr8.cloudfront.net/image/725136000567/image_jf0en1dh8155hb3rjgrlc0dt2v/-FJPG/100039-002_DET_5.jpg</t>
  </si>
  <si>
    <t>https://dd3ka9h4chfr8.cloudfront.net/image/725136000567/image_78fobfkiup1qd0s2g7db1c2o5b/-FJPG/100039-002_DET_6.jpg</t>
  </si>
  <si>
    <t>https://dd3ka9h4chfr8.cloudfront.net/image/725136000567/image_ihl877gkq933n83aveeaast248/-FJPG/100039-002_DET_7.jpg</t>
  </si>
  <si>
    <t>https://dd3ka9h4chfr8.cloudfront.net/image/725136000567/image_i0uujlo8ep5qb8851u0f55dt1u/-FJPG/100039-002_DET_8.jpg</t>
  </si>
  <si>
    <t>China</t>
  </si>
  <si>
    <t>Complete Item</t>
  </si>
  <si>
    <t>C</t>
  </si>
  <si>
    <t>15.94"</t>
  </si>
  <si>
    <t>1.97"</t>
  </si>
  <si>
    <t>62.99"</t>
  </si>
  <si>
    <t>12.40"</t>
  </si>
  <si>
    <t>2.76"</t>
  </si>
  <si>
    <t>18.50"</t>
  </si>
  <si>
    <t>66.39"</t>
  </si>
  <si>
    <t>Armless</t>
  </si>
  <si>
    <t>W (Water-based)</t>
  </si>
  <si>
    <t>None</t>
  </si>
  <si>
    <t>93% Polyurethane Foam Pad, 7% Polyester Fiber Batting</t>
  </si>
  <si>
    <t>Yes</t>
  </si>
  <si>
    <t>Corner-block/Cleat</t>
  </si>
  <si>
    <t>Shelves</t>
  </si>
  <si>
    <t>Wooden Platform</t>
  </si>
  <si>
    <t>Loose</t>
  </si>
  <si>
    <t>Boxed</t>
  </si>
  <si>
    <t>Rectangle</t>
  </si>
  <si>
    <t>Edmon</t>
  </si>
  <si>
    <t>525 lb</t>
  </si>
  <si>
    <t>100061-007</t>
  </si>
  <si>
    <t>Reese Sofa - Palermo Cognac</t>
  </si>
  <si>
    <t>Sofas</t>
  </si>
  <si>
    <t>Palermo Cognac</t>
  </si>
  <si>
    <t>Almond Beech</t>
  </si>
  <si>
    <t>Top Grain Leather</t>
  </si>
  <si>
    <t>Solid Beech</t>
  </si>
  <si>
    <t>Effortlessly on-trend. Two-cushion seating of top-grain leather, with knife-edge pillows and welted track arms. Almond-finished legs taper for a modern touch atop midcentury influence.</t>
  </si>
  <si>
    <t>https://dd3ka9h4chfr8.cloudfront.net/image/725136000567/image_tphfgd3acd2a7foqknlmab2b6g/-S150x150-FJPG/100061-007_PRM_1.jpg</t>
  </si>
  <si>
    <t>https://dd3ka9h4chfr8.cloudfront.net/image/725136000567/image_h24ri2cc6h4u39i85et9c75364/-FJPG/100061-007_FRT_1.jpg</t>
  </si>
  <si>
    <t>https://dd3ka9h4chfr8.cloudfront.net/image/725136000567/image_tphfgd3acd2a7foqknlmab2b6g/-FJPG/100061-007_PRM_1.jpg</t>
  </si>
  <si>
    <t>https://dd3ka9h4chfr8.cloudfront.net/image/725136000567/image_tacimlvpqd6v76sutdkt3mkv77/-FJPG/100061-007_SID_1.jpg</t>
  </si>
  <si>
    <t>https://dd3ka9h4chfr8.cloudfront.net/image/725136000567/image_7rgmharnk13n31mhjohs8bpm7o/-FJPG/100061-007_ESS_1.jpg</t>
  </si>
  <si>
    <t>https://dd3ka9h4chfr8.cloudfront.net/image/725136000567/image_eosu4r4gs5317725hg7qaksq14/-FJPG/100061-007_DET_2.jpg</t>
  </si>
  <si>
    <t>https://dd3ka9h4chfr8.cloudfront.net/image/725136000567/image_8anm5h4m095h1258ci5rn3oc57/-FJPG/100061-007_BCK_1.jpg</t>
  </si>
  <si>
    <t>https://dd3ka9h4chfr8.cloudfront.net/image/725136000567/image_sll36nijch4abcbgt5dq2n092q/-FJPG/Color Variance Card_Palermo Cognac.jpg</t>
  </si>
  <si>
    <t>https://dd3ka9h4chfr8.cloudfront.net/image/725136000567/image_ls1ovundit5jd5h796rv1epe2r/-FJPG/100061-007_DET_1.jpg</t>
  </si>
  <si>
    <t>https://dd3ka9h4chfr8.cloudfront.net/image/725136000567/image_749mcj59op4a97660joco2bk08/-FJPG/100061-007_DET_3.jpg</t>
  </si>
  <si>
    <t>https://dd3ka9h4chfr8.cloudfront.net/image/725136000567/image_aeakh293q16bh98bgqq05urb7c/-FJPG/100061-007_DET_4.jpg</t>
  </si>
  <si>
    <t>https://dd3ka9h4chfr8.cloudfront.net/image/725136000567/image_kgecjua4rd02138sjl3eqp5k0m/-FJPG/100061-007_PRM_2.jpg</t>
  </si>
  <si>
    <t>A</t>
  </si>
  <si>
    <t>29.00"</t>
  </si>
  <si>
    <t>6.25"</t>
  </si>
  <si>
    <t>36.50"</t>
  </si>
  <si>
    <t>20.50"</t>
  </si>
  <si>
    <t>62.25"</t>
  </si>
  <si>
    <t>With Arm</t>
  </si>
  <si>
    <t>X (Vacuum or light brush, no cleaning products)</t>
  </si>
  <si>
    <t>S-Spring</t>
  </si>
  <si>
    <t>Reese</t>
  </si>
  <si>
    <t>27.25"</t>
  </si>
  <si>
    <t>8.75"</t>
  </si>
  <si>
    <t>35.00"</t>
  </si>
  <si>
    <t>20.75"</t>
  </si>
  <si>
    <t>9.75"</t>
  </si>
  <si>
    <t>5.00"</t>
  </si>
  <si>
    <t>2.25"</t>
  </si>
  <si>
    <t>8.00"</t>
  </si>
  <si>
    <t>18.00"</t>
  </si>
  <si>
    <t>6.00"</t>
  </si>
  <si>
    <t>27.00"</t>
  </si>
  <si>
    <t>68.00"</t>
  </si>
  <si>
    <t>14.25"</t>
  </si>
  <si>
    <t>Knife Edge</t>
  </si>
  <si>
    <t>70% Polyurethane Foam Pad, 20% Polyester Fiber Batting, 10% Waterfowl Feather</t>
  </si>
  <si>
    <t>100091-002</t>
  </si>
  <si>
    <t>Inez End Table - Black Pine</t>
  </si>
  <si>
    <t>Bishop</t>
  </si>
  <si>
    <t>Side &amp; End Tables</t>
  </si>
  <si>
    <t>Black Pine</t>
  </si>
  <si>
    <t>Solid Pine</t>
  </si>
  <si>
    <t>Elemental and organic, a drum-style end table offers a stacked silhouette of solid black-finished pine. Woods' oyster cutting is preserved for natural, dramatic effect. Due to materials' natural essence, cracks are to be expected and may develop over time. Knots, color variance and stain will vary from piece to piece â€“ no two are alike.</t>
  </si>
  <si>
    <t>https://dd3ka9h4chfr8.cloudfront.net/image/725136000567/image_ac65mt2ckp7vlcptim72sjam2p/-S150x150-FJPG/100091-002_PRM_1.JPG</t>
  </si>
  <si>
    <t>https://dd3ka9h4chfr8.cloudfront.net/image/725136000567/image_ac65mt2ckp7vlcptim72sjam2p/-FJPG/100091-002_PRM_1.JPG</t>
  </si>
  <si>
    <t>https://dd3ka9h4chfr8.cloudfront.net/image/725136000567/image_fv7ppnm8a940j32eanhscutq2a/-FJPG/100091-002_ESS.tif</t>
  </si>
  <si>
    <t>https://dd3ka9h4chfr8.cloudfront.net/image/725136000567/image_9674utk32t4hd535qi9itige45/-FJPG/100091-002_DET_2.JPG</t>
  </si>
  <si>
    <t>https://dd3ka9h4chfr8.cloudfront.net/image/725136000567/image_g3i6jr1nbt7vd6qm16706rfl47/-FJPG/100091-002_DET_1.JPG</t>
  </si>
  <si>
    <t>https://dd3ka9h4chfr8.cloudfront.net/image/725136000567/image_k8r74atvsp0m1ftu3pa1aq5q09/-FJPG/100091-002_DET_3.JPG</t>
  </si>
  <si>
    <t>https://dd3ka9h4chfr8.cloudfront.net/image/725136000567/image_d6tltlhg8t5310j8aug1pkp42d/-FJPG/100091-002_DET_9.tif</t>
  </si>
  <si>
    <t>https://dd3ka9h4chfr8.cloudfront.net/image/725136000567/image_aptgd4akal44f55j82o2h94j5p/-FJPG/100091-002_VIG_1.jpg</t>
  </si>
  <si>
    <t>Round</t>
  </si>
  <si>
    <t>Inez</t>
  </si>
  <si>
    <t>100 lb</t>
  </si>
  <si>
    <t>16.00"</t>
  </si>
  <si>
    <t>2.50"</t>
  </si>
  <si>
    <t>100091-003</t>
  </si>
  <si>
    <t>Inez End Table - Natural Pine</t>
  </si>
  <si>
    <t>Natural Pine</t>
  </si>
  <si>
    <t>Elemental and organic, a drum-style end table offers a stacked silhouette of solid black-finished pine. Woods' oyster cutting is preserved for natural, dramatic effect. Due to materials' natural essence, cracks are to be expected and may develop over time. Knots, color variance and stain will vary from piece to piece - no two are alike.</t>
  </si>
  <si>
    <t>https://dd3ka9h4chfr8.cloudfront.net/image/725136000567/image_d7ioi49q3p6ubau0rvl2f23q5s/-S150x150-FJPG/100091-003_PRM_1.jpg</t>
  </si>
  <si>
    <t>https://dd3ka9h4chfr8.cloudfront.net/image/725136000567/image_d7ioi49q3p6ubau0rvl2f23q5s/-FJPG/100091-003_PRM_1.jpg</t>
  </si>
  <si>
    <t>https://dd3ka9h4chfr8.cloudfront.net/image/725136000567/image_nh5at54tkl23jf72oh8d4tco0m/-FJPG/100091-003_DET_2.jpg</t>
  </si>
  <si>
    <t>https://dd3ka9h4chfr8.cloudfront.net/image/725136000567/image_4b9e526stl2jv186m693v08i7k/-FJPG/100091-003_DET_1.jpg</t>
  </si>
  <si>
    <t>https://dd3ka9h4chfr8.cloudfront.net/image/725136000567/image_b19o8kt2jp18d3f9pue7ajj702/-FJPG/100091-003_DET_3.jpg</t>
  </si>
  <si>
    <t>https://dd3ka9h4chfr8.cloudfront.net/image/725136000567/image_irv48nkgbd71980dqflvtel90s/-FJPG/100091-003_TOP_1.jpg</t>
  </si>
  <si>
    <t>https://dd3ka9h4chfr8.cloudfront.net/image/725136000567/image_ept11mbsfh4n74p91rsk8qt525/-FJPG/100091-003_DET_4.jpg</t>
  </si>
  <si>
    <t>https://dd3ka9h4chfr8.cloudfront.net/image/725136000567/image_nlinnu0qdd78n8t5qfj3ocjg2e/-FJPG/100091-003_DET_5.jpg</t>
  </si>
  <si>
    <t>https://dd3ka9h4chfr8.cloudfront.net/image/725136000567/image_eq8edvq1d514959vkto9k9994i/-FJPG/100091-003_DET_6.jpg</t>
  </si>
  <si>
    <t>https://dd3ka9h4chfr8.cloudfront.net/image/725136000567/image_84o75t4i1d4lb958sfrl5tg20u/-FJPG/100091-003_DET_7.jpg</t>
  </si>
  <si>
    <t>https://dd3ka9h4chfr8.cloudfront.net/image/725136000567/image_93kkv54s1t4b77en1e0jmagp0p/-FJPG/100091-003_DET_8.jpg</t>
  </si>
  <si>
    <t>https://dd3ka9h4chfr8.cloudfront.net/image/725136000567/image_4uumir1phh265dudaigqgh9k54/-FJPG/100091-003_DET_9.jpg</t>
  </si>
  <si>
    <t>https://dd3ka9h4chfr8.cloudfront.net/image/725136000567/image_hpc1l35aep7utdr49frl2bla31/-FJPG/100091-003_ROM_1.jpg</t>
  </si>
  <si>
    <t>https://dd3ka9h4chfr8.cloudfront.net/image/725136000567/image_nqpnsbh8td7u10np77vmj8kb7f/-FJPG/100091-003_ROM_2.jpg</t>
  </si>
  <si>
    <t>https://dd3ka9h4chfr8.cloudfront.net/image/725136000567/image_8221s28de157h9nbnvragm5d2a/-FJPG/100091-003_VIG_1.jpg</t>
  </si>
  <si>
    <t>B</t>
  </si>
  <si>
    <t>100093-002</t>
  </si>
  <si>
    <t>Aliza End Table - Black Pine</t>
  </si>
  <si>
    <t>Solid black-finished pine sculpts an hourglass silhouette for an organic look with shapely allure. Makes for a handy extra surface solo or paired. Due to materials' natural essence, cracks are to be expected and may develop over time. Knots, color variance and stain will vary from piece to piece - no two are alike.</t>
  </si>
  <si>
    <t>https://dd3ka9h4chfr8.cloudfront.net/image/725136000567/image_bpe8ijc8cd22relve2801pnq51/-S150x150-FJPG/100093-002_PRM_1.jpg</t>
  </si>
  <si>
    <t>https://dd3ka9h4chfr8.cloudfront.net/image/725136000567/image_bpe8ijc8cd22relve2801pnq51/-FJPG/100093-002_PRM_1.jpg</t>
  </si>
  <si>
    <t>https://dd3ka9h4chfr8.cloudfront.net/image/725136000567/image_l3trl7ke7h4hr1vqnfbg11h90a/-FJPG/100093-002_ESS.jpg</t>
  </si>
  <si>
    <t>https://dd3ka9h4chfr8.cloudfront.net/image/725136000567/image_h77huoaknp38jcj7ggrdjvm41k/-FJPG/Color Variance Card_Pagoda.jpg</t>
  </si>
  <si>
    <t>https://dd3ka9h4chfr8.cloudfront.net/image/725136000567/image_r1h99og3r91av7ei255vlspe7t/-FJPG/100093-002_DET_1.jpg</t>
  </si>
  <si>
    <t>https://dd3ka9h4chfr8.cloudfront.net/image/725136000567/image_6jug6980ah3ofd6qr7750efe6k/-FJPG/100093-002_DET_3.jpg</t>
  </si>
  <si>
    <t>https://dd3ka9h4chfr8.cloudfront.net/image/725136000567/image_rqv51ivar93qffiprdngoal50k/-FJPG/100093-002_DET_4.jpg</t>
  </si>
  <si>
    <t>https://dd3ka9h4chfr8.cloudfront.net/image/725136000567/image_9hmd5a8d7h0hf6e2hm6gcedf1a/-FJPG/100093-002_DET_5.jpg</t>
  </si>
  <si>
    <t>https://dd3ka9h4chfr8.cloudfront.net/image/725136000567/image_mvvrlgfipt3u58hui9q2mhaf1e/-FJPG/100093-002_ROM_1.jpg</t>
  </si>
  <si>
    <t>https://dd3ka9h4chfr8.cloudfront.net/image/725136000567/image_04k6am5a297d77452olcnh7v7v/-FJPG/100093-002_VIG_1.jpg</t>
  </si>
  <si>
    <t>Aliza</t>
  </si>
  <si>
    <t>15.50"</t>
  </si>
  <si>
    <t>17.00"</t>
  </si>
  <si>
    <t>100117-004</t>
  </si>
  <si>
    <t>Williams Leather Chair - Natural Washed Camel</t>
  </si>
  <si>
    <t>Carnegie</t>
  </si>
  <si>
    <t>Chairs</t>
  </si>
  <si>
    <t>Accent Chairs</t>
  </si>
  <si>
    <t>Natural Washed Camel</t>
  </si>
  <si>
    <t>Weathered Ash</t>
  </si>
  <si>
    <t>Solid Ash</t>
  </si>
  <si>
    <t>Tufted and well-tailored. Squared shelter arms and a low profile deliver a dose of mid-century flair to top-grain leather seating in a natural-washed camel.</t>
  </si>
  <si>
    <t>https://dd3ka9h4chfr8.cloudfront.net/image/725136000567/image_prkfij18g57a54bkgq8p3bss14/-S150x150-FJPG/100117-004_PRM_1.jpg</t>
  </si>
  <si>
    <t>https://dd3ka9h4chfr8.cloudfront.net/image/725136000567/image_vsk28oao7t4o55e58qlr8c3g3b/-FJPG/100117-004_FRT_1.jpg</t>
  </si>
  <si>
    <t>https://dd3ka9h4chfr8.cloudfront.net/image/725136000567/image_prkfij18g57a54bkgq8p3bss14/-FJPG/100117-004_PRM_1.jpg</t>
  </si>
  <si>
    <t>https://dd3ka9h4chfr8.cloudfront.net/image/725136000567/image_akpibf1rr16pd8d2gepplkes3q/-FJPG/100117-004_SID_1.jpg</t>
  </si>
  <si>
    <t>https://dd3ka9h4chfr8.cloudfront.net/image/725136000567/image_0ikic39k1p2s999uqdhrrjcd4c/-FJPG/100117-004_DET_2.jpg</t>
  </si>
  <si>
    <t>https://dd3ka9h4chfr8.cloudfront.net/image/725136000567/image_e7rha0shk905167q2lloup9m35/-FJPG/100117-004_BCK_1.jpg</t>
  </si>
  <si>
    <t>https://dd3ka9h4chfr8.cloudfront.net/image/725136000567/image_83tfj1rv255bd2hsjtph40q404/-FJPG/100117-004_DET_1.jpg</t>
  </si>
  <si>
    <t>https://dd3ka9h4chfr8.cloudfront.net/image/725136000567/image_fkv4va2st14dj0ddme9uogf75i/-FJPG/100117-004_DET_3.jpg</t>
  </si>
  <si>
    <t>https://dd3ka9h4chfr8.cloudfront.net/image/725136000567/image_o75b9dgvu51vl0u2oo3ud2fv7t/-FJPG/100117-004_DET_4.jpg</t>
  </si>
  <si>
    <t>https://dd3ka9h4chfr8.cloudfront.net/image/725136000567/image_550g5svr412j32bnjs8g95k00h/-FJPG/100117-004_DET_5.jpg</t>
  </si>
  <si>
    <t>https://dd3ka9h4chfr8.cloudfront.net/image/725136000567/image_csq45tc18h30787prfsgvgef53/-FJPG/100117-004_DET_6.jpg</t>
  </si>
  <si>
    <t>https://dd3ka9h4chfr8.cloudfront.net/image/725136000567/image_b0kbljscpd4cd7qqu3pkhgmc2f/-FJPG/100117-004_DET_7.jpg</t>
  </si>
  <si>
    <t>https://dd3ka9h4chfr8.cloudfront.net/image/725136000567/image_lkb0uq9o9l4ft0f7e4dhao3b6t/-FJPG/100117-004_DET_8.jpg</t>
  </si>
  <si>
    <t>24.41"</t>
  </si>
  <si>
    <t>16.93"</t>
  </si>
  <si>
    <t>23.82"</t>
  </si>
  <si>
    <t>Williams</t>
  </si>
  <si>
    <t>250 lb</t>
  </si>
  <si>
    <t>27.95"</t>
  </si>
  <si>
    <t>11.81"</t>
  </si>
  <si>
    <t>35.04"</t>
  </si>
  <si>
    <t>4.92"</t>
  </si>
  <si>
    <t>6.89"</t>
  </si>
  <si>
    <t>28.35"</t>
  </si>
  <si>
    <t>27.17"</t>
  </si>
  <si>
    <t>12.99"</t>
  </si>
  <si>
    <t>79% Polyurethane Foam Pad, 21% Polyester Fiber Batting</t>
  </si>
  <si>
    <t>23.62"</t>
  </si>
  <si>
    <t>Tufted</t>
  </si>
  <si>
    <t>100129-002</t>
  </si>
  <si>
    <t>Abbott Club Chair - Cigar</t>
  </si>
  <si>
    <t>Cigar</t>
  </si>
  <si>
    <t>Antique Oak</t>
  </si>
  <si>
    <t>Antique Brass Nailhead</t>
  </si>
  <si>
    <t>Iron</t>
  </si>
  <si>
    <t>A staunchly traditional, English library-style club chair features perfectly distressed top-grain leather, with tufting for texture and brass nailhead trim for a modern touch.</t>
  </si>
  <si>
    <t>https://dd3ka9h4chfr8.cloudfront.net/image/725136000567/image_j28b52tl5l1up0nggifnan3h04/-S150x150-FJPG/100129-002_PRM_1.jpg</t>
  </si>
  <si>
    <t>https://dd3ka9h4chfr8.cloudfront.net/image/725136000567/image_j2grvr1imh1356r9dd22apai2g/-FJPG/100129-002_FRT_1.jpg</t>
  </si>
  <si>
    <t>https://dd3ka9h4chfr8.cloudfront.net/image/725136000567/image_j28b52tl5l1up0nggifnan3h04/-FJPG/100129-002_PRM_1.jpg</t>
  </si>
  <si>
    <t>https://dd3ka9h4chfr8.cloudfront.net/image/725136000567/image_uhq00tnm415ll9pa4nnrb65071/-FJPG/100129-002_SID_1.jpg</t>
  </si>
  <si>
    <t>https://dd3ka9h4chfr8.cloudfront.net/image/725136000567/image_01ecth6pdd21f11r8sb1ne8p1u/-FJPG/100129-002_ESS_1.jpg</t>
  </si>
  <si>
    <t>https://dd3ka9h4chfr8.cloudfront.net/image/725136000567/image_ngvhv6pjqt4kj9ea0079895l49/-FJPG/100129-002_DET_2.jpg</t>
  </si>
  <si>
    <t>https://dd3ka9h4chfr8.cloudfront.net/image/725136000567/image_9eeaoi0nep7t56f4ti7s4kkm6v/-FJPG/100129-002_BCK_1.jpg</t>
  </si>
  <si>
    <t>https://dd3ka9h4chfr8.cloudfront.net/image/725136000567/image_s1de5pi2p91dl4novalip8lu3i/-FJPG/100129-002_DET_1.jpg</t>
  </si>
  <si>
    <t>https://dd3ka9h4chfr8.cloudfront.net/image/725136000567/image_m1skhtqbdd3mp41gkthetqmr34/-FJPG/100129-002_DET_3.jpg</t>
  </si>
  <si>
    <t>7.87"</t>
  </si>
  <si>
    <t>23.23"</t>
  </si>
  <si>
    <t>18.11"</t>
  </si>
  <si>
    <t>85% Polyurethane Foam Pad, 15% Polyester Fiber Batting</t>
  </si>
  <si>
    <t>Webbing</t>
  </si>
  <si>
    <t>Abbott</t>
  </si>
  <si>
    <t>28.15"</t>
  </si>
  <si>
    <t>10.04"</t>
  </si>
  <si>
    <t>34.25"</t>
  </si>
  <si>
    <t>7.09"</t>
  </si>
  <si>
    <t>4.72"</t>
  </si>
  <si>
    <t>25.51"</t>
  </si>
  <si>
    <t>31.50"</t>
  </si>
  <si>
    <t>100% Polyurethane Foam Pad</t>
  </si>
  <si>
    <t>Nailhead</t>
  </si>
  <si>
    <t>100198-003</t>
  </si>
  <si>
    <t>Dash Chair - Palermo Drift</t>
  </si>
  <si>
    <t>Grayson</t>
  </si>
  <si>
    <t>Palermo Drift</t>
  </si>
  <si>
    <t>Distressed Natural</t>
  </si>
  <si>
    <t>Simple, streamlined beauty from all angles. Pecan-finished birch wood cleanly cradles top-grain leather, for a sophisticated look with monochromatic allure.</t>
  </si>
  <si>
    <t>https://dd3ka9h4chfr8.cloudfront.net/image/725136000567/image_8gssv7uvih2ah7edoj448i426q/-S150x150-FJPG/100198-003_PRM_1.jpg</t>
  </si>
  <si>
    <t>https://dd3ka9h4chfr8.cloudfront.net/image/725136000567/image_9e3kmaftoh577417dtke7u4o35/-FJPG/100198-003_FRT_1.jpg</t>
  </si>
  <si>
    <t>https://dd3ka9h4chfr8.cloudfront.net/image/725136000567/image_8gssv7uvih2ah7edoj448i426q/-FJPG/100198-003_PRM_1.jpg</t>
  </si>
  <si>
    <t>https://dd3ka9h4chfr8.cloudfront.net/image/725136000567/image_acjis3qd9h5ivdjln4ihm6ko6c/-FJPG/100198-003_SID_1.jpg</t>
  </si>
  <si>
    <t>https://dd3ka9h4chfr8.cloudfront.net/image/725136000567/image_5ug4skp33p343b2iqds9cit45i/-FJPG/100198-003_ESS_1.jpg</t>
  </si>
  <si>
    <t>https://dd3ka9h4chfr8.cloudfront.net/image/725136000567/image_lg2iadk53l06n8r73jb0cqfu21/-FJPG/100198-003_DET_2.jpg</t>
  </si>
  <si>
    <t>https://dd3ka9h4chfr8.cloudfront.net/image/725136000567/image_rjmhc8rvbl0qn3nl0lj2nsjo1c/-FJPG/100198-003_BCK_1.jpg</t>
  </si>
  <si>
    <t>https://dd3ka9h4chfr8.cloudfront.net/image/725136000567/image_aojg2is0e16j187tmtmkji9j05/-FJPG/100198-003_DET_1.jpg</t>
  </si>
  <si>
    <t>https://dd3ka9h4chfr8.cloudfront.net/image/725136000567/image_0hbb479jfp7dn6ka1vf370rj69/-FJPG/100198-003_DET_3.jpg</t>
  </si>
  <si>
    <t>https://dd3ka9h4chfr8.cloudfront.net/image/725136000567/image_s1ms18b6052kl1vc7saads9p0e/-FJPG/100198-003_DET_4.jpg</t>
  </si>
  <si>
    <t>https://dd3ka9h4chfr8.cloudfront.net/image/725136000567/image_lgk4h88kat55nfk74ob1012l56/-FJPG/100198-003_DET_5.jpg</t>
  </si>
  <si>
    <t>https://dd3ka9h4chfr8.cloudfront.net/image/725136000567/image_td1jvul8rt2dj9ob6e4toa5o7a/-FJPG/100198-003_DET_6.jpg</t>
  </si>
  <si>
    <t>https://dd3ka9h4chfr8.cloudfront.net/image/725136000567/image_ctbibiavjl27n88mruet6l8t0c/-FJPG/100198-003_DET_7.jpg</t>
  </si>
  <si>
    <t>24.00"</t>
  </si>
  <si>
    <t>22.00"</t>
  </si>
  <si>
    <t>20.00"</t>
  </si>
  <si>
    <t>23.50"</t>
  </si>
  <si>
    <t>50% Waterfowl Feather, 30% Polyurethane Foam Pad, 20% Polyester Fiber Batting</t>
  </si>
  <si>
    <t>Dash</t>
  </si>
  <si>
    <t>26.75"</t>
  </si>
  <si>
    <t>6.75"</t>
  </si>
  <si>
    <t>35.50"</t>
  </si>
  <si>
    <t>28.00"</t>
  </si>
  <si>
    <t>7.50"</t>
  </si>
  <si>
    <t>26.25"</t>
  </si>
  <si>
    <t>28.75"</t>
  </si>
  <si>
    <t>13.00"</t>
  </si>
  <si>
    <t>60% Waterfowl Feather, 40% Polyester Fiber</t>
  </si>
  <si>
    <t>80% Polyurethane Foam Pad, 20% Polyester Fiber Batting</t>
  </si>
  <si>
    <t>100239-006</t>
  </si>
  <si>
    <t>Augustine Sofa - Dover Crescent</t>
  </si>
  <si>
    <t>Dover Crescent</t>
  </si>
  <si>
    <t>71% Viscose (Rayon)</t>
  </si>
  <si>
    <t>17% Polyester</t>
  </si>
  <si>
    <t>12% Flax/Linen</t>
  </si>
  <si>
    <t>A dramatically channeled sofa with dover crescent linen-blend upholstery offers a crisp, clean look and sumptuous sit. Performance fabrics are specially created to withstand spills, stains, high traffic and wear, ensuring long-term comfort and unmatched durability.</t>
  </si>
  <si>
    <t>https://dd3ka9h4chfr8.cloudfront.net/image/725136000567/image_qk6bjj3u2h26jcf6i1fd37vk3r/-S150x150-FJPG/100239-006_PRM_1.jpg</t>
  </si>
  <si>
    <t>https://dd3ka9h4chfr8.cloudfront.net/image/725136000567/image_1vfir603c50rddga9as68pm12r/-FJPG/100239-006_FRT_1.jpg</t>
  </si>
  <si>
    <t>https://dd3ka9h4chfr8.cloudfront.net/image/725136000567/image_qk6bjj3u2h26jcf6i1fd37vk3r/-FJPG/100239-006_PRM_1.jpg</t>
  </si>
  <si>
    <t>https://dd3ka9h4chfr8.cloudfront.net/image/725136000567/image_jm6rfqlpl54oh7i0jl9j1sp92i/-FJPG/100239-006_SID_1.jpg</t>
  </si>
  <si>
    <t>https://dd3ka9h4chfr8.cloudfront.net/image/725136000567/image_ki0efvrpi54m7fivioslr54d0f/-FJPG/100239-006_ESS_1.jpg</t>
  </si>
  <si>
    <t>https://dd3ka9h4chfr8.cloudfront.net/image/725136000567/image_20ihkfedfp0gpa16ndngn5k97n/-FJPG/100239-006_BCK_1.jpg</t>
  </si>
  <si>
    <t>https://dd3ka9h4chfr8.cloudfront.net/image/725136000567/image_jd418mf07h32p4lae3t9a0ko1u/-FJPG/100239-006_INF_1.jpg</t>
  </si>
  <si>
    <t>https://dd3ka9h4chfr8.cloudfront.net/image/725136000567/image_0glan268c158l9unmk8caqkc7t/-FJPG/100239-006_TOP_1.jpg</t>
  </si>
  <si>
    <t>S (Solvent-based)</t>
  </si>
  <si>
    <t>Fixed</t>
  </si>
  <si>
    <t>Augustine</t>
  </si>
  <si>
    <t>26.50"</t>
  </si>
  <si>
    <t>10.00"</t>
  </si>
  <si>
    <t>34.00"</t>
  </si>
  <si>
    <t>1.50"</t>
  </si>
  <si>
    <t>25.00"</t>
  </si>
  <si>
    <t>77.00"</t>
  </si>
  <si>
    <t>9.50"</t>
  </si>
  <si>
    <t>80% Polyurethane Foam, 20% Fiber</t>
  </si>
  <si>
    <t>76.00"</t>
  </si>
  <si>
    <t>Channeled</t>
  </si>
  <si>
    <t>100391-003</t>
  </si>
  <si>
    <t>Otto Dining Table - Waxed Pine</t>
  </si>
  <si>
    <t>Collins</t>
  </si>
  <si>
    <t>Dining &amp; Kitchen Tables</t>
  </si>
  <si>
    <t>Dining Tables</t>
  </si>
  <si>
    <t>Waxed Pine</t>
  </si>
  <si>
    <t>Honey Pine</t>
  </si>
  <si>
    <t>Bring a traditional sense to the table. Finished in a warm honey hue, a trestle-style base of solid pine supports a rectangular top of pine, waxed and bleached for a rustic look with natural depth. Mix in seating or pair with matching bench.</t>
  </si>
  <si>
    <t>https://dd3ka9h4chfr8.cloudfront.net/image/725136000567/image_75tuth8tqt4jh1j6cg423der76/-S150x150-FJPG/100391-003_PRM_1.jpg</t>
  </si>
  <si>
    <t>https://dd3ka9h4chfr8.cloudfront.net/image/725136000567/image_sehjt6l1nl68ra3mpc9orlml3m/-FJPG/100391-003_FRT_1.jpg</t>
  </si>
  <si>
    <t>https://dd3ka9h4chfr8.cloudfront.net/image/725136000567/image_75tuth8tqt4jh1j6cg423der76/-FJPG/100391-003_PRM_1.jpg</t>
  </si>
  <si>
    <t>https://dd3ka9h4chfr8.cloudfront.net/image/725136000567/image_8u51eth76t7it256irivcaeb63/-FJPG/100391-003_SID_1.jpg</t>
  </si>
  <si>
    <t>https://dd3ka9h4chfr8.cloudfront.net/image/725136000567/image_km8pjnsmvp23l9vsela6o1hp3l/-FJPG/100391-003_ESS_1.jpg</t>
  </si>
  <si>
    <t>https://dd3ka9h4chfr8.cloudfront.net/image/725136000567/image_u03qq8d4j112jacmd8945ki95j/-FJPG/100391-003_DET_2.jpg</t>
  </si>
  <si>
    <t>https://dd3ka9h4chfr8.cloudfront.net/image/725136000567/image_okcqshpaop6dp97dqv7i9pq461/-FJPG/100391-003_DET_1.jpg</t>
  </si>
  <si>
    <t>https://dd3ka9h4chfr8.cloudfront.net/image/725136000567/image_d1bq85ono53n715q96l5d7c52v/-FJPG/100391-003_DET_3.jpg</t>
  </si>
  <si>
    <t>https://dd3ka9h4chfr8.cloudfront.net/image/725136000567/image_92ghlunt3p2179tjudcc11tb1j/-FJPG/100391-003_GRP_1.jpg</t>
  </si>
  <si>
    <t>https://dd3ka9h4chfr8.cloudfront.net/image/725136000567/image_digct5ag391mfc56f0r5te6u2v/-FJPG/100391-003_DET_4.jpg</t>
  </si>
  <si>
    <t>https://dd3ka9h4chfr8.cloudfront.net/image/725136000567/image_srj5f9prvh60j47tt2fo7d4325/-FJPG/100391-003_DET_5.jpg</t>
  </si>
  <si>
    <t>https://dd3ka9h4chfr8.cloudfront.net/image/725136000567/image_627ehn9a7h3i7eaamugdpip207/-FJPG/100391-003_DET_6.jpg</t>
  </si>
  <si>
    <t>https://dd3ka9h4chfr8.cloudfront.net/image/725136000567/image_as8jj1fs8t5bh8et6fcf5aa83u/-FJPG/100391-003_DET_7.jpg</t>
  </si>
  <si>
    <t>Vietnam</t>
  </si>
  <si>
    <t>Onediningtable</t>
  </si>
  <si>
    <t>Mortise and Tenon</t>
  </si>
  <si>
    <t>Otto</t>
  </si>
  <si>
    <t>200 lb</t>
  </si>
  <si>
    <t>27.91"</t>
  </si>
  <si>
    <t>58.58"</t>
  </si>
  <si>
    <t>31.34"</t>
  </si>
  <si>
    <t>64.57"</t>
  </si>
  <si>
    <t>2.01"</t>
  </si>
  <si>
    <t>2.99"</t>
  </si>
  <si>
    <t>11.02"</t>
  </si>
  <si>
    <t>Trestle</t>
  </si>
  <si>
    <t>100391-005</t>
  </si>
  <si>
    <t>Otto Dining Table - Black Pine</t>
  </si>
  <si>
    <t>Bring a traditional sense to the table. Finished in a classic black, a trestle-style base of solid pine supports a rectangular pine top, for a subtly rustic look with natural depth.</t>
  </si>
  <si>
    <t>https://dd3ka9h4chfr8.cloudfront.net/image/725136000567/image_sso23qhg1t0rh7sr5a73ke812q/-S150x150-FJPG/100391-005_PRM_1.jpg</t>
  </si>
  <si>
    <t>https://dd3ka9h4chfr8.cloudfront.net/image/725136000567/image_673gpmcb3l60bd7pfi7mlhhl25/-FJPG/100391-005_FRT_1.jpg</t>
  </si>
  <si>
    <t>https://dd3ka9h4chfr8.cloudfront.net/image/725136000567/image_sso23qhg1t0rh7sr5a73ke812q/-FJPG/100391-005_PRM_1.jpg</t>
  </si>
  <si>
    <t>https://dd3ka9h4chfr8.cloudfront.net/image/725136000567/image_8to3cfr04h77r4il7epeeput1h/-FJPG/100391-005_SID_1.jpg</t>
  </si>
  <si>
    <t>https://dd3ka9h4chfr8.cloudfront.net/image/725136000567/image_n9tk9u25k54plahsi4jbgfb70c/-FJPG/100391-005_DET_2.jpg</t>
  </si>
  <si>
    <t>https://dd3ka9h4chfr8.cloudfront.net/image/725136000567/image_641p4jo31t20dech0tg73ot251/-FJPG/100391-005_DET_1.jpg</t>
  </si>
  <si>
    <t>https://dd3ka9h4chfr8.cloudfront.net/image/725136000567/image_3em03pen393efa77hu52i8l450/-FJPG/100391-005_DET_3.jpg</t>
  </si>
  <si>
    <t>https://dd3ka9h4chfr8.cloudfront.net/image/725136000567/image_8qnvlo0fmp1dvc70bk4r8bhq07/-FJPG/100391-005_DET_4.jpg</t>
  </si>
  <si>
    <t>https://dd3ka9h4chfr8.cloudfront.net/image/725136000567/image_drg6ju7ijt2v16c9r4uk7u2r4p/-FJPG/100391-005_DET_5.jpg</t>
  </si>
  <si>
    <t>https://dd3ka9h4chfr8.cloudfront.net/image/725136000567/image_k3ts3vbt811f51dstosabdoc1e/-FJPG/100391-005_DET_6.jpg</t>
  </si>
  <si>
    <t>https://dd3ka9h4chfr8.cloudfront.net/image/725136000567/image_rnnn4ki8fp3rbds1g5q5d4m50b/-FJPG/100391-005_DET_7.jpg</t>
  </si>
  <si>
    <t>100393-003</t>
  </si>
  <si>
    <t>https://dd3ka9h4chfr8.cloudfront.net/image/725136000567/image_9bn4i0s7l13opbhfcc06s2e73u/-S150x150-FJPG/100393-003_PRM_1.jpg</t>
  </si>
  <si>
    <t>https://dd3ka9h4chfr8.cloudfront.net/image/725136000567/image_ldks37u45t69nb9eht1cfpc54m/-FJPG/100393-003_FRT_1.jpg</t>
  </si>
  <si>
    <t>https://dd3ka9h4chfr8.cloudfront.net/image/725136000567/image_9bn4i0s7l13opbhfcc06s2e73u/-FJPG/100393-003_PRM_1.jpg</t>
  </si>
  <si>
    <t>https://dd3ka9h4chfr8.cloudfront.net/image/725136000567/image_k40q9vtbvh42d9aiukua1u407i/-FJPG/100393-003_SID_1.jpg</t>
  </si>
  <si>
    <t>https://dd3ka9h4chfr8.cloudfront.net/image/725136000567/image_6c56n119792sb7n8brnm9t7v3q/-FJPG/100393-003_ESS_1.jpg</t>
  </si>
  <si>
    <t>https://dd3ka9h4chfr8.cloudfront.net/image/725136000567/image_16513ua60h76r3lrt175l4t61k/-FJPG/100393-003_DET_2.jpg</t>
  </si>
  <si>
    <t>https://dd3ka9h4chfr8.cloudfront.net/image/725136000567/image_qfod361st90th2nvk4mkge6j0t/-FJPG/100393-003_DET_1.jpg</t>
  </si>
  <si>
    <t>https://dd3ka9h4chfr8.cloudfront.net/image/725136000567/image_tcjt7s9tid5odb8c0uogv3at74/-FJPG/100393-003_DET_3.jpg</t>
  </si>
  <si>
    <t>https://dd3ka9h4chfr8.cloudfront.net/image/725136000567/image_kqoc2q2o3d5en3t7sj6elqer66/-FJPG/100393-003_DET_4.jpg</t>
  </si>
  <si>
    <t>https://dd3ka9h4chfr8.cloudfront.net/image/725136000567/image_vg0379ht7d4j912uhtcug5k91l/-FJPG/100393-003_DET_5.jpg</t>
  </si>
  <si>
    <t>https://dd3ka9h4chfr8.cloudfront.net/image/725136000567/image_kuisnv969p399cfv2o9u0sr977/-FJPG/100393-003_DET_6.jpg</t>
  </si>
  <si>
    <t>https://dd3ka9h4chfr8.cloudfront.net/image/725136000567/image_6p9ed50usp1ipa1scvh0simn7s/-FJPG/100393-003_DET_7.jpg</t>
  </si>
  <si>
    <t>81.97"</t>
  </si>
  <si>
    <t>87.95"</t>
  </si>
  <si>
    <t>100393-005</t>
  </si>
  <si>
    <t>Bring a traditional sense to the table. Finished in a classic black, a trestle-style base of solid pine supports a rectangular pine top, for a subtly rustic look with plenty of space to gather.</t>
  </si>
  <si>
    <t>https://dd3ka9h4chfr8.cloudfront.net/image/725136000567/image_jdurglcc014kv9mc5vtr37qn23/-S150x150-FJPG/100393-005_PRM_1.jpg</t>
  </si>
  <si>
    <t>https://dd3ka9h4chfr8.cloudfront.net/image/725136000567/image_aupuum69o95u910csf6ns68c0d/-FJPG/100393-005_FRT_1.jpg</t>
  </si>
  <si>
    <t>https://dd3ka9h4chfr8.cloudfront.net/image/725136000567/image_jdurglcc014kv9mc5vtr37qn23/-FJPG/100393-005_PRM_1.jpg</t>
  </si>
  <si>
    <t>https://dd3ka9h4chfr8.cloudfront.net/image/725136000567/image_kfke1soqup2or837opi2vsck55/-FJPG/100393-005_SID_1.jpg</t>
  </si>
  <si>
    <t>https://dd3ka9h4chfr8.cloudfront.net/image/725136000567/image_7ltovkau1h7fj7jt0fjnmpd73i/-FJPG/100393-005_DET_2.jpg</t>
  </si>
  <si>
    <t>https://dd3ka9h4chfr8.cloudfront.net/image/725136000567/image_ilj722ihkp02j4b350umsgga22/-FJPG/100393-005_DET_1.jpg</t>
  </si>
  <si>
    <t>https://dd3ka9h4chfr8.cloudfront.net/image/725136000567/image_8g1uo03l991gta3ebdh904vk2d/-FJPG/100393-005_DET_3.jpg</t>
  </si>
  <si>
    <t>https://dd3ka9h4chfr8.cloudfront.net/image/725136000567/image_os0krp65a13bv4o8tvhcv0g531/-FJPG/100393-005_DET_4.jpg</t>
  </si>
  <si>
    <t>https://dd3ka9h4chfr8.cloudfront.net/image/725136000567/image_lr36nhmdut2g13mn5circjt650/-FJPG/100393-005_DET_5.jpg</t>
  </si>
  <si>
    <t>https://dd3ka9h4chfr8.cloudfront.net/image/725136000567/image_eo0gm3i4i13of63i5513r3k80f/-FJPG/100393-005_DET_6.jpg</t>
  </si>
  <si>
    <t>https://dd3ka9h4chfr8.cloudfront.net/image/725136000567/image_lpr5guig3l4b31vn0g5cdqgo54/-FJPG/100393-005_DET_7.jpg</t>
  </si>
  <si>
    <t>100637-002</t>
  </si>
  <si>
    <t>Ashland Armchair - Mongolia Cream Fur</t>
  </si>
  <si>
    <t>Irondale</t>
  </si>
  <si>
    <t>Mongolia Cream Fur</t>
  </si>
  <si>
    <t>Drifted Oak Solid</t>
  </si>
  <si>
    <t>Mongolia Fur</t>
  </si>
  <si>
    <t>The modern statement-maker. Sculpted arms of drifted oak emerge from shaggy, cream-colored seating of Mongolian fur.</t>
  </si>
  <si>
    <t>https://dd3ka9h4chfr8.cloudfront.net/image/725136000567/image_n511n8egul6h1aeeggp0ac462j/-S150x150-FJPG/100637-002_PRM_1.jpg</t>
  </si>
  <si>
    <t>https://dd3ka9h4chfr8.cloudfront.net/image/725136000567/image_aidtvpleil00lcnokgfukq2171/-FJPG/100637-002_FRT_1.jpg</t>
  </si>
  <si>
    <t>https://dd3ka9h4chfr8.cloudfront.net/image/725136000567/image_n511n8egul6h1aeeggp0ac462j/-FJPG/100637-002_PRM_1.jpg</t>
  </si>
  <si>
    <t>https://dd3ka9h4chfr8.cloudfront.net/image/725136000567/image_as3pku0u690rp79bpilb6i6e3j/-FJPG/100637-002_SID_1.jpg</t>
  </si>
  <si>
    <t>https://dd3ka9h4chfr8.cloudfront.net/image/725136000567/image_vs83jn8qi91pbcme4hepcbvm14/-FJPG/100637-002_DET_2.jpg</t>
  </si>
  <si>
    <t>https://dd3ka9h4chfr8.cloudfront.net/image/725136000567/image_c1a79ivdft5p71jc3o36obv337/-FJPG/100637-002_BCK_1.jpg</t>
  </si>
  <si>
    <t>https://dd3ka9h4chfr8.cloudfront.net/image/725136000567/image_3oreblha9l3rp1gt6a2b6i4h5v/-FJPG/100637-002_DET_1.jpg</t>
  </si>
  <si>
    <t>https://dd3ka9h4chfr8.cloudfront.net/image/725136000567/image_b397q37l9d0e5fgohpsmbo9e6v/-FJPG/100637-002_DET_3.jpg</t>
  </si>
  <si>
    <t>https://dd3ka9h4chfr8.cloudfront.net/image/725136000567/image_a4st6q1i3511d3ttsessnqcb17/-FJPG/100637-002_DET_4.jpg</t>
  </si>
  <si>
    <t>https://dd3ka9h4chfr8.cloudfront.net/image/725136000567/image_h7opf506g9093fgen35ac24m0j/-FJPG/100637-002_DET_5.jpg</t>
  </si>
  <si>
    <t>https://dd3ka9h4chfr8.cloudfront.net/image/725136000567/image_tp6d7dp0pp72542a22m9bon51h/-FJPG/100637-002_DET_6.jpg</t>
  </si>
  <si>
    <t>https://dd3ka9h4chfr8.cloudfront.net/image/725136000567/image_cuii0repe5007cg2rdbmhhbr7a/-FJPG/100637-002_ROM_1.jpg</t>
  </si>
  <si>
    <t>Complete Item, L Shape Box</t>
  </si>
  <si>
    <t>19.02"</t>
  </si>
  <si>
    <t>Ashland</t>
  </si>
  <si>
    <t>5.91"</t>
  </si>
  <si>
    <t>19.88"</t>
  </si>
  <si>
    <t>2.20"</t>
  </si>
  <si>
    <t>10.63"</t>
  </si>
  <si>
    <t>20.67"</t>
  </si>
  <si>
    <t>17.24"</t>
  </si>
  <si>
    <t>13.39"</t>
  </si>
  <si>
    <t>90% Polyurethane Foam Pad, 10% Polyester Fiber Batting</t>
  </si>
  <si>
    <t>20.87"</t>
  </si>
  <si>
    <t>100637-004</t>
  </si>
  <si>
    <t>Drifted Matte Black</t>
  </si>
  <si>
    <t>The modern statement-maker. Sculpted arms of drifted matte black oak emerge from shaggy, cream-colored seating of Mongolian fur.</t>
  </si>
  <si>
    <t>https://dd3ka9h4chfr8.cloudfront.net/image/725136000567/image_bvpnqptbgp15t0bi1kuf6hm02e/-S150x150-FJPG/100637-004_PRM_1.jpg</t>
  </si>
  <si>
    <t>https://dd3ka9h4chfr8.cloudfront.net/image/725136000567/image_amhuffe5rl4rv57ejmltmp7d0n/-FJPG/100637-004_FRT_1.jpg</t>
  </si>
  <si>
    <t>https://dd3ka9h4chfr8.cloudfront.net/image/725136000567/image_bvpnqptbgp15t0bi1kuf6hm02e/-FJPG/100637-004_PRM_1.jpg</t>
  </si>
  <si>
    <t>https://dd3ka9h4chfr8.cloudfront.net/image/725136000567/image_4k98n7s5657jv3ibftrqsfh30m/-FJPG/100637-004_SID_1.jpg</t>
  </si>
  <si>
    <t>https://dd3ka9h4chfr8.cloudfront.net/image/725136000567/image_5r874tcvnh0d595nrssecl8a72/-FJPG/100637-004_ESS_1.jpg</t>
  </si>
  <si>
    <t>https://dd3ka9h4chfr8.cloudfront.net/image/725136000567/image_mbc20r64ml2hjcidlll0q21p4p/-FJPG/100637-004_DET_2.jpg</t>
  </si>
  <si>
    <t>https://dd3ka9h4chfr8.cloudfront.net/image/725136000567/image_6qmehdnrt93b77qvskva2h9v11/-FJPG/100637-004_BCK_1.jpg</t>
  </si>
  <si>
    <t>https://dd3ka9h4chfr8.cloudfront.net/image/725136000567/image_brmf5jbpfp6sb855bg0jo7rq36/-FJPG/100637-004_DET_1.jpg</t>
  </si>
  <si>
    <t>https://dd3ka9h4chfr8.cloudfront.net/image/725136000567/image_som96dtde90rjeomri0duf523b/-FJPG/100637-004_DET_3.jpg</t>
  </si>
  <si>
    <t>https://dd3ka9h4chfr8.cloudfront.net/image/725136000567/image_m8prt21gl96kr6pa51o7p60437/-FJPG/100637-004_DET_4.jpg</t>
  </si>
  <si>
    <t>https://dd3ka9h4chfr8.cloudfront.net/image/725136000567/image_7ddnoisoi517ndpbco62m3id3r/-FJPG/100637-004_DET_5.jpg</t>
  </si>
  <si>
    <t>https://dd3ka9h4chfr8.cloudfront.net/image/725136000567/image_79av50s7fl70lb1md5f7rgp967/-FJPG/100637-004_DET_6.jpg</t>
  </si>
  <si>
    <t>L Shaped Box</t>
  </si>
  <si>
    <t>100938-005</t>
  </si>
  <si>
    <t>Everly Sofa - Antwerp Cafe</t>
  </si>
  <si>
    <t>Kensington</t>
  </si>
  <si>
    <t>Antwerp Cafe</t>
  </si>
  <si>
    <t>Terra Brown Parawood</t>
  </si>
  <si>
    <t>39% Linen</t>
  </si>
  <si>
    <t>35% Cotton</t>
  </si>
  <si>
    <t>26% Polyester</t>
  </si>
  <si>
    <t>Solid Parawood</t>
  </si>
  <si>
    <t>Classic goes contemporary. A brown-finished parawood base supports low, deep seating of high-performance fabric, with track arms for a clean touch.</t>
  </si>
  <si>
    <t>https://dd3ka9h4chfr8.cloudfront.net/image/725136000567/image_h46gd33f6p50peeu3vqjk5hs7r/-S150x150-FJPG/100938-005_PRM_1.jpg</t>
  </si>
  <si>
    <t>https://dd3ka9h4chfr8.cloudfront.net/image/725136000567/image_0spdufqlip0gt79f032cb1t05q/-FJPG/100938-005_FRT_1.jpg</t>
  </si>
  <si>
    <t>https://dd3ka9h4chfr8.cloudfront.net/image/725136000567/image_h46gd33f6p50peeu3vqjk5hs7r/-FJPG/100938-005_PRM_1.jpg</t>
  </si>
  <si>
    <t>https://dd3ka9h4chfr8.cloudfront.net/image/725136000567/image_l3bkejqdpt3h57svr7nisqjq02/-FJPG/100938-005_SID_1.jpg</t>
  </si>
  <si>
    <t>https://dd3ka9h4chfr8.cloudfront.net/image/725136000567/image_1a3t1t7rsp0n1b308p7dfod37h/-FJPG/100938-005_DET_2.jpg</t>
  </si>
  <si>
    <t>https://dd3ka9h4chfr8.cloudfront.net/image/725136000567/image_vhmhtnglet0fteugbk97m0re7j/-FJPG/100938-005_BCK_1.jpg</t>
  </si>
  <si>
    <t>https://dd3ka9h4chfr8.cloudfront.net/image/725136000567/image_936v5e7gn9385f6bsf68b96c3d/-FJPG/100938-005_DET_1.jpg</t>
  </si>
  <si>
    <t>https://dd3ka9h4chfr8.cloudfront.net/image/725136000567/image_hoie5c40dd1851565aacqvo06p/-FJPG/100938-005_DET_3.jpg</t>
  </si>
  <si>
    <t>https://dd3ka9h4chfr8.cloudfront.net/image/725136000567/image_j5uaat67t9757067uop1ebo01l/-FJPG/100938-005_DET_4.jpg</t>
  </si>
  <si>
    <t>https://dd3ka9h4chfr8.cloudfront.net/image/725136000567/image_dd2iksa8154mj9e0paovc6m238/-FJPG/100938-005_DET_5.jpg</t>
  </si>
  <si>
    <t>https://dd3ka9h4chfr8.cloudfront.net/image/725136000567/image_cmrvop0j4170pbkshk6loaa30j/-FJPG/100938-005_DET_6.jpg</t>
  </si>
  <si>
    <t>https://dd3ka9h4chfr8.cloudfront.net/image/725136000567/image_mjvcofir912cb6oqcn0i4s1t4j/-FJPG/100938-005_DET_7.jpg</t>
  </si>
  <si>
    <t>33.00"</t>
  </si>
  <si>
    <t>38.00"</t>
  </si>
  <si>
    <t>19.00"</t>
  </si>
  <si>
    <t>75.00"</t>
  </si>
  <si>
    <t>50% Polyurethane Foam Pad, 25% Polyester Fiber Batting, 25% Waterfowl Feather</t>
  </si>
  <si>
    <t>Everly</t>
  </si>
  <si>
    <t>700 lb</t>
  </si>
  <si>
    <t>26.00"</t>
  </si>
  <si>
    <t>7.00"</t>
  </si>
  <si>
    <t>42.50"</t>
  </si>
  <si>
    <t>4.50"</t>
  </si>
  <si>
    <t>5.75"</t>
  </si>
  <si>
    <t>68.25"</t>
  </si>
  <si>
    <t>50% Polyester Fiber Batting</t>
  </si>
  <si>
    <t xml:space="preserve"> 50% Waterfowl Feather</t>
  </si>
  <si>
    <t>100939-003</t>
  </si>
  <si>
    <t>Boone Sofa - Thames Cream</t>
  </si>
  <si>
    <t>Thames Cream</t>
  </si>
  <si>
    <t>Washed Espresso</t>
  </si>
  <si>
    <t>66% Polyester</t>
  </si>
  <si>
    <t>19% Acrylic</t>
  </si>
  <si>
    <t>15% Flax/Linen</t>
  </si>
  <si>
    <t>Sink-right-in seating ideal for daily lounging, with cream performance-grade upholstery exclusive to Four Hands.</t>
  </si>
  <si>
    <t>https://dd3ka9h4chfr8.cloudfront.net/image/725136000567/image_f6shhv1f0p5p5331a9i0f4064n/-S150x150-FJPG/100939-003_PRM_1.JPG</t>
  </si>
  <si>
    <t>https://dd3ka9h4chfr8.cloudfront.net/image/725136000567/image_p00kua08157hn1gcp3o9hejd08/-FJPG/100939-003_FRT_1.JPG</t>
  </si>
  <si>
    <t>https://dd3ka9h4chfr8.cloudfront.net/image/725136000567/image_f6shhv1f0p5p5331a9i0f4064n/-FJPG/100939-003_PRM_1.JPG</t>
  </si>
  <si>
    <t>https://dd3ka9h4chfr8.cloudfront.net/image/725136000567/image_2uha834e7p6ovfeml98o8pgb4t/-FJPG/100939-003_SID_1.JPG</t>
  </si>
  <si>
    <t>https://dd3ka9h4chfr8.cloudfront.net/image/725136000567/image_3nub4cjer95hv910im7geoks1l/-FJPG/100939-003_ESS_1.jpg</t>
  </si>
  <si>
    <t>https://dd3ka9h4chfr8.cloudfront.net/image/725136000567/image_51ae3199b95g517kbt24v6fh1c/-FJPG/100939-003_DET_2.JPG</t>
  </si>
  <si>
    <t>https://dd3ka9h4chfr8.cloudfront.net/image/725136000567/image_bdf7ftpv5h2spfa8cr1at0ig3l/-FJPG/100939-003_BCK_1.JPG</t>
  </si>
  <si>
    <t>https://dd3ka9h4chfr8.cloudfront.net/image/725136000567/image_sp14r6si3t6v538f9dkbs9vb5t/-FJPG/100939-003_INF_1.jpg</t>
  </si>
  <si>
    <t>https://dd3ka9h4chfr8.cloudfront.net/image/725136000567/image_1c0rcaisal29nedjao6pvf5e34/-FJPG/100939-003_DET_1.JPG</t>
  </si>
  <si>
    <t>https://dd3ka9h4chfr8.cloudfront.net/image/725136000567/image_kaetbp776l3fvc7l72h0t7eo0s/-FJPG/100939-003_DET_3.JPG</t>
  </si>
  <si>
    <t>32.00"</t>
  </si>
  <si>
    <t>70.00"</t>
  </si>
  <si>
    <t>50% Polyurethane Foam, 25% Fiber, 25% Duck Feather</t>
  </si>
  <si>
    <t>Boone</t>
  </si>
  <si>
    <t>39.50"</t>
  </si>
  <si>
    <t>2.00"</t>
  </si>
  <si>
    <t>24.75"</t>
  </si>
  <si>
    <t>71.00"</t>
  </si>
  <si>
    <t>9.00"</t>
  </si>
  <si>
    <t>50% Waterfowl Feather, 50% Polyester Fiber</t>
  </si>
  <si>
    <t>Reversible Cushions</t>
  </si>
  <si>
    <t>100970-002</t>
  </si>
  <si>
    <t>Kennedy Chair - Kerbey Ivory</t>
  </si>
  <si>
    <t>Westgate</t>
  </si>
  <si>
    <t>Kerbey Ivory</t>
  </si>
  <si>
    <t>Gunmetal</t>
  </si>
  <si>
    <t>Toasted Ash Solid</t>
  </si>
  <si>
    <t>96% Polyester</t>
  </si>
  <si>
    <t>4% Acrylic</t>
  </si>
  <si>
    <t>Comfort and class in one chic silhouette. Sloped wooden arms and forged legs frame cushy feather-blend seating covered in a textural ivory, striking great tonal balance between warm and cool. Performance fabrics are specially created to withstand spills, stains, high traffic and wear, ensuring long-term comfort and unmatched durability.</t>
  </si>
  <si>
    <t>https://dd3ka9h4chfr8.cloudfront.net/image/725136000567/image_2kg3n0ser51tv6iqahim8jqe5h/-S150x150-FJPG/100970-002_PRM_1.jpg</t>
  </si>
  <si>
    <t>https://dd3ka9h4chfr8.cloudfront.net/image/725136000567/image_mndg18ck314v31mcv2ad0ifo53/-FJPG/100970-002_FRT_1.jpg</t>
  </si>
  <si>
    <t>https://dd3ka9h4chfr8.cloudfront.net/image/725136000567/image_2kg3n0ser51tv6iqahim8jqe5h/-FJPG/100970-002_PRM_1.jpg</t>
  </si>
  <si>
    <t>https://dd3ka9h4chfr8.cloudfront.net/image/725136000567/image_nkke9o6opd4ph9lqtuagb9n736/-FJPG/100970-002_SID_1.jpg</t>
  </si>
  <si>
    <t>https://dd3ka9h4chfr8.cloudfront.net/image/725136000567/image_q2iioqiipp247413i3c98oo079/-FJPG/100970-002_ESS_1.jpg</t>
  </si>
  <si>
    <t>https://dd3ka9h4chfr8.cloudfront.net/image/725136000567/image_m0o6bjjhdt3bn7uh1lsiti7r32/-FJPG/100970-002_DET_2.jpg</t>
  </si>
  <si>
    <t>https://dd3ka9h4chfr8.cloudfront.net/image/725136000567/image_r7c9qf79s12fvej9gjlqalvf3d/-FJPG/100970-002_BCK_1.jpg</t>
  </si>
  <si>
    <t>https://dd3ka9h4chfr8.cloudfront.net/image/725136000567/image_eodir1cnl52vr4n2fo6ti0i35r/-FJPG/100970-002_INF_1.jpg</t>
  </si>
  <si>
    <t>https://dd3ka9h4chfr8.cloudfront.net/image/725136000567/image_b59sbd3kvl5ir3o0le8482l05p/-FJPG/100970-002_DET_1.jpg</t>
  </si>
  <si>
    <t>https://dd3ka9h4chfr8.cloudfront.net/image/725136000567/image_q4jbntl9qh18pfl763pncb0r2u/-FJPG/100970-002_DET_3.jpg</t>
  </si>
  <si>
    <t>https://dd3ka9h4chfr8.cloudfront.net/image/725136000567/image_nmjseevop50654d2oo4undnt3d/-FJPG/100970-002_DET_4.jpg</t>
  </si>
  <si>
    <t>https://dd3ka9h4chfr8.cloudfront.net/image/725136000567/image_6clkbvqk191ovck4s91dvr9f08/-FJPG/100970-002_DET_5.jpg</t>
  </si>
  <si>
    <t>https://dd3ka9h4chfr8.cloudfront.net/image/725136000567/image_8m0pj9argp5a755ilhjdn6ff1u/-FJPG/100970-002_DET_6.jpg</t>
  </si>
  <si>
    <t>28.50"</t>
  </si>
  <si>
    <t>22.50"</t>
  </si>
  <si>
    <t>Kennedy</t>
  </si>
  <si>
    <t>22.25"</t>
  </si>
  <si>
    <t>36.00"</t>
  </si>
  <si>
    <t>31.75"</t>
  </si>
  <si>
    <t>100970-003</t>
  </si>
  <si>
    <t>Kennedy Chair - Sonoma Black</t>
  </si>
  <si>
    <t>Sonoma Black</t>
  </si>
  <si>
    <t>Comfort and class in one chic silhouette. Sloped wooden arms and forged, gunmetal-finished legs frame our Four Hands exclusive top-grain leather with slight distressing for a subtle worn-in look and feel.</t>
  </si>
  <si>
    <t>https://dd3ka9h4chfr8.cloudfront.net/image/725136000567/image_kpnkpvmde11b9804hbjfsu9g3b/-S150x150-FJPG/100970-003_PRM_1.jpg</t>
  </si>
  <si>
    <t>https://dd3ka9h4chfr8.cloudfront.net/image/725136000567/image_7h78eec2u94pt1cjf3meellg0c/-FJPG/100970-003_FRT_1.jpg</t>
  </si>
  <si>
    <t>https://dd3ka9h4chfr8.cloudfront.net/image/725136000567/image_kpnkpvmde11b9804hbjfsu9g3b/-FJPG/100970-003_PRM_1.jpg</t>
  </si>
  <si>
    <t>https://dd3ka9h4chfr8.cloudfront.net/image/725136000567/image_7equdoake56rb83gsb8krmvo34/-FJPG/100970-003_SID_1.jpg</t>
  </si>
  <si>
    <t>https://dd3ka9h4chfr8.cloudfront.net/image/725136000567/image_q60r3pq54509t7tg7uh3ijve19/-FJPG/100970-003_DET_2.jpg</t>
  </si>
  <si>
    <t>https://dd3ka9h4chfr8.cloudfront.net/image/725136000567/image_toi9v8alhh5vj46unpo56jov79/-FJPG/100970-003_BCK_1.jpg</t>
  </si>
  <si>
    <t>https://dd3ka9h4chfr8.cloudfront.net/image/725136000567/image_6uip4b342973bbc4l9est8rs2s/-FJPG/100970-003_DET_1.jpg</t>
  </si>
  <si>
    <t>https://dd3ka9h4chfr8.cloudfront.net/image/725136000567/image_ifhmlusvu54c97er14ueu2aq3n/-FJPG/100970-003_DET_3.jpg</t>
  </si>
  <si>
    <t>https://dd3ka9h4chfr8.cloudfront.net/image/725136000567/image_9u2e5qfef16gd77ogt97qege46/-FJPG/100970-003_DET_4.jpg</t>
  </si>
  <si>
    <t>https://dd3ka9h4chfr8.cloudfront.net/image/725136000567/image_o7bqghjs457j93jtk2ff0sqn2i/-FJPG/100970-003_DET_5.jpg</t>
  </si>
  <si>
    <t>100970-004</t>
  </si>
  <si>
    <t>Kennedy Chair - Gabardine Grey</t>
  </si>
  <si>
    <t>Gabardine Grey</t>
  </si>
  <si>
    <t>73% Polyester</t>
  </si>
  <si>
    <t>27% Acrylic</t>
  </si>
  <si>
    <t>Comfort and class in one chic silhouette. Sloped wooden arms and forged, gunmetal-finished legs frame cushy feather-blend seating covered in a textural grey twill, striking great tonal balance between warm and cool.</t>
  </si>
  <si>
    <t>https://dd3ka9h4chfr8.cloudfront.net/image/725136000567/image_da5m930pbd7mncd53sa10kat6v/-S150x150-FJPG/100970-004_PRM_1.jpg</t>
  </si>
  <si>
    <t>https://dd3ka9h4chfr8.cloudfront.net/image/725136000567/image_69ha0jeafp0718jiebrcjkbi5r/-FJPG/100970-004_FRT_1.jpg</t>
  </si>
  <si>
    <t>https://dd3ka9h4chfr8.cloudfront.net/image/725136000567/image_da5m930pbd7mncd53sa10kat6v/-FJPG/100970-004_PRM_1.jpg</t>
  </si>
  <si>
    <t>https://dd3ka9h4chfr8.cloudfront.net/image/725136000567/image_5i0cdl9dn15d1eb9pt3mrqp94f/-FJPG/100970-004_SID_1.jpg</t>
  </si>
  <si>
    <t>https://dd3ka9h4chfr8.cloudfront.net/image/725136000567/image_2fkktsoepl0l1cso1d5nrmqd5p/-FJPG/100970-004_DET_2.jpg</t>
  </si>
  <si>
    <t>https://dd3ka9h4chfr8.cloudfront.net/image/725136000567/image_6qalhkqnkt07t3dc87cgtif26j/-FJPG/100970-004_BCK_1.jpg</t>
  </si>
  <si>
    <t>https://dd3ka9h4chfr8.cloudfront.net/image/725136000567/image_6f41ijftih1e93d1vblmpvg91s/-FJPG/100970-004_DET_1.jpg</t>
  </si>
  <si>
    <t>https://dd3ka9h4chfr8.cloudfront.net/image/725136000567/image_7k965kl4454ed3em301l7qth6n/-FJPG/100970-004_DET_3.jpg</t>
  </si>
  <si>
    <t>https://dd3ka9h4chfr8.cloudfront.net/image/725136000567/image_a89cfjto154g30i553dir9br2b/-FJPG/100970-004_DET_4.jpg</t>
  </si>
  <si>
    <t>https://dd3ka9h4chfr8.cloudfront.net/image/725136000567/image_so5o816fdh54ha5aed57nb9a4u/-FJPG/100970-004_DET_5.jpg</t>
  </si>
  <si>
    <t>https://dd3ka9h4chfr8.cloudfront.net/image/725136000567/image_tq9asepr6h3aread287nmpab5r/-FJPG/100970-004_DET_6.jpg</t>
  </si>
  <si>
    <t>https://dd3ka9h4chfr8.cloudfront.net/image/725136000567/image_kbp5ge4vt93k37q9vl4996bu6p/-FJPG/100970-004_ROM_1.jpg</t>
  </si>
  <si>
    <t>https://dd3ka9h4chfr8.cloudfront.net/image/725136000567/image_4ekut9t9kt49fb5ncr7ovpgc15/-FJPG/100970-004_VIG_1.jpg</t>
  </si>
  <si>
    <t>100970-006</t>
  </si>
  <si>
    <t>Kennedy Chair - Palermo Cognac</t>
  </si>
  <si>
    <t>Comfort and class in one chic silhouette. Sloped wooden arms and forged, gunmetal-finished legs frame cushy feather-blend seating covered in top-grain leather, striking great tonal balance between warm and cool.</t>
  </si>
  <si>
    <t>https://dd3ka9h4chfr8.cloudfront.net/image/725136000567/image_fesd9efrt15hbagtl3gd0luk6b/-S150x150-FJPG/100970-006_PRM_1.jpg</t>
  </si>
  <si>
    <t>https://dd3ka9h4chfr8.cloudfront.net/image/725136000567/image_o8e3ov4mp11rte6t20lh732114/-FJPG/100970-006_FRT_1.jpg</t>
  </si>
  <si>
    <t>https://dd3ka9h4chfr8.cloudfront.net/image/725136000567/image_fesd9efrt15hbagtl3gd0luk6b/-FJPG/100970-006_PRM_1.jpg</t>
  </si>
  <si>
    <t>https://dd3ka9h4chfr8.cloudfront.net/image/725136000567/image_9jtv8k49oh6q52shen219pa603/-FJPG/100970-006_SID_1.jpg</t>
  </si>
  <si>
    <t>https://dd3ka9h4chfr8.cloudfront.net/image/725136000567/image_gn70nk08ut4fn71s53nqo72a69/-FJPG/100970-006_ESS_1.jpg</t>
  </si>
  <si>
    <t>https://dd3ka9h4chfr8.cloudfront.net/image/725136000567/image_6dckr6p0m57931dg4p9op85a3j/-FJPG/100970-006_DET_2.jpg</t>
  </si>
  <si>
    <t>https://dd3ka9h4chfr8.cloudfront.net/image/725136000567/image_d3o66ocv9l70vbad96vbht5232/-FJPG/100970-006_BCK_1.jpg</t>
  </si>
  <si>
    <t>https://dd3ka9h4chfr8.cloudfront.net/image/725136000567/image_8jaajj2npp7mdfkcainkkmf05b/-FJPG/100970-006_DET_1.jpg</t>
  </si>
  <si>
    <t>https://dd3ka9h4chfr8.cloudfront.net/image/725136000567/image_gepo1e5hat647f0gqncqbpnh28/-FJPG/100970-006_DET_3.jpg</t>
  </si>
  <si>
    <t>https://dd3ka9h4chfr8.cloudfront.net/image/725136000567/image_pg1h8lk0ep3c9auj29acivb65t/-FJPG/100970-006_DET_4.jpg</t>
  </si>
  <si>
    <t>https://dd3ka9h4chfr8.cloudfront.net/image/725136000567/image_9f1sffcfrl5dl5kggqpdaim01r/-FJPG/100970-006_DET_5.jpg</t>
  </si>
  <si>
    <t>https://dd3ka9h4chfr8.cloudfront.net/image/725136000567/image_8j7q0dh87l4p39j8jj74m48r5j/-FJPG/100970-006_PRM_2.jpg</t>
  </si>
  <si>
    <t>100970-007</t>
  </si>
  <si>
    <t>Kennedy Chair - Crypton Nomad Taupe</t>
  </si>
  <si>
    <t>Crypton Nomad Taupe</t>
  </si>
  <si>
    <t>92% Polyester</t>
  </si>
  <si>
    <t>8% Flax/Linen</t>
  </si>
  <si>
    <t>Comfort and class in one chic silhouette. Sloped wooden arms and forged legs frame cushy feather-blend seating, striking great tonal balance between warm and cool. Free of PFAS, soft and easy to clean, CryptonÂ® performance fabric is specially engineered for protection against stains, moisture and odor.</t>
  </si>
  <si>
    <t>https://dd3ka9h4chfr8.cloudfront.net/image/725136000567/image_f05tpdo6it4ot6oq27juv6hu22/-S150x150-FJPG/100970-007_PRM_1.JPG</t>
  </si>
  <si>
    <t>https://dd3ka9h4chfr8.cloudfront.net/image/725136000567/image_fdoqfvbs8d35nbcrf5jvq0jd27/-FJPG/100970-007_FRT_1.JPG</t>
  </si>
  <si>
    <t>https://dd3ka9h4chfr8.cloudfront.net/image/725136000567/image_f05tpdo6it4ot6oq27juv6hu22/-FJPG/100970-007_PRM_1.JPG</t>
  </si>
  <si>
    <t>https://dd3ka9h4chfr8.cloudfront.net/image/725136000567/image_evo4sk49q921vbi6msd6oio45i/-FJPG/100970-007_SID_1.JPG</t>
  </si>
  <si>
    <t>https://dd3ka9h4chfr8.cloudfront.net/image/725136000567/image_0v4mfi78d948f39dm0sjcg4s65/-FJPG/100970-007_DET_2.JPG</t>
  </si>
  <si>
    <t>https://dd3ka9h4chfr8.cloudfront.net/image/725136000567/image_ur8f7u9uil4f56hbi0v74cmm2t/-FJPG/100970-007_BCK_1.JPG</t>
  </si>
  <si>
    <t>https://dd3ka9h4chfr8.cloudfront.net/image/725136000567/image_fgpqclcrp95oh7k4hil8p5jb4b/-FJPG/100970-007_DET_1.JPG</t>
  </si>
  <si>
    <t>https://dd3ka9h4chfr8.cloudfront.net/image/725136000567/image_s5773ea72p61l7tepoa98tt11g/-FJPG/100970-007_DET_3.JPG</t>
  </si>
  <si>
    <t>https://dd3ka9h4chfr8.cloudfront.net/image/725136000567/image_garihiipdl7sv619cs15r2bi0j/-FJPG/100970-007_DET_4.JPG</t>
  </si>
  <si>
    <t>https://dd3ka9h4chfr8.cloudfront.net/image/725136000567/image_8utgp1fc0928bd9f4v82gv5a2i/-FJPG/100970-007_DET_5.JPG</t>
  </si>
  <si>
    <t>https://dd3ka9h4chfr8.cloudfront.net/image/725136000567/image_f0euk45jvp28j8g87hlhblg033/-FJPG/100970-007_DET_6.JPG</t>
  </si>
  <si>
    <t>https://dd3ka9h4chfr8.cloudfront.net/image/725136000567/image_svvg1lc8fd1195ufk51h20uk55/-FJPG/100970-007_DET_7.JPG</t>
  </si>
  <si>
    <t>101333-003</t>
  </si>
  <si>
    <t>Kelby Sideboard - Light Wash Mango</t>
  </si>
  <si>
    <t>Aiden</t>
  </si>
  <si>
    <t xml:space="preserve">Credenzas &amp; Sideboards  </t>
  </si>
  <si>
    <t>Light Wash Mango</t>
  </si>
  <si>
    <t>Light Wash Carved Mango</t>
  </si>
  <si>
    <t>Solid Mango</t>
  </si>
  <si>
    <t>Unique linear carving brings an artisanal look to dining storage. Mango wood casing is finished in a light wash to highlight texture and craftsmanship, while an airy iron base crafts a cage-like look..</t>
  </si>
  <si>
    <t>https://dd3ka9h4chfr8.cloudfront.net/image/725136000567/image_1mtfvv44g90hp1gu043c5k7s7h/-S150x150-FJPG/101333-003_PRM_1.jpg</t>
  </si>
  <si>
    <t>https://dd3ka9h4chfr8.cloudfront.net/image/725136000567/image_pa9nt633tt2fhfreoak3fc9b5g/-FJPG/101333-003_FRT_1.jpg</t>
  </si>
  <si>
    <t>https://dd3ka9h4chfr8.cloudfront.net/image/725136000567/image_1mtfvv44g90hp1gu043c5k7s7h/-FJPG/101333-003_PRM_1.jpg</t>
  </si>
  <si>
    <t>https://dd3ka9h4chfr8.cloudfront.net/image/725136000567/image_7ndvlf04hh6h11685r3bdb6m0a/-FJPG/101333-003_SID_1.jpg</t>
  </si>
  <si>
    <t>https://dd3ka9h4chfr8.cloudfront.net/image/725136000567/image_uiggk1tmtl5rr19kstvksmpr5g/-FJPG/101333-003_ESS_1.jpg</t>
  </si>
  <si>
    <t>https://dd3ka9h4chfr8.cloudfront.net/image/725136000567/image_jtolp0mpph7sb8eo11hgqouj7u/-FJPG/101333-003_ESS_1.jpg</t>
  </si>
  <si>
    <t>https://dd3ka9h4chfr8.cloudfront.net/image/725136000567/image_aaog1chlo954v9i5pjbesr0m3k/-FJPG/101333-003_DET_2.jpg</t>
  </si>
  <si>
    <t>https://dd3ka9h4chfr8.cloudfront.net/image/725136000567/image_5egtskfq5h7gd9vufebp1bup34/-FJPG/101333-003_BCK_1.jpg</t>
  </si>
  <si>
    <t>https://dd3ka9h4chfr8.cloudfront.net/image/725136000567/image_k9a96i4p5p3hf4lsqr670bpq4c/-FJPG/101333-003_DET_1.jpg</t>
  </si>
  <si>
    <t>https://dd3ka9h4chfr8.cloudfront.net/image/725136000567/image_71fvs4959h6qjdbgpg3q4ken44/-FJPG/101333-003_DET_3.jpg</t>
  </si>
  <si>
    <t>https://dd3ka9h4chfr8.cloudfront.net/image/725136000567/image_hlivvkfp9t157cnsklfcods149/-FJPG/101333-003_OPN_1.jpg</t>
  </si>
  <si>
    <t>https://dd3ka9h4chfr8.cloudfront.net/image/725136000567/image_a1ivfur6ct2bl2jjkqrjlm4j28/-FJPG/101333-003_DET_4.jpg</t>
  </si>
  <si>
    <t>https://dd3ka9h4chfr8.cloudfront.net/image/725136000567/image_5hsp9tfp713cr7dm9hqai77d63/-FJPG/101333-003_DET_5.jpg</t>
  </si>
  <si>
    <t>https://dd3ka9h4chfr8.cloudfront.net/image/725136000567/image_ua16ntgc9p14h8bovu1r4ea27b/-FJPG/101333-003_DET_6.jpg</t>
  </si>
  <si>
    <t>India</t>
  </si>
  <si>
    <t>14.50"</t>
  </si>
  <si>
    <t>9.25"</t>
  </si>
  <si>
    <t>33.25"</t>
  </si>
  <si>
    <t>Butt Joint</t>
  </si>
  <si>
    <t>Doors</t>
  </si>
  <si>
    <t>Kelby</t>
  </si>
  <si>
    <t>0.75"</t>
  </si>
  <si>
    <t>17.25"</t>
  </si>
  <si>
    <t>12.00"</t>
  </si>
  <si>
    <t>Magnetic</t>
  </si>
  <si>
    <t>Hinged</t>
  </si>
  <si>
    <t>Cabinetry-soft close</t>
  </si>
  <si>
    <t>101334-002</t>
  </si>
  <si>
    <t>Kelby Cabinet - Carved Vintage Brown</t>
  </si>
  <si>
    <t>Cabinets</t>
  </si>
  <si>
    <t>Storage Cabinets</t>
  </si>
  <si>
    <t>Carved Vintage Brown</t>
  </si>
  <si>
    <t>Unique linear carving meets fresh dimension with an artisan slant. Mango wood casing is finished in a vintage brown, highlighting texture and high craftsmanship. Inside, a spacious single shelf creates  extra storage, while a slim iron base adds an airy look to clean-lined cabinetry.</t>
  </si>
  <si>
    <t>https://dd3ka9h4chfr8.cloudfront.net/image/725136000567/image_ss0bls7r891sdbicvej6j5a76a/-S150x150-FJPG/101334-002_PRM_1.jpg</t>
  </si>
  <si>
    <t>https://dd3ka9h4chfr8.cloudfront.net/image/725136000567/image_2di96p9p4h3ev67fe5jictpl08/-FJPG/101334-002_FRT_1.jpg</t>
  </si>
  <si>
    <t>https://dd3ka9h4chfr8.cloudfront.net/image/725136000567/image_ss0bls7r891sdbicvej6j5a76a/-FJPG/101334-002_PRM_1.jpg</t>
  </si>
  <si>
    <t>https://dd3ka9h4chfr8.cloudfront.net/image/725136000567/image_tqnsm3ogo56ctcos47n3i1tn57/-FJPG/101334-002_SID_1.jpg</t>
  </si>
  <si>
    <t>https://dd3ka9h4chfr8.cloudfront.net/image/725136000567/image_ld3f6gctbp4dhf96umi6mvq901/-FJPG/101334-002_DET_2.jpg</t>
  </si>
  <si>
    <t>https://dd3ka9h4chfr8.cloudfront.net/image/725136000567/image_fn93vj904154ja0m2a9dfb7f6j/-FJPG/101334-002_DET_1.jpg</t>
  </si>
  <si>
    <t>https://dd3ka9h4chfr8.cloudfront.net/image/725136000567/image_q9h4eladf1525asnlagpttds32/-FJPG/101334-002_DET_4.jpg</t>
  </si>
  <si>
    <t>https://dd3ka9h4chfr8.cloudfront.net/image/725136000567/image_1vgafrc94t1cpcqoedvk95pc2v/-FJPG/101334-002_VIG_1.jpg</t>
  </si>
  <si>
    <t>https://dd3ka9h4chfr8.cloudfront.net/image/725136000567/image_h6l18f9dol7g50vd2apt360m2u/-FJPG/101334-002_PRM_2.jpg</t>
  </si>
  <si>
    <t>Base &amp; Shelves</t>
  </si>
  <si>
    <t>Structure</t>
  </si>
  <si>
    <t>15.00"</t>
  </si>
  <si>
    <t>45.50"</t>
  </si>
  <si>
    <t>17.50"</t>
  </si>
  <si>
    <t>Single</t>
  </si>
  <si>
    <t>Storage</t>
  </si>
  <si>
    <t>Solid</t>
  </si>
  <si>
    <t>101353-005</t>
  </si>
  <si>
    <t>Carlisle 6 Drawer Dresser - Natural Oak</t>
  </si>
  <si>
    <t>Bennett</t>
  </si>
  <si>
    <t>Dressers &amp; Chests</t>
  </si>
  <si>
    <t>Natural Oak</t>
  </si>
  <si>
    <t>Style meets simplicity in this Danish-inspired design. Six drawers of solid natural oak welcome squared iron hardware in a satin brass finish, bringing ample storage space to the bedroom.</t>
  </si>
  <si>
    <t>https://dd3ka9h4chfr8.cloudfront.net/image/725136000567/image_p9hco1ti4h5odesh7g00t6624m/-S150x150-FJPG/101353-002_PRM_1.jpg</t>
  </si>
  <si>
    <t>https://dd3ka9h4chfr8.cloudfront.net/image/725136000567/image_3nmoa2r1st4ub4bbjc1os36v2o/-FJPG/101353-002_FRT_1.jpg</t>
  </si>
  <si>
    <t>https://dd3ka9h4chfr8.cloudfront.net/image/725136000567/image_p9hco1ti4h5odesh7g00t6624m/-FJPG/101353-002_PRM_1.jpg</t>
  </si>
  <si>
    <t>https://dd3ka9h4chfr8.cloudfront.net/image/725136000567/image_svqpvorsf16plfpm73pqgbjm11/-FJPG/101353-002_SID_1.jpg</t>
  </si>
  <si>
    <t>https://dd3ka9h4chfr8.cloudfront.net/image/725136000567/image_t5i5d6a7t934pfv7ip1v4jni0r/-FJPG/101353-002_DET_2.jpg</t>
  </si>
  <si>
    <t>https://dd3ka9h4chfr8.cloudfront.net/image/725136000567/image_7qkp6chqqt3ar2dqbbtvd6c26a/-FJPG/101353-002_DET_1.jpg</t>
  </si>
  <si>
    <t>https://dd3ka9h4chfr8.cloudfront.net/image/725136000567/image_rvtc9m1ogp6k5dus5t5jnocr7h/-FJPG/101353-002_DET_3.jpg</t>
  </si>
  <si>
    <t>https://dd3ka9h4chfr8.cloudfront.net/image/725136000567/image_tf68ib8g1t3e1f2vl9irafr42i/-FJPG/101353-002_OPN_1.jpg</t>
  </si>
  <si>
    <t>https://dd3ka9h4chfr8.cloudfront.net/image/725136000567/image_d498g72hfp401flim3albhuj1i/-FJPG/101353-002_DET_4.jpg</t>
  </si>
  <si>
    <t>https://dd3ka9h4chfr8.cloudfront.net/image/725136000567/image_q1echnsjhl02n5t1vvmq2gjf3o/-FJPG/101353-002_DET_5.jpg</t>
  </si>
  <si>
    <t>https://dd3ka9h4chfr8.cloudfront.net/image/725136000567/image_7mlsr3ic2t4qjcb50r5juca84n/-FJPG/101353-002_DET_6.jpg</t>
  </si>
  <si>
    <t>https://dd3ka9h4chfr8.cloudfront.net/image/725136000567/image_j46gado8th41pabovkkk4fsf6p/-FJPG/101353-002_DET_7.jpg</t>
  </si>
  <si>
    <t>https://dd3ka9h4chfr8.cloudfront.net/image/725136000567/image_8frrli0gtd7o5a16f3lc7t426u/-FJPG/101353-002_DET_8.jpg</t>
  </si>
  <si>
    <t>https://dd3ka9h4chfr8.cloudfront.net/image/725136000567/image_ktd47mkso17t3djse74k61to03/-FJPG/101353-002_DET_9.jpg</t>
  </si>
  <si>
    <t>https://dd3ka9h4chfr8.cloudfront.net/image/725136000567/image_i87sth2tn522n58eq25q6k3j29/-FJPG/101353-002_DET_10.jpg</t>
  </si>
  <si>
    <t>https://dd3ka9h4chfr8.cloudfront.net/image/725136000567/image_m4omcr9kbl0u91b5opsnc7mr3a/-FJPG/101353-002_ROM_1.jpg</t>
  </si>
  <si>
    <t>Sidemount Metal</t>
  </si>
  <si>
    <t>Wood</t>
  </si>
  <si>
    <t>Drawers</t>
  </si>
  <si>
    <t>Wide</t>
  </si>
  <si>
    <t>Carlisle</t>
  </si>
  <si>
    <t>No Doors</t>
  </si>
  <si>
    <t>14.37"</t>
  </si>
  <si>
    <t>3.66"</t>
  </si>
  <si>
    <t>5.71"</t>
  </si>
  <si>
    <t>27.56"</t>
  </si>
  <si>
    <t>Black</t>
  </si>
  <si>
    <t>English Dovetail</t>
  </si>
  <si>
    <t>101360-004</t>
  </si>
  <si>
    <t>Kelby Small Media Cabinet - Vintage Brown</t>
  </si>
  <si>
    <t>Media Consoles</t>
  </si>
  <si>
    <t>Vintage Brown</t>
  </si>
  <si>
    <t>Unique linear carving meets new dimension with an artisan slant. Mango wood casing is finished in a vintage brown, highlighting texture and craftsmanship. A slim iron base adds an airy, cage-like look to small-scale media storage. Rear cutouts for cord management.</t>
  </si>
  <si>
    <t>https://dd3ka9h4chfr8.cloudfront.net/image/725136000567/image_edll1j7v2l31v8l5vqbjvb5m46/-S150x150-FJPG/101360-004_PRM_1.jpg</t>
  </si>
  <si>
    <t>https://dd3ka9h4chfr8.cloudfront.net/image/725136000567/image_k4j8jqfpcp0jn51f3dgo5bte5a/-FJPG/101360-004_FRT_1.jpg</t>
  </si>
  <si>
    <t>https://dd3ka9h4chfr8.cloudfront.net/image/725136000567/image_edll1j7v2l31v8l5vqbjvb5m46/-FJPG/101360-004_PRM_1.jpg</t>
  </si>
  <si>
    <t>https://dd3ka9h4chfr8.cloudfront.net/image/725136000567/image_d25n6atgm969d4oug4h2idvn4e/-FJPG/101360-004_SID_1.jpg</t>
  </si>
  <si>
    <t>https://dd3ka9h4chfr8.cloudfront.net/image/725136000567/image_t2372bv9nd7ktci4ssvbiudt04/-FJPG/101360-004_DET_2.jpg</t>
  </si>
  <si>
    <t>https://dd3ka9h4chfr8.cloudfront.net/image/725136000567/image_nq38revo4d3e58qnokbhgl7g2i/-FJPG/101360-004_DET_1.jpg</t>
  </si>
  <si>
    <t>https://dd3ka9h4chfr8.cloudfront.net/image/725136000567/image_b8sa2j65314619e5la4f3mr33t/-FJPG/101360-004_DET_3.jpg</t>
  </si>
  <si>
    <t>https://dd3ka9h4chfr8.cloudfront.net/image/725136000567/image_vd8up51nel7k9b5jisbks05u2t/-FJPG/101360-004_OPN_1.jpg</t>
  </si>
  <si>
    <t>https://dd3ka9h4chfr8.cloudfront.net/image/725136000567/image_nrtj7fpsmt5df2cpl6da71mu05/-FJPG/101360-004_DET_4.jpg</t>
  </si>
  <si>
    <t>https://dd3ka9h4chfr8.cloudfront.net/image/725136000567/image_37ut71a9ih3ld0klsjjf8p594r/-FJPG/101360-004_DET_5.jpg</t>
  </si>
  <si>
    <t>https://dd3ka9h4chfr8.cloudfront.net/image/725136000567/image_viseqhu5dp4dp7nlehsncafv6p/-FJPG/101360-004_DET_6.jpg</t>
  </si>
  <si>
    <t>https://dd3ka9h4chfr8.cloudfront.net/image/725136000567/image_2irgpg5tth07j7rd4b4ujk4i4m/-FJPG/101360-004_DET_7.jpg</t>
  </si>
  <si>
    <t>https://dd3ka9h4chfr8.cloudfront.net/image/725136000567/image_mrtq7lab2l4875q1uhcg29fg59/-FJPG/101360-004_VIG_1.jpg</t>
  </si>
  <si>
    <t>8.50"</t>
  </si>
  <si>
    <t>56.00"</t>
  </si>
  <si>
    <t>14.00"</t>
  </si>
  <si>
    <t>1.00"</t>
  </si>
  <si>
    <t>101394-003</t>
  </si>
  <si>
    <t>Kelby Cabinet Nightstand - Vintage Brown</t>
  </si>
  <si>
    <t>Nightstands</t>
  </si>
  <si>
    <t>Uniquely carved mango wood is finished in a vintage brown, highlighting texture and craftsmanship, and a slim iron base adds an airy, cage-like look to bedside storage.</t>
  </si>
  <si>
    <t>https://dd3ka9h4chfr8.cloudfront.net/image/725136000567/image_nn5phfb8154vpc56c15q2l124c/-S150x150-FJPG/101394-003_PRM_1.jpg</t>
  </si>
  <si>
    <t>https://dd3ka9h4chfr8.cloudfront.net/image/725136000567/image_cnfl5kvse97117toung2pv4a4o/-FJPG/101394-003_FRT_1.jpg</t>
  </si>
  <si>
    <t>https://dd3ka9h4chfr8.cloudfront.net/image/725136000567/image_nn5phfb8154vpc56c15q2l124c/-FJPG/101394-003_PRM_1.jpg</t>
  </si>
  <si>
    <t>https://dd3ka9h4chfr8.cloudfront.net/image/725136000567/image_v44fknb5d11gr9s42vkb29g358/-FJPG/101394-003_SID_1.jpg</t>
  </si>
  <si>
    <t>https://dd3ka9h4chfr8.cloudfront.net/image/725136000567/image_7h5outoukt23r3c2n1effqo76k/-FJPG/101394-003_DET_2.jpg</t>
  </si>
  <si>
    <t>https://dd3ka9h4chfr8.cloudfront.net/image/725136000567/image_1f3t9p5s057et4qm98onbj5g0p/-FJPG/101394-003_DET_1.jpg</t>
  </si>
  <si>
    <t>https://dd3ka9h4chfr8.cloudfront.net/image/725136000567/image_td2bgdjqf50vv3dm2fmvteq31q/-FJPG/101394-003_DET_3.jpg</t>
  </si>
  <si>
    <t>https://dd3ka9h4chfr8.cloudfront.net/image/725136000567/image_149b0d3dg11ln8lbel7e1ha03b/-FJPG/101394-003_OPN_1.jpg</t>
  </si>
  <si>
    <t>https://dd3ka9h4chfr8.cloudfront.net/image/725136000567/image_1meta3luk90jfavd00a5p16j04/-FJPG/101394-003_DET_4.jpg</t>
  </si>
  <si>
    <t>23.75"</t>
  </si>
  <si>
    <t>15.75"</t>
  </si>
  <si>
    <t>12.50"</t>
  </si>
  <si>
    <t>101394-004</t>
  </si>
  <si>
    <t>Kelby Cabinet Nightstand - Light Wash Mango</t>
  </si>
  <si>
    <t>Light-washed mango is carved with unique reeding, speaking to the artisanship behind this storage-driven nightstand. An airy iron base keeps things looking light.</t>
  </si>
  <si>
    <t>https://dd3ka9h4chfr8.cloudfront.net/image/725136000567/image_ss7mo8617h4d55jhu705ilp16c/-S150x150-FJPG/101394-004_PRM_1.jpg</t>
  </si>
  <si>
    <t>https://dd3ka9h4chfr8.cloudfront.net/image/725136000567/image_2vs0oqsodl7dh5rmeh7nrgp905/-FJPG/101394-004_FRT_1.jpg</t>
  </si>
  <si>
    <t>https://dd3ka9h4chfr8.cloudfront.net/image/725136000567/image_ss7mo8617h4d55jhu705ilp16c/-FJPG/101394-004_PRM_1.jpg</t>
  </si>
  <si>
    <t>https://dd3ka9h4chfr8.cloudfront.net/image/725136000567/image_skkdru0om10nj9p3onrf7ivo4o/-FJPG/101394-004_SID_1.jpg</t>
  </si>
  <si>
    <t>https://dd3ka9h4chfr8.cloudfront.net/image/725136000567/image_b3rupjqdih3fn8es7rqn7d5u3a/-FJPG/101394-004_ESS_1.jpg</t>
  </si>
  <si>
    <t>https://dd3ka9h4chfr8.cloudfront.net/image/725136000567/image_uvkvc1lj111p17n2bl69ah9b0i/-FJPG/101394-004_DET_2.jpg</t>
  </si>
  <si>
    <t>https://dd3ka9h4chfr8.cloudfront.net/image/725136000567/image_q35opitgft7o79nvg2fqb5nd6c/-FJPG/101394-004_BCK_1.jpg</t>
  </si>
  <si>
    <t>https://dd3ka9h4chfr8.cloudfront.net/image/725136000567/image_36j21a3bo138p6p5o3n7u8ij6t/-FJPG/101394-004_DET_1.jpg</t>
  </si>
  <si>
    <t>https://dd3ka9h4chfr8.cloudfront.net/image/725136000567/image_k6gggtgc8t4jvek2huvf6njb7q/-FJPG/101394-004_DET_3.jpg</t>
  </si>
  <si>
    <t>https://dd3ka9h4chfr8.cloudfront.net/image/725136000567/image_kb1j1smj8d1ln5tbl6bf5ubk5d/-FJPG/101394-004_OPN_1.jpg</t>
  </si>
  <si>
    <t>https://dd3ka9h4chfr8.cloudfront.net/image/725136000567/image_5p6s4be4id0qtfpk53f9969o1t/-FJPG/101394-004_DET_4.jpg</t>
  </si>
  <si>
    <t>https://dd3ka9h4chfr8.cloudfront.net/image/725136000567/image_g83locq58d3nl1jnorarko546u/-FJPG/101394-004_DET_5.jpg</t>
  </si>
  <si>
    <t>https://dd3ka9h4chfr8.cloudfront.net/image/725136000567/image_llk00dshdd5an96dod5hc9n11p/-FJPG/101394-004_DET_6.jpg</t>
  </si>
  <si>
    <t>https://dd3ka9h4chfr8.cloudfront.net/image/725136000567/image_37qk7sv22l63rcpc61o18pk539/-FJPG/101394-004_DET_7.jpg</t>
  </si>
  <si>
    <t>101405-003</t>
  </si>
  <si>
    <t>Erie Coffee Table - Dark Smoked Oak</t>
  </si>
  <si>
    <t>Glenwood</t>
  </si>
  <si>
    <t>Coffee Tables</t>
  </si>
  <si>
    <t>Dark Smoked Oak</t>
  </si>
  <si>
    <t>Dark-smoked oak forms clean, structured lines, crafting the finest of coffee tables with rustic, ombre-evocative undertones. Streak-like highlights are common, and speak to woods which have been specially selected for their unique natural patterns and graining. A subtle variance in color and pattern is to be expected from piece to piece, and is reflective of materialsâ€™ organic sourcing.</t>
  </si>
  <si>
    <t>https://dd3ka9h4chfr8.cloudfront.net/image/725136000567/image_psf3id928l6b3b7t6s6v552q4h/-S150x150-FJPG/101405-003_PRM_1.jpg</t>
  </si>
  <si>
    <t>https://dd3ka9h4chfr8.cloudfront.net/image/725136000567/image_b8ikppn8313297lsqbt32i4t2v/-FJPG/101405-003_FRT_1.jpg</t>
  </si>
  <si>
    <t>https://dd3ka9h4chfr8.cloudfront.net/image/725136000567/image_psf3id928l6b3b7t6s6v552q4h/-FJPG/101405-003_PRM_1.jpg</t>
  </si>
  <si>
    <t>https://dd3ka9h4chfr8.cloudfront.net/image/725136000567/image_t3uetefehd3s97tj9r8j426c4q/-FJPG/101405-003_SID_1.jpg</t>
  </si>
  <si>
    <t>https://dd3ka9h4chfr8.cloudfront.net/image/725136000567/image_l0svkkctu90954itksb54sik2k/-FJPG/101405-003_DET_2.jpg</t>
  </si>
  <si>
    <t>https://dd3ka9h4chfr8.cloudfront.net/image/725136000567/image_tujif3e2kh3q588vosvp89vc07/-FJPG/101405-003_DET_1.jpg</t>
  </si>
  <si>
    <t>https://dd3ka9h4chfr8.cloudfront.net/image/725136000567/image_qs07nf4ki90ptag7mnn2uvcf74/-FJPG/101405-003_DET_3.jpg</t>
  </si>
  <si>
    <t>https://dd3ka9h4chfr8.cloudfront.net/image/725136000567/image_je3bn12i0t5331trvo65b4ls3e/-FJPG/101405-003_DET_4.jpg</t>
  </si>
  <si>
    <t>https://dd3ka9h4chfr8.cloudfront.net/image/725136000567/image_le6jggvhph4l758ade769gih2d/-FJPG/101405-003_VIG_1.jpg</t>
  </si>
  <si>
    <t>Top</t>
  </si>
  <si>
    <t>Base</t>
  </si>
  <si>
    <t>Erie</t>
  </si>
  <si>
    <t>25.25"</t>
  </si>
  <si>
    <t>43.25"</t>
  </si>
  <si>
    <t>1.75"</t>
  </si>
  <si>
    <t>3.88"</t>
  </si>
  <si>
    <t>101447-002</t>
  </si>
  <si>
    <t>Bronx Dining Table - Light Brushed Parawood</t>
  </si>
  <si>
    <t>Harmon</t>
  </si>
  <si>
    <t>Light Brushed Parawood</t>
  </si>
  <si>
    <t>Dark Brown</t>
  </si>
  <si>
    <t>Solid Mixed Reclaimed Wood</t>
  </si>
  <si>
    <t>Organically shaped pedestal table takes aesthetic cues from nature. The character-rich knots and grains from mixed reclaimed woods are retained for display on a dramatically tapered base, while a dark brown-finished base pairs with a lighter tabletop for a fresh contrast of tone.</t>
  </si>
  <si>
    <t>https://dd3ka9h4chfr8.cloudfront.net/image/725136000567/image_3l9agbm0sh31b52sobgkbg4367/-S150x150-FJPG/101447-002_PRM_1.jpg</t>
  </si>
  <si>
    <t>https://dd3ka9h4chfr8.cloudfront.net/image/725136000567/image_3l9agbm0sh31b52sobgkbg4367/-FJPG/101447-002_PRM_1.jpg</t>
  </si>
  <si>
    <t>https://dd3ka9h4chfr8.cloudfront.net/image/725136000567/image_fe45s9k0p57j77nunds574aj4g/-FJPG/101447-002_DET_2.jpg</t>
  </si>
  <si>
    <t>https://dd3ka9h4chfr8.cloudfront.net/image/725136000567/image_d9js0sild57ate5o907b353t18/-FJPG/101447-002_DET_1.jpg</t>
  </si>
  <si>
    <t>https://dd3ka9h4chfr8.cloudfront.net/image/725136000567/image_irj9u3kjmh28bfnsoh0icufk1r/-FJPG/101447-002_DET_3.jpg</t>
  </si>
  <si>
    <t>https://dd3ka9h4chfr8.cloudfront.net/image/725136000567/image_9e7dibg5l123tajrjh6n74s23r/-FJPG/101447-002_TOP_1.jpg</t>
  </si>
  <si>
    <t>https://dd3ka9h4chfr8.cloudfront.net/image/725136000567/image_99uurjl9n546hb7bdnvptmm60a/-FJPG/101447-002_DET_4.jpg</t>
  </si>
  <si>
    <t>https://dd3ka9h4chfr8.cloudfront.net/image/725136000567/image_ponajtqi0517f4fv4icrd5ph1g/-FJPG/101447-002_DET_5.jpg</t>
  </si>
  <si>
    <t>https://dd3ka9h4chfr8.cloudfront.net/image/725136000567/image_ls84gnbafd0ctcv21qfkrapo29/-FJPG/101447-002_DET_6.jpg</t>
  </si>
  <si>
    <t>https://dd3ka9h4chfr8.cloudfront.net/image/725136000567/image_8i0d7guvu52bp5q87dh79s5a35/-FJPG/101447-002_DET_7.jpg</t>
  </si>
  <si>
    <t>https://dd3ka9h4chfr8.cloudfront.net/image/725136000567/image_498h51vghh0dd0f85rae36qi1u/-FJPG/101447-002_DET_8.jpg</t>
  </si>
  <si>
    <t>Bronx</t>
  </si>
  <si>
    <t>Pedestal</t>
  </si>
  <si>
    <t>101650-003</t>
  </si>
  <si>
    <t>Dalston Nesting End Table Set - Raw Black</t>
  </si>
  <si>
    <t>Marlow</t>
  </si>
  <si>
    <t>Raw Black</t>
  </si>
  <si>
    <t>Iron Matte Black</t>
  </si>
  <si>
    <t>Aluminum</t>
  </si>
  <si>
    <t>Tapered legs with rounded feet bring balanced footing to streamlined shaping. Aluminum tops are squared-off and finished in a sleek raw black. 
Large nesting table measures 16"W x 21.25"H. 
Small table measures 12.5"W x 18.25"H.</t>
  </si>
  <si>
    <t>https://dd3ka9h4chfr8.cloudfront.net/image/725136000567/image_33tplfh9id7t50d3tnkp5rh67v/-S150x150-FJPG/101650-003_PRM_1.jpg</t>
  </si>
  <si>
    <t>https://dd3ka9h4chfr8.cloudfront.net/image/725136000567/image_33tplfh9id7t50d3tnkp5rh67v/-FJPG/101650-003_PRM_1.jpg</t>
  </si>
  <si>
    <t>https://dd3ka9h4chfr8.cloudfront.net/image/725136000567/image_kgclbrtna12gbfmij34tbsg222/-FJPG/101650-003_DET_2.jpg</t>
  </si>
  <si>
    <t>https://dd3ka9h4chfr8.cloudfront.net/image/725136000567/image_a3tjhe3o895k7a7kaed88s3e0t/-FJPG/101650-003_DET_1.jpg</t>
  </si>
  <si>
    <t>https://dd3ka9h4chfr8.cloudfront.net/image/725136000567/image_f9p3ifu8452tp45fpoj20tfa0r/-FJPG/101650-003_DET_3.jpg</t>
  </si>
  <si>
    <t>https://dd3ka9h4chfr8.cloudfront.net/image/725136000567/image_c66c8kngfl0gheg7l22mcp941b/-FJPG/101650-003_DET_4.jpg</t>
  </si>
  <si>
    <t>https://dd3ka9h4chfr8.cloudfront.net/image/725136000567/image_tdjnrv1fe965r7shu4pf38ee6g/-FJPG/101650-003_DET_5.jpg</t>
  </si>
  <si>
    <t>https://dd3ka9h4chfr8.cloudfront.net/image/725136000567/image_71076g4v9t6el62e08a3e7t46v/-FJPG/101650-003_DET_6.jpg</t>
  </si>
  <si>
    <t>https://dd3ka9h4chfr8.cloudfront.net/image/725136000567/image_i7olsvfl3p7792eqn4d08o1l09/-FJPG/101650-003_DET_7.jpg</t>
  </si>
  <si>
    <t>Square</t>
  </si>
  <si>
    <t>Dalston</t>
  </si>
  <si>
    <t>21.25"</t>
  </si>
  <si>
    <t>12.25"</t>
  </si>
  <si>
    <t>18.25"</t>
  </si>
  <si>
    <t>102766-014</t>
  </si>
  <si>
    <t>Chloe Media Lounger - Crypton Henry Coffee</t>
  </si>
  <si>
    <t>Atelier</t>
  </si>
  <si>
    <t>Crypton Henry Coffee</t>
  </si>
  <si>
    <t>Roomy style. Rich, chocolate high-performance fabric covers a dramatic U shape for a spacious, sink-in sit. Throw pillows make this your go-to lounger for movie nights. Performance fabrics are specially created to withstand spills, stains, high traffic and wear, ensuring long-term comfort and unmatched durability.</t>
  </si>
  <si>
    <t>https://dd3ka9h4chfr8.cloudfront.net/image/725136000567/image_942rs6uar15f9crbcgtni3ba5g/-S150x150-FJPG/102766-014_PRM_1.jpg</t>
  </si>
  <si>
    <t>https://dd3ka9h4chfr8.cloudfront.net/image/725136000567/image_qf8bb64if57ujb3uthompae44m/-FJPG/102766-014_FRT_1.jpg</t>
  </si>
  <si>
    <t>https://dd3ka9h4chfr8.cloudfront.net/image/725136000567/image_942rs6uar15f9crbcgtni3ba5g/-FJPG/102766-014_PRM_1.jpg</t>
  </si>
  <si>
    <t>https://dd3ka9h4chfr8.cloudfront.net/image/725136000567/image_8p2tejkull0u16m549ceh7fh0h/-FJPG/102766-014_SID_1.jpg</t>
  </si>
  <si>
    <t>https://dd3ka9h4chfr8.cloudfront.net/image/725136000567/image_c5mipfrtfd4nl35e3ikb10qt44/-FJPG/102766-014_ESS.jpg</t>
  </si>
  <si>
    <t>https://dd3ka9h4chfr8.cloudfront.net/image/725136000567/image_tktjpv6aj95cp8v39aeed2h742/-FJPG/102766-014_BCK_1.jpg</t>
  </si>
  <si>
    <t>https://dd3ka9h4chfr8.cloudfront.net/image/725136000567/image_8d6ugg142p64bd8ks10512fi0o/-FJPG/102766-014_TOP_1.jpg</t>
  </si>
  <si>
    <t>Mexico</t>
  </si>
  <si>
    <t>42.00"</t>
  </si>
  <si>
    <t>21.00"</t>
  </si>
  <si>
    <t>WS (Water-based or Solvents)</t>
  </si>
  <si>
    <t>50% Polyurethane Foam Pad, 50% Resinated Polyester Fiber Batting</t>
  </si>
  <si>
    <t>Chloe</t>
  </si>
  <si>
    <t>59.50"</t>
  </si>
  <si>
    <t>3.50"</t>
  </si>
  <si>
    <t>37.50"</t>
  </si>
  <si>
    <t>45.00"</t>
  </si>
  <si>
    <t>10.50"</t>
  </si>
  <si>
    <t>50% Polyurethane Foam, 50% Fiber</t>
  </si>
  <si>
    <t>54.00"</t>
  </si>
  <si>
    <t>49.00"</t>
  </si>
  <si>
    <t>102878-002</t>
  </si>
  <si>
    <t>Colt 2-Piece Sectional - Aldred Silver</t>
  </si>
  <si>
    <t>Centrale</t>
  </si>
  <si>
    <t>Sectionals</t>
  </si>
  <si>
    <t>Left Chaise</t>
  </si>
  <si>
    <t>Aldred Silver</t>
  </si>
  <si>
    <t>Aged Sienna</t>
  </si>
  <si>
    <t>95% Polyester</t>
  </si>
  <si>
    <t>5% Flax/Linen</t>
  </si>
  <si>
    <t>Solid Rosa Morada</t>
  </si>
  <si>
    <t>Simply styled for everyday lounging. A textural poly/linen blend covering is made for comfort, with subtly flared sides for shapely effect and a wrapped plinth base. Left arm facing piece to matching sectional.</t>
  </si>
  <si>
    <t>https://dd3ka9h4chfr8.cloudfront.net/image/725136000567/image_49lafjl6f94oh8u7bic1clk33s/-S150x150-FJPG/102878-002_PRM_1.jpg</t>
  </si>
  <si>
    <t>https://dd3ka9h4chfr8.cloudfront.net/image/725136000567/image_8dn1o1siv55lra4chs03kop60a/-FJPG/102878-002_FRT_1.jpg</t>
  </si>
  <si>
    <t>https://dd3ka9h4chfr8.cloudfront.net/image/725136000567/image_49lafjl6f94oh8u7bic1clk33s/-FJPG/102878-002_PRM_1.jpg</t>
  </si>
  <si>
    <t>https://dd3ka9h4chfr8.cloudfront.net/image/725136000567/image_f08ape2h4t2on284lv5hb2uf6o/-FJPG/102878-002_SID_1.jpg</t>
  </si>
  <si>
    <t>https://dd3ka9h4chfr8.cloudfront.net/image/725136000567/image_215uo3g6ll57ncsm8nsi82q50q/-FJPG/102878-002_ESS_1.jpg</t>
  </si>
  <si>
    <t>https://dd3ka9h4chfr8.cloudfront.net/image/725136000567/image_cj0pjrtvat1dv2ispi2fi32m5s/-FJPG/102878-002_DET_2.jpg</t>
  </si>
  <si>
    <t>https://dd3ka9h4chfr8.cloudfront.net/image/725136000567/image_ueqbine87159b9her7u02n0j2f/-FJPG/102878-002_BCK_1.jpg</t>
  </si>
  <si>
    <t>https://dd3ka9h4chfr8.cloudfront.net/image/725136000567/image_0qpghjh3th5off6tuc5ba7n936/-FJPG/102878-002_DET_1.jpg</t>
  </si>
  <si>
    <t>https://dd3ka9h4chfr8.cloudfront.net/image/725136000567/image_02go7387ll28f3jd1hhn0cek68/-FJPG/102878-002_DET_3.jpg</t>
  </si>
  <si>
    <t>https://dd3ka9h4chfr8.cloudfront.net/image/725136000567/image_l0df3e0pet05145gvkiu3g9p4j/-FJPG/102878-002_DET_4.jpg</t>
  </si>
  <si>
    <t>https://dd3ka9h4chfr8.cloudfront.net/image/725136000567/image_9i2fcu244p3sr5enoo1v37s65a/-FJPG/102878-002_DET_5.jpg</t>
  </si>
  <si>
    <t>https://dd3ka9h4chfr8.cloudfront.net/image/725136000567/image_rhuso2k3rd0vtck00r6iqsq45o/-FJPG/102878-002_DET_6.jpg</t>
  </si>
  <si>
    <t>1 Piece</t>
  </si>
  <si>
    <t>95% Polyurethane Foam, 5% Fiber</t>
  </si>
  <si>
    <t>2 PC Chaise</t>
  </si>
  <si>
    <t>Colt</t>
  </si>
  <si>
    <t>100% Polyester Fiber</t>
  </si>
  <si>
    <t>Interlocking</t>
  </si>
  <si>
    <t>Left-Facing Chaise</t>
  </si>
  <si>
    <t>102878-014</t>
  </si>
  <si>
    <t>Colt 2-Piece Sectional - Merino Cotton</t>
  </si>
  <si>
    <t>Merino Cotton</t>
  </si>
  <si>
    <t>Simply styled for everyday lounging. A soft cotton covering is made for comfort, with subtly flared sides for shapely effect, all grounded by a wrapped plinth base. Left arm-facing chaise to matching modular sectional.</t>
  </si>
  <si>
    <t>https://dd3ka9h4chfr8.cloudfront.net/image/725136000567/image_iaj83ro6b92odes18ngo5bec1v/-S150x150-FJPG/102878-014_PRM_1.jpg</t>
  </si>
  <si>
    <t>https://dd3ka9h4chfr8.cloudfront.net/image/725136000567/image_c7tle7c3610tt9aeotauk68u0u/-FJPG/102878-014_FRT_1.jpg</t>
  </si>
  <si>
    <t>https://dd3ka9h4chfr8.cloudfront.net/image/725136000567/image_iaj83ro6b92odes18ngo5bec1v/-FJPG/102878-014_PRM_1.jpg</t>
  </si>
  <si>
    <t>https://dd3ka9h4chfr8.cloudfront.net/image/725136000567/image_sga758bibh3f7bh52foeic392h/-FJPG/102878-014_SID_1.jpg</t>
  </si>
  <si>
    <t>https://dd3ka9h4chfr8.cloudfront.net/image/725136000567/image_j12brb6cad0j952nsfpcko583c/-FJPG/102878-014_ESS.tif</t>
  </si>
  <si>
    <t>https://dd3ka9h4chfr8.cloudfront.net/image/725136000567/image_14bvbb7aap6l39aep5024c6c62/-FJPG/102878-014_BCK_1.jpg</t>
  </si>
  <si>
    <t>https://dd3ka9h4chfr8.cloudfront.net/image/725136000567/image_2jknmuj06l5l1e6sauuvmqe805/-FJPG/102878-014_INF_1.jpg</t>
  </si>
  <si>
    <t>102878-023</t>
  </si>
  <si>
    <t>Colt 2-Piece Sectional - Heirloom Cigar</t>
  </si>
  <si>
    <t>Heirloom Cigar</t>
  </si>
  <si>
    <t>Simply styled for everyday lounging. Rich top grain leather makes for a polished presentation, with subtly flared sides for shapely effect, all grounded by a wrapped plinth base. Left arm-facing chaise to matching modular sectional.</t>
  </si>
  <si>
    <t>https://dd3ka9h4chfr8.cloudfront.net/image/725136000567/image_pq2mgdd6e91tddk5on32arc52j/-S150x150-FJPG/102878-023_PRM_1.jpg</t>
  </si>
  <si>
    <t>https://dd3ka9h4chfr8.cloudfront.net/image/725136000567/image_cou4q2qnn9139bl5m8o1df7e24/-FJPG/102878-023_FRT_1.jpg</t>
  </si>
  <si>
    <t>https://dd3ka9h4chfr8.cloudfront.net/image/725136000567/image_pq2mgdd6e91tddk5on32arc52j/-FJPG/102878-023_PRM_1.jpg</t>
  </si>
  <si>
    <t>https://dd3ka9h4chfr8.cloudfront.net/image/725136000567/image_hbf56tmmrh5e539b8h160op10i/-FJPG/102878-023_SID_1.jpg</t>
  </si>
  <si>
    <t>https://dd3ka9h4chfr8.cloudfront.net/image/725136000567/image_ja64p0gthd4s910erlaq834h26/-FJPG/102878-023_ESS_1.jpg</t>
  </si>
  <si>
    <t>https://dd3ka9h4chfr8.cloudfront.net/image/725136000567/image_po8auocc114jv3r21ub9rch54j/-FJPG/102878-023_ESS.tif</t>
  </si>
  <si>
    <t>https://dd3ka9h4chfr8.cloudfront.net/image/725136000567/image_tfhbfkfjol0bt8n3p1985j6926/-FJPG/102878-023_DET_2.jpg</t>
  </si>
  <si>
    <t>https://dd3ka9h4chfr8.cloudfront.net/image/725136000567/image_33c77ff90l1hpd8865hkgk570l/-FJPG/102878-023_BCK_1.jpg</t>
  </si>
  <si>
    <t>https://dd3ka9h4chfr8.cloudfront.net/image/725136000567/image_hvcpkt9uh57ibeqob5j05ur74d/-FJPG/102878-023_DET_1.jpg</t>
  </si>
  <si>
    <t>https://dd3ka9h4chfr8.cloudfront.net/image/725136000567/image_kp5qakqdgd05vadjf0kmus8b4s/-FJPG/102878-023_DET_3.jpg</t>
  </si>
  <si>
    <t>https://dd3ka9h4chfr8.cloudfront.net/image/725136000567/image_hn70ttkrap2aj368socahspi2u/-FJPG/102878-023_DET_4.jpg</t>
  </si>
  <si>
    <t>https://dd3ka9h4chfr8.cloudfront.net/image/725136000567/image_3s239o6ihp1k96s0adlmrl9275/-FJPG/102878-023_DET_5.jpg</t>
  </si>
  <si>
    <t>https://dd3ka9h4chfr8.cloudfront.net/image/725136000567/image_5cbtg28c2l285fopbdc176hq12/-FJPG/102878-023_DET_6.jpg</t>
  </si>
  <si>
    <t>https://dd3ka9h4chfr8.cloudfront.net/image/725136000567/image_lnb3mljq752blenrfb4mgds35u/-FJPG/102878-023_DET_9.tif</t>
  </si>
  <si>
    <t>104250-002</t>
  </si>
  <si>
    <t>Lunas Sideboard - Caramel Guanacaste</t>
  </si>
  <si>
    <t>Wesson</t>
  </si>
  <si>
    <t>Caramel Guanacaste</t>
  </si>
  <si>
    <t>Bronzed Iron</t>
  </si>
  <si>
    <t>Thick Guanacaste Veneer</t>
  </si>
  <si>
    <t>With soft shaping and inset top inspired by classic jewelry setting, caramel-finished Guanacaste forms a beautifully sculpted silhouette, with natural high and lowlights coursing the entirety of this richly styled sideboard.</t>
  </si>
  <si>
    <t>https://dd3ka9h4chfr8.cloudfront.net/image/725136000567/image_v6g06a60o90i18qpblqs10nq4e/-S150x150-FJPG/104250-002_PRM_1.jpg</t>
  </si>
  <si>
    <t>https://dd3ka9h4chfr8.cloudfront.net/image/725136000567/image_8q7rhs981l40n1bbt4e6cdl126/-FJPG/104250-002_FRT_1.jpg</t>
  </si>
  <si>
    <t>https://dd3ka9h4chfr8.cloudfront.net/image/725136000567/image_v6g06a60o90i18qpblqs10nq4e/-FJPG/104250-002_PRM_1.jpg</t>
  </si>
  <si>
    <t>https://dd3ka9h4chfr8.cloudfront.net/image/725136000567/image_56seotdljp5n1235qk67ontc5n/-FJPG/104250-002_SID_1.jpg</t>
  </si>
  <si>
    <t>https://dd3ka9h4chfr8.cloudfront.net/image/725136000567/image_l0332hvoc556hajod5sd2ple0p/-FJPG/104250-002_ESS_1.jpg</t>
  </si>
  <si>
    <t>https://dd3ka9h4chfr8.cloudfront.net/image/725136000567/image_kokhakkfj14qpfgp3dmm4ior4i/-FJPG/104250-002_DET_2.jpg</t>
  </si>
  <si>
    <t>https://dd3ka9h4chfr8.cloudfront.net/image/725136000567/image_1lkg7ab6fp2ejb7ibrp085oi2c/-FJPG/104250-002_BCK_1.jpg</t>
  </si>
  <si>
    <t>https://dd3ka9h4chfr8.cloudfront.net/image/725136000567/image_g60kkm3p9p2i54jgifbimk056l/-FJPG/104250-002_DET_1.jpg</t>
  </si>
  <si>
    <t>https://dd3ka9h4chfr8.cloudfront.net/image/725136000567/image_npcst0sas56dt867a6nr864t0e/-FJPG/104250-002_DET_3.jpg</t>
  </si>
  <si>
    <t>https://dd3ka9h4chfr8.cloudfront.net/image/725136000567/image_plm7tipdd14uj1uauchfaklr1j/-FJPG/104250-002_OPN_1.jpg</t>
  </si>
  <si>
    <t>https://dd3ka9h4chfr8.cloudfront.net/image/725136000567/image_v3dm6nfju1755b1v0nnop7ro4s/-FJPG/104250-002_DET_4.jpg</t>
  </si>
  <si>
    <t>10.75"</t>
  </si>
  <si>
    <t>Edge Glueing and Lamination</t>
  </si>
  <si>
    <t>Lunas</t>
  </si>
  <si>
    <t>5.38"</t>
  </si>
  <si>
    <t>20.38"</t>
  </si>
  <si>
    <t>Push Latch</t>
  </si>
  <si>
    <t>Cabinetry</t>
  </si>
  <si>
    <t>104428-003</t>
  </si>
  <si>
    <t>Belmont 8 Drawer Tall Dresser - Black</t>
  </si>
  <si>
    <t>Belmont</t>
  </si>
  <si>
    <t>Sleek and industrial-inspired, black iron forms a tall, spacious eight-drawer dresser, with brass knobs for contrast. This item has been modified to comply with the STURDY Act. See a full list of modified products and data changes in the â€œSTURDY Actâ€ file in the Downloads section below.</t>
  </si>
  <si>
    <t>https://dd3ka9h4chfr8.cloudfront.net/image/725136000567/image_q0i1d42au97773gctirbk6q311/-S150x150-FJPG/104428-003_PRM_1.jpg</t>
  </si>
  <si>
    <t>https://dd3ka9h4chfr8.cloudfront.net/image/725136000567/image_0rib5k91111or36qqdr43nf87j/-FJPG/104428-003_FRT_1.jpg</t>
  </si>
  <si>
    <t>https://dd3ka9h4chfr8.cloudfront.net/image/725136000567/image_q0i1d42au97773gctirbk6q311/-FJPG/104428-003_PRM_1.jpg</t>
  </si>
  <si>
    <t>https://dd3ka9h4chfr8.cloudfront.net/image/725136000567/image_rr671aanfl7tf3vnhfa4mbja6g/-FJPG/104428-003_SID_1.jpg</t>
  </si>
  <si>
    <t>https://dd3ka9h4chfr8.cloudfront.net/image/725136000567/image_6d85nse0i10fp1v2ie31u4cm21/-FJPG/104428-003_DET_2.jpg</t>
  </si>
  <si>
    <t>https://dd3ka9h4chfr8.cloudfront.net/image/725136000567/image_3isvvref0p7p169n0uerdane4k/-FJPG/104428-003_BCK_1.jpg</t>
  </si>
  <si>
    <t>https://dd3ka9h4chfr8.cloudfront.net/image/725136000567/image_bklvt1ufah5830re3iq4jc6035/-FJPG/104428-003_DET_1.jpg</t>
  </si>
  <si>
    <t>https://dd3ka9h4chfr8.cloudfront.net/image/725136000567/image_8pm7rond5h1nffcq7hv90vld6f/-FJPG/104428-003_DET_3.jpg</t>
  </si>
  <si>
    <t>https://dd3ka9h4chfr8.cloudfront.net/image/725136000567/image_cijkksl3n12pv47ncefleqvd15/-FJPG/104428-003_OPN_1.jpg</t>
  </si>
  <si>
    <t>https://dd3ka9h4chfr8.cloudfront.net/image/725136000567/image_h00e0lc8814un6eq7rfohbja5l/-FJPG/104428-003_DET_4.jpg</t>
  </si>
  <si>
    <t>https://dd3ka9h4chfr8.cloudfront.net/image/725136000567/image_clfqp5en1p0s725841oh58954c/-FJPG/104428-003_DET_5.jpg</t>
  </si>
  <si>
    <t>https://dd3ka9h4chfr8.cloudfront.net/image/725136000567/image_rkede2lgjt50rebvo7heren95e/-FJPG/104428-003_DET_6.jpg</t>
  </si>
  <si>
    <t>https://dd3ka9h4chfr8.cloudfront.net/image/725136000567/image_8q269an6nt7n7030jlqpunk00u/-FJPG/104428-003_DET_7.jpg</t>
  </si>
  <si>
    <t>https://dd3ka9h4chfr8.cloudfront.net/image/725136000567/image_10cd1spptt3gb0ligtkcd9755c/-FJPG/104428-003_DET_8.jpg</t>
  </si>
  <si>
    <t>https://dd3ka9h4chfr8.cloudfront.net/image/725136000567/image_ffafk0sva95q59vuoug0ap756q/-FJPG/104428-003_ESS.jpg</t>
  </si>
  <si>
    <t>Complete</t>
  </si>
  <si>
    <t>Tall</t>
  </si>
  <si>
    <t>3.62"</t>
  </si>
  <si>
    <t>16.79"</t>
  </si>
  <si>
    <t>3.58"</t>
  </si>
  <si>
    <t>6.57"</t>
  </si>
  <si>
    <t>14.65"</t>
  </si>
  <si>
    <t>32.01"</t>
  </si>
  <si>
    <t>104440-003</t>
  </si>
  <si>
    <t>Belmont 2 Drawer Nightstand - Black</t>
  </si>
  <si>
    <t>Bolton</t>
  </si>
  <si>
    <t>Weathered Bronze</t>
  </si>
  <si>
    <t>https://dd3ka9h4chfr8.cloudfront.net/image/725136000567/image_enbedvk8m95cldefgqrc131m5g/-S150x150-FJPG/104440-003_PRM_1.jpg</t>
  </si>
  <si>
    <t>https://dd3ka9h4chfr8.cloudfront.net/image/725136000567/image_luis8v4vh51rl13b6417634i7d/-FJPG/104440-003_FRT_1.jpg</t>
  </si>
  <si>
    <t>https://dd3ka9h4chfr8.cloudfront.net/image/725136000567/image_enbedvk8m95cldefgqrc131m5g/-FJPG/104440-003_PRM_1.jpg</t>
  </si>
  <si>
    <t>https://dd3ka9h4chfr8.cloudfront.net/image/725136000567/image_nqp81v7jhp1dhar5bt85ls5i6r/-FJPG/104440-003_SID_1.jpg</t>
  </si>
  <si>
    <t>https://dd3ka9h4chfr8.cloudfront.net/image/725136000567/image_2sfmq9s8ml7jh5ebpb0p7gge5c/-FJPG/104440-003_ESS.tif</t>
  </si>
  <si>
    <t>https://dd3ka9h4chfr8.cloudfront.net/image/725136000567/image_rgcpaktjkl71j4dabmhk08ch03/-FJPG/104440-003_DET_2.jpg</t>
  </si>
  <si>
    <t>https://dd3ka9h4chfr8.cloudfront.net/image/725136000567/image_5kgmvo0a311mjdn4ad2r0rio4d/-FJPG/104440-003_BCK_1.jpg</t>
  </si>
  <si>
    <t>https://dd3ka9h4chfr8.cloudfront.net/image/725136000567/image_ep9c69r0u91a9bk4tju2fr9e57/-FJPG/104440-003_DET_1.jpg</t>
  </si>
  <si>
    <t>https://dd3ka9h4chfr8.cloudfront.net/image/725136000567/image_e4r910un1953v3kpuruiftta59/-FJPG/104440-003_DET_3.jpg</t>
  </si>
  <si>
    <t>https://dd3ka9h4chfr8.cloudfront.net/image/725136000567/image_5vedam9hop13nb5m7hsp149d5a/-FJPG/104440-003_OPN_1.jpg</t>
  </si>
  <si>
    <t>https://dd3ka9h4chfr8.cloudfront.net/image/725136000567/image_m01k188p3p3h1089he6vjt4k3p/-FJPG/104440-003_DET_4.jpg</t>
  </si>
  <si>
    <t>17.66"</t>
  </si>
  <si>
    <t>3.94"</t>
  </si>
  <si>
    <t>22.05"</t>
  </si>
  <si>
    <t>3.15"</t>
  </si>
  <si>
    <t>14.04"</t>
  </si>
  <si>
    <t>6.83"</t>
  </si>
  <si>
    <t>20.12"</t>
  </si>
  <si>
    <t>104448-002</t>
  </si>
  <si>
    <t>Belmont 8 Drawer Metal Dresser - Black</t>
  </si>
  <si>
    <t>Industrial-inspired, black iron forms a spacious wide and roomy eight-drawer dresser, with bronzed knobs for contrast. This item has been modified to comply with the STURDY Act. See a full list of modified products and data changes in the â€œSTURDY Actâ€ file in the Downloads section below.</t>
  </si>
  <si>
    <t>https://dd3ka9h4chfr8.cloudfront.net/image/725136000567/image_mv6kf8pdb906j106cs32itae40/-S150x150-FJPG/104448-002_PRM_1.jpg</t>
  </si>
  <si>
    <t>https://dd3ka9h4chfr8.cloudfront.net/image/725136000567/image_0fqnt1bvn912d7mkotiog4ik3m/-FJPG/104448-002_FRT_1.jpg</t>
  </si>
  <si>
    <t>https://dd3ka9h4chfr8.cloudfront.net/image/725136000567/image_mv6kf8pdb906j106cs32itae40/-FJPG/104448-002_PRM_1.jpg</t>
  </si>
  <si>
    <t>https://dd3ka9h4chfr8.cloudfront.net/image/725136000567/image_6ra42f03614kt48ce2fbvst60d/-FJPG/104448-002_SID_1.jpg</t>
  </si>
  <si>
    <t>https://dd3ka9h4chfr8.cloudfront.net/image/725136000567/image_dj46uecjf52s93clbiodeqmd3o/-FJPG/104448-002_DET_2.jpg</t>
  </si>
  <si>
    <t>https://dd3ka9h4chfr8.cloudfront.net/image/725136000567/image_sdtajlkm8l5rt7hk8tcit3si5c/-FJPG/104448-002_BCK_1.jpg</t>
  </si>
  <si>
    <t>https://dd3ka9h4chfr8.cloudfront.net/image/725136000567/image_4nq749f8it68dbit4d1o5do96h/-FJPG/104448-002_DET_1.jpg</t>
  </si>
  <si>
    <t>https://dd3ka9h4chfr8.cloudfront.net/image/725136000567/image_n6cuuhlfhl68t8u6ncfggl7v5d/-FJPG/104448-002_DET_3.jpg</t>
  </si>
  <si>
    <t>https://dd3ka9h4chfr8.cloudfront.net/image/725136000567/image_g6rj2f0p5922tf810792dmc434/-FJPG/104448-002_OPN_1.jpg</t>
  </si>
  <si>
    <t>https://dd3ka9h4chfr8.cloudfront.net/image/725136000567/image_bkr551eooh1lvetf95sbak8o6i/-FJPG/104448-002_DET_4.jpg</t>
  </si>
  <si>
    <t>https://dd3ka9h4chfr8.cloudfront.net/image/725136000567/image_hvn5i9oo5911h2om3gku69n40e/-FJPG/104448-002_DET_5.jpg</t>
  </si>
  <si>
    <t>https://dd3ka9h4chfr8.cloudfront.net/image/725136000567/image_aoe2r6l2214qr4uu6q9pjuep26/-FJPG/104448-002_DET_6.jpg</t>
  </si>
  <si>
    <t>https://dd3ka9h4chfr8.cloudfront.net/image/725136000567/image_a8r6o6hla970hcj215q3kfqv4n/-FJPG/104448-002_DET_7.jpg</t>
  </si>
  <si>
    <t>Metal</t>
  </si>
  <si>
    <t>16.81"</t>
  </si>
  <si>
    <t>6.97"</t>
  </si>
  <si>
    <t>31.93"</t>
  </si>
  <si>
    <t>104607-002</t>
  </si>
  <si>
    <t>Lauren Desk - Natural Resawn Oak</t>
  </si>
  <si>
    <t>Bina</t>
  </si>
  <si>
    <t>Desks</t>
  </si>
  <si>
    <t>Executive Desks</t>
  </si>
  <si>
    <t>Natural Resawn Oak</t>
  </si>
  <si>
    <t>Dark Steel</t>
  </si>
  <si>
    <t>Natural Oak Veneer</t>
  </si>
  <si>
    <t>Resawn Oak Veneer</t>
  </si>
  <si>
    <t>Steel</t>
  </si>
  <si>
    <t>Made from solid oak and reclaimed peroba, a legal-style desk offers major storage with dual cabinetry, including file storage for legal and letter-size documents. A floating top and iron legs keep the look modern and light. This piece is designed in collaboration with Thomas Bina. Four Handsâ€™ partnership with the renowned Los Angeles furniture designer began in the early 2000s, producing several unique collections including reclaimed wood-driven case goods and Brazilian-inspired upholstery.</t>
  </si>
  <si>
    <t>https://dd3ka9h4chfr8.cloudfront.net/image/725136000567/image_5tdmssr3157gl3sd5qj9fpp82k/-S150x150-FJPG/104607-002_PRM_1.jpg</t>
  </si>
  <si>
    <t>https://dd3ka9h4chfr8.cloudfront.net/image/725136000567/image_89nqstmfl54aj9fhapqu08jp12/-FJPG/104607-002_FRT_1.jpg</t>
  </si>
  <si>
    <t>https://dd3ka9h4chfr8.cloudfront.net/image/725136000567/image_5tdmssr3157gl3sd5qj9fpp82k/-FJPG/104607-002_PRM_1.jpg</t>
  </si>
  <si>
    <t>https://dd3ka9h4chfr8.cloudfront.net/image/725136000567/image_s501cbgs1t5kvc65el7avgdq60/-FJPG/104607-002_SID_1.jpg</t>
  </si>
  <si>
    <t>https://dd3ka9h4chfr8.cloudfront.net/image/725136000567/image_l5g8h4jcbd2fj7l4nl6c7lsa1j/-FJPG/104607-002_ESS_1.jpg</t>
  </si>
  <si>
    <t>https://dd3ka9h4chfr8.cloudfront.net/image/725136000567/image_fs6v54g8d57sv0mmu2ogbmro33/-FJPG/104607-002_DET_2.jpg</t>
  </si>
  <si>
    <t>https://dd3ka9h4chfr8.cloudfront.net/image/725136000567/image_crdmj30ju56q3bapl2c7jr2s6r/-FJPG/104607-002_BCK_1.jpg</t>
  </si>
  <si>
    <t>https://dd3ka9h4chfr8.cloudfront.net/image/725136000567/image_51e464g3256mp72diicvm2b06d/-FJPG/104607-002_DET_1.jpg</t>
  </si>
  <si>
    <t>https://dd3ka9h4chfr8.cloudfront.net/image/725136000567/image_qoqjvuvb9t4jd79csrjb59g50m/-FJPG/104607-002_DET_3.jpg</t>
  </si>
  <si>
    <t>https://dd3ka9h4chfr8.cloudfront.net/image/725136000567/image_7m1vs63nkh147a68g6iedp3d3q/-FJPG/104607-002_OPN_1.jpg</t>
  </si>
  <si>
    <t>https://dd3ka9h4chfr8.cloudfront.net/image/725136000567/image_sdehi987s16rn8bd852gcs5d6s/-FJPG/104607-002_DET_4.jpg</t>
  </si>
  <si>
    <t>https://dd3ka9h4chfr8.cloudfront.net/image/725136000567/image_0el4p0j9vp0hv20159b38qcr6d/-FJPG/104607-002_DET_5.jpg</t>
  </si>
  <si>
    <t>https://dd3ka9h4chfr8.cloudfront.net/image/725136000567/image_c6dcftd3fl1fh5i2iev3qe770j/-FJPG/104607-002_OPN_2.jpg</t>
  </si>
  <si>
    <t>12.24"</t>
  </si>
  <si>
    <t>6.42"</t>
  </si>
  <si>
    <t>25.98"</t>
  </si>
  <si>
    <t>Undermount Wood</t>
  </si>
  <si>
    <t>Plastic</t>
  </si>
  <si>
    <t>Executive</t>
  </si>
  <si>
    <t>Lauren</t>
  </si>
  <si>
    <t>61.42"</t>
  </si>
  <si>
    <t>0.79"</t>
  </si>
  <si>
    <t>29.53"</t>
  </si>
  <si>
    <t>1.26"</t>
  </si>
  <si>
    <t>10.43"</t>
  </si>
  <si>
    <t>16.77"</t>
  </si>
  <si>
    <t>12.09"</t>
  </si>
  <si>
    <t>10.24"</t>
  </si>
  <si>
    <t>1.38"</t>
  </si>
  <si>
    <t>14.72"</t>
  </si>
  <si>
    <t>2.52"</t>
  </si>
  <si>
    <t>1.77"</t>
  </si>
  <si>
    <t>4.13"</t>
  </si>
  <si>
    <t>104607-003</t>
  </si>
  <si>
    <t>Lauren Desk - Charcoal Oak Resawn Veneer</t>
  </si>
  <si>
    <t>Charcoal Oak Resawn Veneer</t>
  </si>
  <si>
    <t>Black And Silver Metal</t>
  </si>
  <si>
    <t>Charcoal Oak Veneer</t>
  </si>
  <si>
    <t>Made from resawn oak and oak veneer, a legal-style desk offers major storage with dual cabinetry, including file storage for legal and letter-size documents. A floating top and iron legs keep the look modern and light. This piece is designed in collaboration with Thomas Bina. Four Handsâ€™ partnership with the renowned Los Angeles furniture designer began in the early 2000s, producing several unique collections including reclaimed wood-driven case goods and Brazilian-inspired upholstery.</t>
  </si>
  <si>
    <t>https://dd3ka9h4chfr8.cloudfront.net/image/725136000567/image_mc7qaaleo91i5fba5unmn8lp2k/-S150x150-FJPG/104607-003_PRM_1.jpg</t>
  </si>
  <si>
    <t>https://dd3ka9h4chfr8.cloudfront.net/image/725136000567/image_b66vmeahl958v0iqmsmfo95r6n/-FJPG/104607-003_FRT_1.jpg</t>
  </si>
  <si>
    <t>https://dd3ka9h4chfr8.cloudfront.net/image/725136000567/image_mc7qaaleo91i5fba5unmn8lp2k/-FJPG/104607-003_PRM_1.jpg</t>
  </si>
  <si>
    <t>https://dd3ka9h4chfr8.cloudfront.net/image/725136000567/image_vnhbphrmv90i592drtbh6bus0r/-FJPG/104607-003_SID_1.jpg</t>
  </si>
  <si>
    <t>https://dd3ka9h4chfr8.cloudfront.net/image/725136000567/image_98eakvbci50kr7h8speqvbr174/-FJPG/104607-003_DET_2.jpg</t>
  </si>
  <si>
    <t>https://dd3ka9h4chfr8.cloudfront.net/image/725136000567/image_f4nsqaul8h2ub336vj341e0a04/-FJPG/104607-003_BCK_1.jpg</t>
  </si>
  <si>
    <t>https://dd3ka9h4chfr8.cloudfront.net/image/725136000567/image_769a91nhrp4rhf6ca5rcj9ch50/-FJPG/104607-003_DET_1.jpg</t>
  </si>
  <si>
    <t>https://dd3ka9h4chfr8.cloudfront.net/image/725136000567/image_2tipv7mo3h2bl6dr9sk3hll905/-FJPG/104607-003_DET_3.jpg</t>
  </si>
  <si>
    <t>https://dd3ka9h4chfr8.cloudfront.net/image/725136000567/image_4evtn7tn6t7578ksm8ikbp6i66/-FJPG/104607-003_OPN_1.jpg</t>
  </si>
  <si>
    <t>https://dd3ka9h4chfr8.cloudfront.net/image/725136000567/image_uuf97561tt00r4nctt7odiib5r/-FJPG/104607-003_TOP_1.jpg</t>
  </si>
  <si>
    <t>https://dd3ka9h4chfr8.cloudfront.net/image/725136000567/image_njnmpbj9hp5qdcmmfgqhnbv929/-FJPG/104607-003_DET_4.jpg</t>
  </si>
  <si>
    <t>https://dd3ka9h4chfr8.cloudfront.net/image/725136000567/image_r899fid0h939la7ago2kit2d0l/-FJPG/104607-003_DET_5.jpg</t>
  </si>
  <si>
    <t>https://dd3ka9h4chfr8.cloudfront.net/image/725136000567/image_77s1obthal6tj111t465sqm87j/-FJPG/104607-003_DET_6.jpg</t>
  </si>
  <si>
    <t>https://dd3ka9h4chfr8.cloudfront.net/image/725136000567/image_835qvekfo518322f98bcsckh5j/-FJPG/104607-003_OPN_2.jpg</t>
  </si>
  <si>
    <t>104629-002</t>
  </si>
  <si>
    <t>Crosby Side Table - Natural Resawn Oak</t>
  </si>
  <si>
    <t>Natural Oak Solid</t>
  </si>
  <si>
    <t>Light Cream Shagreen</t>
  </si>
  <si>
    <t>Faux Shagreen</t>
  </si>
  <si>
    <t>Mixed materials and the simplest of shapes are sized to make a perfect side table. Solid natural oak is supported by a faux shagreen base in a light cream. This piece is designed in collaboration with Thomas Bina. Four Handsâ€™ partnership with the renowned Los Angeles furniture designer began in the early 2000s, producing several unique collections including reclaimed wood-driven case goods and Brazilian-inspired upholstery.</t>
  </si>
  <si>
    <t>https://dd3ka9h4chfr8.cloudfront.net/image/725136000567/image_qi7f8vgs8l1gp1632774eko326/-S150x150-FJPG/104629-002_PRM_1.jpg</t>
  </si>
  <si>
    <t>https://dd3ka9h4chfr8.cloudfront.net/image/725136000567/image_qi7f8vgs8l1gp1632774eko326/-FJPG/104629-002_PRM_1.jpg</t>
  </si>
  <si>
    <t>https://dd3ka9h4chfr8.cloudfront.net/image/725136000567/image_n4dbe53kf57hdbdpgvl03kol6u/-FJPG/104629-002_ESS_1.jpg</t>
  </si>
  <si>
    <t>https://dd3ka9h4chfr8.cloudfront.net/image/725136000567/image_bahs2g9sl57dh93p56bbupcd3g/-FJPG/104629-002_DET_2.jpg</t>
  </si>
  <si>
    <t>https://dd3ka9h4chfr8.cloudfront.net/image/725136000567/image_qsgs97jn650mr4qp6jkfdonq0q/-FJPG/104629-002_DET_1.jpg</t>
  </si>
  <si>
    <t>https://dd3ka9h4chfr8.cloudfront.net/image/725136000567/image_c0vgeq2imh4jv7ab5sj7cr5v6s/-FJPG/104629-002_DET_3.jpg</t>
  </si>
  <si>
    <t>Crosby</t>
  </si>
  <si>
    <t>2.48"</t>
  </si>
  <si>
    <t>0.20"</t>
  </si>
  <si>
    <t>105023-005</t>
  </si>
  <si>
    <t>Beckwourth Coffee Table-60" - Sierra Rustic Natural</t>
  </si>
  <si>
    <t>Sierra</t>
  </si>
  <si>
    <t>Sierra Rustic Natural</t>
  </si>
  <si>
    <t>Solid Reclaimed Pine</t>
  </si>
  <si>
    <t>Reclaimed character woods are fashioned into the quintessential rustic coffee table. Lower shelving ups storage space, while materials' natural graining stays intact for authenticity.</t>
  </si>
  <si>
    <t>https://dd3ka9h4chfr8.cloudfront.net/image/725136000567/image_vi72tacoip2vvbulir8gddl547/-S150x150-FJPG/105023-005_PRM_1.jpg</t>
  </si>
  <si>
    <t>https://dd3ka9h4chfr8.cloudfront.net/image/725136000567/image_bghe5u2end375ej3ph1617op7n/-FJPG/105023-005_FRT_1.jpg</t>
  </si>
  <si>
    <t>https://dd3ka9h4chfr8.cloudfront.net/image/725136000567/image_vi72tacoip2vvbulir8gddl547/-FJPG/105023-005_PRM_1.jpg</t>
  </si>
  <si>
    <t>https://dd3ka9h4chfr8.cloudfront.net/image/725136000567/image_jjrhkmr3ul309849vfdd31ac4o/-FJPG/105023-005_SID_1.jpg</t>
  </si>
  <si>
    <t>https://dd3ka9h4chfr8.cloudfront.net/image/725136000567/image_p0vhnh8qrh4836fdhhddr16m4t/-FJPG/105023-005_DET_2.jpg</t>
  </si>
  <si>
    <t>https://dd3ka9h4chfr8.cloudfront.net/image/725136000567/image_d1p0oi7g290m1927c1rdelec5b/-FJPG/105023-005_DET_1.jpg</t>
  </si>
  <si>
    <t>https://dd3ka9h4chfr8.cloudfront.net/image/725136000567/image_lcfitfv6590gp32hqedcugnc06/-FJPG/105023-005_DET_3.jpg</t>
  </si>
  <si>
    <t>https://dd3ka9h4chfr8.cloudfront.net/image/725136000567/image_u33nbkrf393o54sdh845cemo4j/-FJPG/105023-005_DET_4.jpg</t>
  </si>
  <si>
    <t>https://dd3ka9h4chfr8.cloudfront.net/image/725136000567/image_gk4b0ushfh4npcoiiuomm7g55i/-FJPG/105023-005_DET_5.jpg</t>
  </si>
  <si>
    <t>https://dd3ka9h4chfr8.cloudfront.net/image/725136000567/image_agc45702st1jfa1hq7ccukqq0g/-FJPG/105023-005_DET_6.jpg</t>
  </si>
  <si>
    <t>https://dd3ka9h4chfr8.cloudfront.net/image/725136000567/image_sms8odme0h46961kunimct682l/-FJPG/105023-005_DET_7.jpg</t>
  </si>
  <si>
    <t>25.59"</t>
  </si>
  <si>
    <t>54.53"</t>
  </si>
  <si>
    <t>Floating Construction</t>
  </si>
  <si>
    <t>Beckwourth</t>
  </si>
  <si>
    <t>15.98"</t>
  </si>
  <si>
    <t>60.04"</t>
  </si>
  <si>
    <t>105188-002</t>
  </si>
  <si>
    <t>Paden Dining Table - Sandy Acacia</t>
  </si>
  <si>
    <t>Haiden</t>
  </si>
  <si>
    <t>Sandy Acacia</t>
  </si>
  <si>
    <t>Sandy Acacia Solid</t>
  </si>
  <si>
    <t>Acacia Veneer</t>
  </si>
  <si>
    <t>Solid Acacia</t>
  </si>
  <si>
    <t>A study in shape. Sand-colored acacia forms crescent-shaped legs and a sprawling oval tabletop, bringing grand, organic-infused presence to the dining room.</t>
  </si>
  <si>
    <t>https://dd3ka9h4chfr8.cloudfront.net/image/725136000567/image_p0tvuoeu6t5s72c5ikn5c1mc4u/-S150x150-FJPG/105188-002_PRM_1.jpg</t>
  </si>
  <si>
    <t>https://dd3ka9h4chfr8.cloudfront.net/image/725136000567/image_5fovd2o9id5pvbkd4amh41jj4a/-FJPG/105188-002_FRT_1.jpg</t>
  </si>
  <si>
    <t>https://dd3ka9h4chfr8.cloudfront.net/image/725136000567/image_p0tvuoeu6t5s72c5ikn5c1mc4u/-FJPG/105188-002_PRM_1.jpg</t>
  </si>
  <si>
    <t>https://dd3ka9h4chfr8.cloudfront.net/image/725136000567/image_ufql1iumnh1qrb35bi6fat2j27/-FJPG/105188-002_SID_1.jpg</t>
  </si>
  <si>
    <t>https://dd3ka9h4chfr8.cloudfront.net/image/725136000567/image_1asjlutki91od1dco26mc7oe39/-FJPG/105188-002_ESS_1.jpg</t>
  </si>
  <si>
    <t>https://dd3ka9h4chfr8.cloudfront.net/image/725136000567/image_rphbd05ict2ib1nbobj8796g02/-FJPG/105188-002_DET_2.jpg</t>
  </si>
  <si>
    <t>https://dd3ka9h4chfr8.cloudfront.net/image/725136000567/image_3l5h2k3dc51djf3tvfeofa434d/-FJPG/105188-002_DET_1.jpg</t>
  </si>
  <si>
    <t>https://dd3ka9h4chfr8.cloudfront.net/image/725136000567/image_045qldrcgl1h94ltrhkrpnrl4j/-FJPG/105188-002_DET_3.jpg</t>
  </si>
  <si>
    <t>https://dd3ka9h4chfr8.cloudfront.net/image/725136000567/image_uti6le7o5l60151i77km1j9k1q/-FJPG/105188-002_DET_4.jpg</t>
  </si>
  <si>
    <t>https://dd3ka9h4chfr8.cloudfront.net/image/725136000567/image_isb56elc2157976didqoufp81j/-FJPG/105188-002_DET_5.jpg</t>
  </si>
  <si>
    <t>https://dd3ka9h4chfr8.cloudfront.net/image/725136000567/image_2dfb346cnl5077vqkus43k975p/-FJPG/105188-002_DET_7.jpg</t>
  </si>
  <si>
    <t>Oval</t>
  </si>
  <si>
    <t>Paden</t>
  </si>
  <si>
    <t>28.58"</t>
  </si>
  <si>
    <t>46.02"</t>
  </si>
  <si>
    <t>1.42"</t>
  </si>
  <si>
    <t>13.98"</t>
  </si>
  <si>
    <t>Double Pedestal</t>
  </si>
  <si>
    <t>105188-004</t>
  </si>
  <si>
    <t>Paden Dining Table - Aged Black Acacia</t>
  </si>
  <si>
    <t>Aged Black Acacia</t>
  </si>
  <si>
    <t>Aged Black Acacia Solid</t>
  </si>
  <si>
    <t>A study in shape. Solid black acacia forms crescent legs and a sprawling oval-shaped tabletop, bringing organic presence to the dining room. Seats 8â€“10 people.</t>
  </si>
  <si>
    <t>https://dd3ka9h4chfr8.cloudfront.net/image/725136000567/image_ubrd16sl6l6jf9qu2893j1mv79/-S150x150-FJPG/105188-004_PRM_1.jpg</t>
  </si>
  <si>
    <t>https://dd3ka9h4chfr8.cloudfront.net/image/725136000567/image_c6nt5hd0t15b36jsc8nhqnrv4b/-FJPG/105188-004_FRT_1.jpg</t>
  </si>
  <si>
    <t>https://dd3ka9h4chfr8.cloudfront.net/image/725136000567/image_ubrd16sl6l6jf9qu2893j1mv79/-FJPG/105188-004_PRM_1.jpg</t>
  </si>
  <si>
    <t>https://dd3ka9h4chfr8.cloudfront.net/image/725136000567/image_eca8ajlr5l0ld26jc9kvp08s29/-FJPG/105188-004_SID_1.jpg</t>
  </si>
  <si>
    <t>https://dd3ka9h4chfr8.cloudfront.net/image/725136000567/image_5d04eq80f54hfd852qk3k1hr5e/-FJPG/105188-004_ESS.tif</t>
  </si>
  <si>
    <t>https://dd3ka9h4chfr8.cloudfront.net/image/725136000567/image_2uvngslocl4p70iktgfkkad43n/-FJPG/105188-004_DET_2.jpg</t>
  </si>
  <si>
    <t>https://dd3ka9h4chfr8.cloudfront.net/image/725136000567/image_eq8pnmsr114f347kj4rjvbhh6k/-FJPG/105188-004_DET_1.jpg</t>
  </si>
  <si>
    <t>https://dd3ka9h4chfr8.cloudfront.net/image/725136000567/image_qq9v430oml6cr3oduhl57gvd0f/-FJPG/105188-004_DET_3.jpg</t>
  </si>
  <si>
    <t>https://dd3ka9h4chfr8.cloudfront.net/image/725136000567/image_ifblb6q6i12q37p1npjugnin02/-FJPG/105188-004_DET_4.jpg</t>
  </si>
  <si>
    <t>https://dd3ka9h4chfr8.cloudfront.net/image/725136000567/image_h4k63bna8527h848go3itr1p3p/-FJPG/105188-004_DET_5.jpg</t>
  </si>
  <si>
    <t>https://dd3ka9h4chfr8.cloudfront.net/image/725136000567/image_5piglol58h08r8kajpa4r9rv78/-FJPG/105188-004_ESS.tif</t>
  </si>
  <si>
    <t>105188-010</t>
  </si>
  <si>
    <t>Paden Dining Table - Worn Oak Veneer</t>
  </si>
  <si>
    <t>Worn Oak Veneer</t>
  </si>
  <si>
    <t>Thick Oak Veneer</t>
  </si>
  <si>
    <t>A study in shape. Solid brown oak forms crescent-shaped legs and sprawling oval tabletop, bringing organic presence to the dining room.</t>
  </si>
  <si>
    <t>https://dd3ka9h4chfr8.cloudfront.net/image/725136000567/image_q9hjnaerhh1g30lghtqc712n08/-S150x150-FJPG/105188-010_PRM_1.jpg</t>
  </si>
  <si>
    <t>https://dd3ka9h4chfr8.cloudfront.net/image/725136000567/image_imleoh9nlt3ct71bb9gg3mp15t/-FJPG/105188-010_FRT_1.jpg</t>
  </si>
  <si>
    <t>https://dd3ka9h4chfr8.cloudfront.net/image/725136000567/image_q9hjnaerhh1g30lghtqc712n08/-FJPG/105188-010_PRM_1.jpg</t>
  </si>
  <si>
    <t>https://dd3ka9h4chfr8.cloudfront.net/image/725136000567/image_d5egn9v9up70p6sdq7ppoqgs4d/-FJPG/105188-010_SID_1.jpg</t>
  </si>
  <si>
    <t>https://dd3ka9h4chfr8.cloudfront.net/image/725136000567/image_4jgpeoquep4ut8gcap2l1e7d5g/-FJPG/105188-010_DET_2.jpg</t>
  </si>
  <si>
    <t>https://dd3ka9h4chfr8.cloudfront.net/image/725136000567/image_13s05vum015c55l7a88vc3ft5l/-FJPG/105188-010_DET_1.jpg</t>
  </si>
  <si>
    <t>https://dd3ka9h4chfr8.cloudfront.net/image/725136000567/image_56hb1g2n110l90odv9chdobt1i/-FJPG/105188-010_DET_3.jpg</t>
  </si>
  <si>
    <t>https://dd3ka9h4chfr8.cloudfront.net/image/725136000567/image_cvlks5ps5t5l18m5igc3he8c2k/-FJPG/105188-010_TOP_1.jpg</t>
  </si>
  <si>
    <t>https://dd3ka9h4chfr8.cloudfront.net/image/725136000567/image_lis2uop8eh0p3dntamjah1sb05/-FJPG/105188-010_DET_4.jpg</t>
  </si>
  <si>
    <t>105570-005</t>
  </si>
  <si>
    <t>Copeland Chair - Thames Cream</t>
  </si>
  <si>
    <t>Toasted Oak</t>
  </si>
  <si>
    <t>A tailored look inspired by modern menswear. Slim, cradled framing of toasted oak supports cream colored textured seating with a single pillow for added comfort.</t>
  </si>
  <si>
    <t>https://dd3ka9h4chfr8.cloudfront.net/image/725136000567/image_i8vh17l9kd6jdef1s99qpfv47g/-S150x150-FJPG/105570-005_PRM_1.JPG</t>
  </si>
  <si>
    <t>https://dd3ka9h4chfr8.cloudfront.net/image/725136000567/image_nucven97qd4mrbnittnh67924t/-FJPG/105570-005_FRT_1.JPG</t>
  </si>
  <si>
    <t>https://dd3ka9h4chfr8.cloudfront.net/image/725136000567/image_i8vh17l9kd6jdef1s99qpfv47g/-FJPG/105570-005_PRM_1.JPG</t>
  </si>
  <si>
    <t>https://dd3ka9h4chfr8.cloudfront.net/image/725136000567/image_3h8ruq6c995uf2cmj1uf1qgn4j/-FJPG/105570-005_SID_1.JPG</t>
  </si>
  <si>
    <t>https://dd3ka9h4chfr8.cloudfront.net/image/725136000567/image_not0kjfgmd21dfd26tr70l9p6q/-FJPG/105570-005_ESS_1.jpg</t>
  </si>
  <si>
    <t>https://dd3ka9h4chfr8.cloudfront.net/image/725136000567/image_32809f3m6d10b8ncke6q5i0p2g/-FJPG/105570-005_DET_2.JPG</t>
  </si>
  <si>
    <t>https://dd3ka9h4chfr8.cloudfront.net/image/725136000567/image_rp19ddv9uh1u97fule1pp7ue61/-FJPG/105570-005_BCK_1.JPG</t>
  </si>
  <si>
    <t>https://dd3ka9h4chfr8.cloudfront.net/image/725136000567/image_nposm08d1t31j0lrvjhokee53t/-FJPG/105570-005_DET_1.JPG</t>
  </si>
  <si>
    <t>https://dd3ka9h4chfr8.cloudfront.net/image/725136000567/image_7lskkrg1o11ed85ji769jeb11d/-FJPG/105570-005_DET_3.JPG</t>
  </si>
  <si>
    <t>Copeland</t>
  </si>
  <si>
    <t>25.75"</t>
  </si>
  <si>
    <t>5.25"</t>
  </si>
  <si>
    <t>2.75"</t>
  </si>
  <si>
    <t>21.50"</t>
  </si>
  <si>
    <t>29.75"</t>
  </si>
  <si>
    <t>24.25"</t>
  </si>
  <si>
    <t>105572-004</t>
  </si>
  <si>
    <t>Bauer Chair - Thames Cream</t>
  </si>
  <si>
    <t>Sonoma Coco</t>
  </si>
  <si>
    <t>Cream-colored upholstery exclusive to Four Hands fastens to parawood framing by way of trend-forward buckles. Angular arms honor mid-century design, adding a throwback feel to a cutting-edge look.</t>
  </si>
  <si>
    <t>https://dd3ka9h4chfr8.cloudfront.net/image/725136000567/image_bjoq6np54d39p709sfsclc0f1d/-S150x150-FJPG/105572-004_PRM_1.jpg</t>
  </si>
  <si>
    <t>https://dd3ka9h4chfr8.cloudfront.net/image/725136000567/image_kp8egkrrrt6st71u57vosklp46/-FJPG/105572-004_FRT_1.jpg</t>
  </si>
  <si>
    <t>https://dd3ka9h4chfr8.cloudfront.net/image/725136000567/image_bjoq6np54d39p709sfsclc0f1d/-FJPG/105572-004_PRM_1.jpg</t>
  </si>
  <si>
    <t>https://dd3ka9h4chfr8.cloudfront.net/image/725136000567/image_aoddt80k656857aaj8gu5hc722/-FJPG/105572-004_SID_1.jpg</t>
  </si>
  <si>
    <t>https://dd3ka9h4chfr8.cloudfront.net/image/725136000567/image_km3ag084dh3jp462klpov4fc38/-FJPG/105572-004_ESS_1.jpg</t>
  </si>
  <si>
    <t>https://dd3ka9h4chfr8.cloudfront.net/image/725136000567/image_8jj46it6tp75ncero1p408i160/-FJPG/105572-004_DET_2.jpg</t>
  </si>
  <si>
    <t>https://dd3ka9h4chfr8.cloudfront.net/image/725136000567/image_3c44ooi0g97m737smn2ctd2b3l/-FJPG/105572-004_BCK_1.jpg</t>
  </si>
  <si>
    <t>https://dd3ka9h4chfr8.cloudfront.net/image/725136000567/image_280quvr6st7m994m6dsn49j033/-FJPG/105572-004_INF_1.jpg</t>
  </si>
  <si>
    <t>https://dd3ka9h4chfr8.cloudfront.net/image/725136000567/image_3ij16322652gj6vkad9n0is650/-FJPG/105572-004_DET_1.jpg</t>
  </si>
  <si>
    <t>https://dd3ka9h4chfr8.cloudfront.net/image/725136000567/image_1qrcdefu5t7e95e8mo5bq3m36j/-FJPG/105572-004_DET_3.jpg</t>
  </si>
  <si>
    <t>https://dd3ka9h4chfr8.cloudfront.net/image/725136000567/image_5dngnhcs5h5lbea7rgtgp3ge5e/-FJPG/105572-004_DET_4.jpg</t>
  </si>
  <si>
    <t>Bauer</t>
  </si>
  <si>
    <t>23.00"</t>
  </si>
  <si>
    <t>32.50"</t>
  </si>
  <si>
    <t>11.75"</t>
  </si>
  <si>
    <t>90% Polyurethane Foam, 10% Fiber</t>
  </si>
  <si>
    <t>22.35"</t>
  </si>
  <si>
    <t>105572-007</t>
  </si>
  <si>
    <t>Bauer Chair - Dakota Warm Taupe</t>
  </si>
  <si>
    <t>Dakota Warm Taupe</t>
  </si>
  <si>
    <t>Almond</t>
  </si>
  <si>
    <t>Lush seating of taupe top-grain leather fastens to almond-finished parawood framing via trend-forward buckles. Angular arms honor mid-century design, adding a throwback feel to a cutting-edge look.</t>
  </si>
  <si>
    <t>https://dd3ka9h4chfr8.cloudfront.net/image/725136000567/image_quntsqbh9h2b11m9ifdes8ko15/-S150x150-FJPG/105572-007_PRM_1.JPG</t>
  </si>
  <si>
    <t>https://dd3ka9h4chfr8.cloudfront.net/image/725136000567/image_2655rpdifp2977qvbv14htsl3d/-FJPG/105572-007_FRT_1.JPG</t>
  </si>
  <si>
    <t>https://dd3ka9h4chfr8.cloudfront.net/image/725136000567/image_quntsqbh9h2b11m9ifdes8ko15/-FJPG/105572-007_PRM_1.JPG</t>
  </si>
  <si>
    <t>https://dd3ka9h4chfr8.cloudfront.net/image/725136000567/image_3bv0e8886p74t78p7b7lo1qi0m/-FJPG/105572-007_SID_1.JPG</t>
  </si>
  <si>
    <t>https://dd3ka9h4chfr8.cloudfront.net/image/725136000567/image_fb1vfhstn94or5u7q65tro7c32/-FJPG/105572-007_DET_2.JPG</t>
  </si>
  <si>
    <t>https://dd3ka9h4chfr8.cloudfront.net/image/725136000567/image_5bd0qvme05705ecpuamalr1d3p/-FJPG/105572-007_BCK_1.JPG</t>
  </si>
  <si>
    <t>https://dd3ka9h4chfr8.cloudfront.net/image/725136000567/image_lu6uhfpd5158ndvf5tuah0f90f/-FJPG/105572-007_DET_1.JPG</t>
  </si>
  <si>
    <t>https://dd3ka9h4chfr8.cloudfront.net/image/725136000567/image_79ic9t54fl7o7b0fjr8133225v/-FJPG/105572-007_DET_3.JPG</t>
  </si>
  <si>
    <t>https://dd3ka9h4chfr8.cloudfront.net/image/725136000567/image_ur7fean5392sbbgdrg6fpmd14s/-FJPG/105572-007_DET_4.JPG</t>
  </si>
  <si>
    <t>https://dd3ka9h4chfr8.cloudfront.net/image/725136000567/image_vl26l38cft32tc7s9s17ctum35/-FJPG/105572-007_DET_5.JPG</t>
  </si>
  <si>
    <t>105585-003</t>
  </si>
  <si>
    <t>Lennon Chair - Cambric Ivory</t>
  </si>
  <si>
    <t>Cambric Ivory</t>
  </si>
  <si>
    <t>Burnt Umber</t>
  </si>
  <si>
    <t>90% Polyester</t>
  </si>
  <si>
    <t>10% Flax/Linen</t>
  </si>
  <si>
    <t>A solid frame of burnt oak features a high, ladder back design for a regal air. Ivory, performance fabric-upholstered seating meets style with livability.</t>
  </si>
  <si>
    <t>https://dd3ka9h4chfr8.cloudfront.net/image/725136000567/image_5hg7j0h7dd00r8nrlm8tumhd1i/-S150x150-FJPG/105585-003_PRM_1.jpg</t>
  </si>
  <si>
    <t>https://dd3ka9h4chfr8.cloudfront.net/image/725136000567/image_5gnh8o4crp6ejan28hf6sep707/-FJPG/105585-003_FRT_1.jpg</t>
  </si>
  <si>
    <t>https://dd3ka9h4chfr8.cloudfront.net/image/725136000567/image_5hg7j0h7dd00r8nrlm8tumhd1i/-FJPG/105585-003_PRM_1.jpg</t>
  </si>
  <si>
    <t>https://dd3ka9h4chfr8.cloudfront.net/image/725136000567/image_u6ud5it0457vd3t85orbcp296c/-FJPG/105585-003_SID_1.jpg</t>
  </si>
  <si>
    <t>https://dd3ka9h4chfr8.cloudfront.net/image/725136000567/image_hqqafa3h4t7hv17c68pqufc11f/-FJPG/105585-003_DET_2.jpg</t>
  </si>
  <si>
    <t>https://dd3ka9h4chfr8.cloudfront.net/image/725136000567/image_9r12qvlsk557p8qaq6kmk28n1e/-FJPG/105585-003_BCK_1.jpg</t>
  </si>
  <si>
    <t>https://dd3ka9h4chfr8.cloudfront.net/image/725136000567/image_5hit1ikjkh38t9dv0t3mjss570/-FJPG/105585-003_INF_1.jpg</t>
  </si>
  <si>
    <t>https://dd3ka9h4chfr8.cloudfront.net/image/725136000567/image_n68b79uhv55u30m6k10385qs7e/-FJPG/105585-003_DET_1.jpg</t>
  </si>
  <si>
    <t>https://dd3ka9h4chfr8.cloudfront.net/image/725136000567/image_mbukmoj96d0sp783d5bl5kgv2g/-FJPG/105585-003_DET_3.jpg</t>
  </si>
  <si>
    <t>https://dd3ka9h4chfr8.cloudfront.net/image/725136000567/image_ktd63mgpad1lp6ds37nh4e7s4q/-FJPG/105585-003_DET_4.jpg</t>
  </si>
  <si>
    <t>https://dd3ka9h4chfr8.cloudfront.net/image/725136000567/image_di8h96b7rp4sp5ar5mul6e2r69/-FJPG/105585-003_DET_5.jpg</t>
  </si>
  <si>
    <t>https://dd3ka9h4chfr8.cloudfront.net/image/725136000567/image_0u8drpggrp3jrf089mqul8b82k/-FJPG/105585-003_DET_6.jpg</t>
  </si>
  <si>
    <t>https://dd3ka9h4chfr8.cloudfront.net/image/725136000567/image_9o17ssogul5jh9e1sirebggh0m/-FJPG/105585-003_VIG_1.jpg</t>
  </si>
  <si>
    <t>Complete Item/ L-Shape Box</t>
  </si>
  <si>
    <t>Lennon</t>
  </si>
  <si>
    <t>1.57"</t>
  </si>
  <si>
    <t>24.50"</t>
  </si>
  <si>
    <t>19.50"</t>
  </si>
  <si>
    <t>50% Polyester Fiber, 50% Duck Feather</t>
  </si>
  <si>
    <t>80% Polyurethane Foam, 20% Polyester Fiber</t>
  </si>
  <si>
    <t>21.75"</t>
  </si>
  <si>
    <t>105585-004</t>
  </si>
  <si>
    <t>Lennon Chair - Imperial Mist</t>
  </si>
  <si>
    <t>Imperial Mist</t>
  </si>
  <si>
    <t>Lamont Natural</t>
  </si>
  <si>
    <t>A solid frame of warm oak features a high, ladder back design for a regal air. Lush, mist-toned cushioning of 100% polyester delivers ultimate comfort.</t>
  </si>
  <si>
    <t>https://dd3ka9h4chfr8.cloudfront.net/image/725136000567/image_8cihr18sdd4bff5f8f9b09kf79/-S150x150-FJPG/105585-004_PRM_1.jpg</t>
  </si>
  <si>
    <t>https://dd3ka9h4chfr8.cloudfront.net/image/725136000567/image_p50o59rkhh41te7ig4irjgju7s/-FJPG/105585-004_FRT_1.jpg</t>
  </si>
  <si>
    <t>https://dd3ka9h4chfr8.cloudfront.net/image/725136000567/image_8cihr18sdd4bff5f8f9b09kf79/-FJPG/105585-004_PRM_1.jpg</t>
  </si>
  <si>
    <t>https://dd3ka9h4chfr8.cloudfront.net/image/725136000567/image_npo8bjs3c118ha9sn6bp4qel5e/-FJPG/105585-004_SID_1.jpg</t>
  </si>
  <si>
    <t>https://dd3ka9h4chfr8.cloudfront.net/image/725136000567/image_09tpkae1q973l48b011tt31j7n/-FJPG/105585-004_ESS_1.jpg</t>
  </si>
  <si>
    <t>https://dd3ka9h4chfr8.cloudfront.net/image/725136000567/image_cvhfvdliht17tagpidncucd62t/-FJPG/105585-004_DET_2.jpg</t>
  </si>
  <si>
    <t>https://dd3ka9h4chfr8.cloudfront.net/image/725136000567/image_pt39ga9tnp44pdrmormefqtb0o/-FJPG/105585-004_BCK_1.jpg</t>
  </si>
  <si>
    <t>https://dd3ka9h4chfr8.cloudfront.net/image/725136000567/image_d6l1a7fk254hvbo8cfet2so05s/-FJPG/105585-004_DET_1.jpg</t>
  </si>
  <si>
    <t>https://dd3ka9h4chfr8.cloudfront.net/image/725136000567/image_i4e8kpi5vh007a1vh75eo6u179/-FJPG/105585-004_DET_3.jpg</t>
  </si>
  <si>
    <t>https://dd3ka9h4chfr8.cloudfront.net/image/725136000567/image_memf7mneol36d9cqdgolbda30q/-FJPG/105585-004_DET_4.jpg</t>
  </si>
  <si>
    <t>https://dd3ka9h4chfr8.cloudfront.net/image/725136000567/image_srf6eu5dc92lf7ubik3g2slo1l/-FJPG/105585-004_DET_5.jpg</t>
  </si>
  <si>
    <t>105585-005</t>
  </si>
  <si>
    <t>Lennon Chair - Heirloom Black</t>
  </si>
  <si>
    <t>Heirloom Black</t>
  </si>
  <si>
    <t>A solid frame of warm oak features a high, ladder back design for a regal air. Upholstered in heirloom black leather. Sourced from one of the oldest family-owned tanneries in Italyâ€™s Bassano del Grappa, heirloom leather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</si>
  <si>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https://dd3ka9h4chfr8.cloudfront.net/image/725136000567/image_8f89m699qd5ndcut75nv12tj6j/-S150x150-FJPG/105585-005_PRM_1.jpg</t>
  </si>
  <si>
    <t>https://dd3ka9h4chfr8.cloudfront.net/image/725136000567/image_upahrh3ke950b055t94ng8bt74/-FJPG/105585-005_FRT_1.jpg</t>
  </si>
  <si>
    <t>https://dd3ka9h4chfr8.cloudfront.net/image/725136000567/image_8f89m699qd5ndcut75nv12tj6j/-FJPG/105585-005_PRM_1.jpg</t>
  </si>
  <si>
    <t>https://dd3ka9h4chfr8.cloudfront.net/image/725136000567/image_d5outaj2ht603cu4lj8l3pq22i/-FJPG/105585-005_SID_1.jpg</t>
  </si>
  <si>
    <t>https://dd3ka9h4chfr8.cloudfront.net/image/725136000567/image_uq4kd2bnel0fdcor48oe6eog40/-FJPG/105585-005_ESS_1.jpg</t>
  </si>
  <si>
    <t>https://dd3ka9h4chfr8.cloudfront.net/image/725136000567/image_3mv17u62s94614fre3ejj1g21n/-FJPG/105585-005_DET_2.jpg</t>
  </si>
  <si>
    <t>https://dd3ka9h4chfr8.cloudfront.net/image/725136000567/image_ab4jb3n5b91vn46on4nt1j9e4i/-FJPG/105585-005_BCK_1.jpg</t>
  </si>
  <si>
    <t>https://dd3ka9h4chfr8.cloudfront.net/image/725136000567/image_q3vi1bqmbt5t97fs3tg1j29n2r/-FJPG/105585-005_DET_1.jpg</t>
  </si>
  <si>
    <t>https://dd3ka9h4chfr8.cloudfront.net/image/725136000567/image_qj6t5dv18t43jaq403a5m18h7h/-FJPG/105585-005_DET_3.jpg</t>
  </si>
  <si>
    <t>https://dd3ka9h4chfr8.cloudfront.net/image/725136000567/image_9ig61hukap6k3a9fjc1dlij21n/-FJPG/105585-005_DET_4.jpg</t>
  </si>
  <si>
    <t>https://dd3ka9h4chfr8.cloudfront.net/image/725136000567/image_3is0jps1ct0ap0d7mfqupen106/-FJPG/105585-005_DET_5.jpg</t>
  </si>
  <si>
    <t>https://dd3ka9h4chfr8.cloudfront.net/image/725136000567/image_4abu4dql9p6gtbg3nq6rms0v0m/-FJPG/105585-005_DET_6.jpg</t>
  </si>
  <si>
    <t>105621-009</t>
  </si>
  <si>
    <t>Jefferson Trunk - Vintage Tobacco</t>
  </si>
  <si>
    <t>Easton</t>
  </si>
  <si>
    <t>Trunks</t>
  </si>
  <si>
    <t>Vintage Tobacco</t>
  </si>
  <si>
    <t>5% Polyurethane Fibre</t>
  </si>
  <si>
    <t>Bring a hint of Old Hollywood glamour to end-of-bed storage. Faux leather of vintage tobacco features top tufting. Lifts to store blankets and more with ease.</t>
  </si>
  <si>
    <t>https://dd3ka9h4chfr8.cloudfront.net/image/725136000567/image_ajmotef7591orapbg1e1lfo766/-S150x150-FJPG/105621-009_PRM_1.jpg</t>
  </si>
  <si>
    <t>https://dd3ka9h4chfr8.cloudfront.net/image/725136000567/image_ujc4jeifk14nn41ccfj85ki90s/-FJPG/105621-009_FRT_1.jpg</t>
  </si>
  <si>
    <t>https://dd3ka9h4chfr8.cloudfront.net/image/725136000567/image_ajmotef7591orapbg1e1lfo766/-FJPG/105621-009_PRM_1.jpg</t>
  </si>
  <si>
    <t>https://dd3ka9h4chfr8.cloudfront.net/image/725136000567/image_ur2j6eulhl21jfjkt42ojhho0v/-FJPG/105621-009_SID_1.jpg</t>
  </si>
  <si>
    <t>https://dd3ka9h4chfr8.cloudfront.net/image/725136000567/image_eseim4pl7p2070d5k0a1fgt92k/-FJPG/105621-009_DET_2.jpg</t>
  </si>
  <si>
    <t>https://dd3ka9h4chfr8.cloudfront.net/image/725136000567/image_rngl6d0kft0ujah3ab3kcvav5j/-FJPG/105621-009_BCK_1.jpg</t>
  </si>
  <si>
    <t>https://dd3ka9h4chfr8.cloudfront.net/image/725136000567/image_ck238pq6cp0ch753k9lgm7ti3v/-FJPG/105621-009_DET_1.jpg</t>
  </si>
  <si>
    <t>https://dd3ka9h4chfr8.cloudfront.net/image/725136000567/image_9ah4ckae3d7jle75889qjg2d0d/-FJPG/105621-009_DET_3.jpg</t>
  </si>
  <si>
    <t>https://dd3ka9h4chfr8.cloudfront.net/image/725136000567/image_0fdol8i3u16rn6gqcjfhi9vf0a/-FJPG/105621-009_DET_4.jpg</t>
  </si>
  <si>
    <t>https://dd3ka9h4chfr8.cloudfront.net/image/725136000567/image_hmvv5f196176j6dnrdfr3qbh30/-FJPG/105621-009_DET_6.jpg</t>
  </si>
  <si>
    <t>https://dd3ka9h4chfr8.cloudfront.net/image/725136000567/image_0gfabps2g93a5depup2mnsdt5r/-FJPG/105621-009_PRM_2.jpg</t>
  </si>
  <si>
    <t>https://dd3ka9h4chfr8.cloudfront.net/image/725136000567/image_el4l89j93t07dfnqvpist9837t/-FJPG/105621-009_SID_2.jpg</t>
  </si>
  <si>
    <t>Nails</t>
  </si>
  <si>
    <t>Jefferson</t>
  </si>
  <si>
    <t>Barrel</t>
  </si>
  <si>
    <t>14.57"</t>
  </si>
  <si>
    <t>51.93"</t>
  </si>
  <si>
    <t>105660-019</t>
  </si>
  <si>
    <t>Braden Chair - Brandy</t>
  </si>
  <si>
    <t>Brandy</t>
  </si>
  <si>
    <t>Dramatic arms and a deeper seat offer relaxation with mid-century modern sophistication. Sculpted nettlewood frame adds an architectural feel to brandy top-grain leather.</t>
  </si>
  <si>
    <t>https://dd3ka9h4chfr8.cloudfront.net/image/725136000567/image_kaa7858fk14d94un9vmvp8ln7s/-S150x150-FJPG/105660-019_PRM_1.jpg</t>
  </si>
  <si>
    <t>https://dd3ka9h4chfr8.cloudfront.net/image/725136000567/image_2sbf72hptt1797dnrfvfn41c7r/-FJPG/105660-019_FRT_1.jpg</t>
  </si>
  <si>
    <t>https://dd3ka9h4chfr8.cloudfront.net/image/725136000567/image_kaa7858fk14d94un9vmvp8ln7s/-FJPG/105660-019_PRM_1.jpg</t>
  </si>
  <si>
    <t>https://dd3ka9h4chfr8.cloudfront.net/image/725136000567/image_0jv632if416a148mpua7ket64t/-FJPG/105660-019_SID_1.jpg</t>
  </si>
  <si>
    <t>https://dd3ka9h4chfr8.cloudfront.net/image/725136000567/image_dsh96ugelh1v79dl6leglttm32/-FJPG/105660-019_DET_2.jpg</t>
  </si>
  <si>
    <t>https://dd3ka9h4chfr8.cloudfront.net/image/725136000567/image_1n20t9isll3un87qmvodrrnj2l/-FJPG/105660-019_BCK_1.jpg</t>
  </si>
  <si>
    <t>https://dd3ka9h4chfr8.cloudfront.net/image/725136000567/image_ltc4ijripl2e541vhv559hmc49/-FJPG/105660-019_DET_1.jpg</t>
  </si>
  <si>
    <t>https://dd3ka9h4chfr8.cloudfront.net/image/725136000567/image_0ahi9rpmgl6dtep4kulmfq9g4k/-FJPG/105660-019_DET_3.jpg</t>
  </si>
  <si>
    <t>https://dd3ka9h4chfr8.cloudfront.net/image/725136000567/image_4k20i6ogut6110t1hegaud666o/-FJPG/105660-019_DET_4.jpg</t>
  </si>
  <si>
    <t>https://dd3ka9h4chfr8.cloudfront.net/image/725136000567/image_houpa2jei12gd96di1m02j1a5c/-FJPG/105660-019_DET_5.jpg</t>
  </si>
  <si>
    <t>https://dd3ka9h4chfr8.cloudfront.net/image/725136000567/image_7usmd8nboh1110srp83516n209/-FJPG/105660-019_DET_6.jpg</t>
  </si>
  <si>
    <t>https://dd3ka9h4chfr8.cloudfront.net/image/725136000567/image_79ji8q605p0lte9dn7adhp6h5o/-FJPG/105660-019_DET_7.jpg</t>
  </si>
  <si>
    <t>https://dd3ka9h4chfr8.cloudfront.net/image/725136000567/image_sonanjqsfl5sne0c0bk9hnu34h/-FJPG/105660-019_ROM_1.jpg</t>
  </si>
  <si>
    <t>https://dd3ka9h4chfr8.cloudfront.net/image/725136000567/image_0e9iuq66up025a1pke8lrh3c1m/-FJPG/105660-019_ESS.tif</t>
  </si>
  <si>
    <t>Complete  Item,L Shape Box</t>
  </si>
  <si>
    <t>21.73"</t>
  </si>
  <si>
    <t>4.25"</t>
  </si>
  <si>
    <t>18.54"</t>
  </si>
  <si>
    <t>22.52"</t>
  </si>
  <si>
    <t>18.15"</t>
  </si>
  <si>
    <t>Braden</t>
  </si>
  <si>
    <t>6.26"</t>
  </si>
  <si>
    <t>20.24"</t>
  </si>
  <si>
    <t>9.49"</t>
  </si>
  <si>
    <t>14.13"</t>
  </si>
  <si>
    <t>19.76"</t>
  </si>
  <si>
    <t>22.76"</t>
  </si>
  <si>
    <t>105660-023</t>
  </si>
  <si>
    <t>Braden Chair - Modern Velvet Shadow</t>
  </si>
  <si>
    <t>Modern Velvet Shadow</t>
  </si>
  <si>
    <t>Dramatic arms and deep seat offer relaxation with mid-century modern sophistication. Sculpted cedar frame adds an architectural feel to neutral-toned velvet upholstery.</t>
  </si>
  <si>
    <t>https://dd3ka9h4chfr8.cloudfront.net/image/725136000567/image_nddbvqclgl3n1652shdka5737t/-S150x150-FJPG/105660-023_PRM_1.jpg</t>
  </si>
  <si>
    <t>https://dd3ka9h4chfr8.cloudfront.net/image/725136000567/image_5hgsbc8dtp0gpevvmkfbp07h1g/-FJPG/105660-023_FRT_1.jpg</t>
  </si>
  <si>
    <t>https://dd3ka9h4chfr8.cloudfront.net/image/725136000567/image_nddbvqclgl3n1652shdka5737t/-FJPG/105660-023_PRM_1.jpg</t>
  </si>
  <si>
    <t>https://dd3ka9h4chfr8.cloudfront.net/image/725136000567/image_4vct6vpkql5g5e5t0sd1ntks04/-FJPG/105660-023_SID_1.jpg</t>
  </si>
  <si>
    <t>https://dd3ka9h4chfr8.cloudfront.net/image/725136000567/image_6cio991lj15rh1hskqu83cv62t/-FJPG/105660-023_ESS_1.jpg</t>
  </si>
  <si>
    <t>https://dd3ka9h4chfr8.cloudfront.net/image/725136000567/image_406l5m0rsl7cd2soju8fis712k/-FJPG/105660-023_DET_2.jpg</t>
  </si>
  <si>
    <t>https://dd3ka9h4chfr8.cloudfront.net/image/725136000567/image_3brar0giup37r6v1ffb6q94r2c/-FJPG/105660-023_BCK_1.jpg</t>
  </si>
  <si>
    <t>https://dd3ka9h4chfr8.cloudfront.net/image/725136000567/image_1tgc0h6f9p5ehee3g1f7ne2a4f/-FJPG/105660-023_DET_1.jpg</t>
  </si>
  <si>
    <t>https://dd3ka9h4chfr8.cloudfront.net/image/725136000567/image_svak76r4tt60hf1kmjg5cf2r4o/-FJPG/105660-023_DET_3.jpg</t>
  </si>
  <si>
    <t>https://dd3ka9h4chfr8.cloudfront.net/image/725136000567/image_is0ptekr955ep1uakvt70fjf17/-FJPG/105660-023_DET_4.jpg</t>
  </si>
  <si>
    <t>https://dd3ka9h4chfr8.cloudfront.net/image/725136000567/image_f52hl4eo3l24vfr12feij9gm3k/-FJPG/105660-023_DET_5.jpg</t>
  </si>
  <si>
    <t>https://dd3ka9h4chfr8.cloudfront.net/image/725136000567/image_98ij0o7l6d3mpekungl9aotk1l/-FJPG/105660-023_ROM_1.jpg</t>
  </si>
  <si>
    <t>https://dd3ka9h4chfr8.cloudfront.net/image/725136000567/image_7vl6dd91vh5mp9ctmfmdk1r05g/-FJPG/105660-023_ROM_2.jpg</t>
  </si>
  <si>
    <t>Complete Item,L Shape Box</t>
  </si>
  <si>
    <t>105660-024</t>
  </si>
  <si>
    <t>Braden Chair - Durango Smoke</t>
  </si>
  <si>
    <t>Durango Smoke</t>
  </si>
  <si>
    <t>Dramatic arms and a deeper seat offer relaxation with mid-century modern sophistication. Sculpted frame adds an architectural feel to rich, black top-grain leather.</t>
  </si>
  <si>
    <t>https://dd3ka9h4chfr8.cloudfront.net/image/725136000567/image_smclht5ftd3it14nuggn8p0m4f/-S150x150-FJPG/105660-024_PRM_1.jpg</t>
  </si>
  <si>
    <t>https://dd3ka9h4chfr8.cloudfront.net/image/725136000567/image_rpecghlrh509fc1cep7b1iat5g/-FJPG/105660-024_FRT_1.jpg</t>
  </si>
  <si>
    <t>https://dd3ka9h4chfr8.cloudfront.net/image/725136000567/image_smclht5ftd3it14nuggn8p0m4f/-FJPG/105660-024_PRM_1.jpg</t>
  </si>
  <si>
    <t>https://dd3ka9h4chfr8.cloudfront.net/image/725136000567/image_ircm4g2d3d577b85o9n71kki10/-FJPG/105660-024_ESS_1.jpg</t>
  </si>
  <si>
    <t>https://dd3ka9h4chfr8.cloudfront.net/image/725136000567/image_e956nb28qp22pembn3q3ftv930/-FJPG/105660-024_DET_2.jpg</t>
  </si>
  <si>
    <t>https://dd3ka9h4chfr8.cloudfront.net/image/725136000567/image_78r4n3ck2175l78nb58pdvjr2b/-FJPG/105660-024_DET_1.jpg</t>
  </si>
  <si>
    <t>https://dd3ka9h4chfr8.cloudfront.net/image/725136000567/image_9rkmpso6tt5356rla2gm7m380a/-FJPG/105660-024_DET_3.jpg</t>
  </si>
  <si>
    <t>https://dd3ka9h4chfr8.cloudfront.net/image/725136000567/image_1mqlm8bprh4p91o3cmp0g2ps0r/-FJPG/105660-024_DET_4.jpg</t>
  </si>
  <si>
    <t>https://dd3ka9h4chfr8.cloudfront.net/image/725136000567/image_ccbqulo1lh3gh7ork4gd3n8u0l/-FJPG/105660-024_DET_5.jpg</t>
  </si>
  <si>
    <t>https://dd3ka9h4chfr8.cloudfront.net/image/725136000567/image_n828iaar0t7hf4jr0rt98lgt0e/-FJPG/105660-024_ROM_1.jpg</t>
  </si>
  <si>
    <t>https://dd3ka9h4chfr8.cloudfront.net/image/725136000567/image_vjlp3s05bd1b3cbv9q7sdtjm1s/-FJPG/105660-024_ROM_2.jpg</t>
  </si>
  <si>
    <t>105660-025</t>
  </si>
  <si>
    <t>Braden Chair - Light Camel</t>
  </si>
  <si>
    <t>Light Camel</t>
  </si>
  <si>
    <t>Dramatic arms and a deeper seat offer relaxation with mid-century modern sophistication. Sculpted frame adds an architectural feel to light camel upholstery.</t>
  </si>
  <si>
    <t>https://dd3ka9h4chfr8.cloudfront.net/image/725136000567/image_l2h97b87il72t10ljti37epa2l/-S150x150-FJPG/105660-025_PRM_1.jpg</t>
  </si>
  <si>
    <t>https://dd3ka9h4chfr8.cloudfront.net/image/725136000567/image_trpbjq3ast6eveai5hh94hum0f/-FJPG/105660-025_FRT_1.jpg</t>
  </si>
  <si>
    <t>https://dd3ka9h4chfr8.cloudfront.net/image/725136000567/image_l2h97b87il72t10ljti37epa2l/-FJPG/105660-025_PRM_1.jpg</t>
  </si>
  <si>
    <t>https://dd3ka9h4chfr8.cloudfront.net/image/725136000567/image_qm0s81kteh6gl5153pl69th00l/-FJPG/105660-025_SID_1.jpg</t>
  </si>
  <si>
    <t>https://dd3ka9h4chfr8.cloudfront.net/image/725136000567/image_5jl4on4ai9499aqtnpbt9u3c0p/-FJPG/105660-025_ESS_1.jpg</t>
  </si>
  <si>
    <t>https://dd3ka9h4chfr8.cloudfront.net/image/725136000567/image_37pquk0vu55vb0cdvi9e8k5b3b/-FJPG/105660-025_DET_2.jpg</t>
  </si>
  <si>
    <t>https://dd3ka9h4chfr8.cloudfront.net/image/725136000567/image_9bfd6lcg3p5b719qq7lo7d5o5u/-FJPG/105660-025_BCK_1.jpg</t>
  </si>
  <si>
    <t>https://dd3ka9h4chfr8.cloudfront.net/image/725136000567/image_92k018cj7t61j1red2s5og6k39/-FJPG/105660-025_DET_1.jpg</t>
  </si>
  <si>
    <t>https://dd3ka9h4chfr8.cloudfront.net/image/725136000567/image_2rhf0ij9c133jbtkrm7jesml4u/-FJPG/105660-025_DET_4.jpg</t>
  </si>
  <si>
    <t>https://dd3ka9h4chfr8.cloudfront.net/image/725136000567/image_h2uclq3ps9745b0bhrd401f317/-FJPG/105660-025_DET_5.jpg</t>
  </si>
  <si>
    <t>https://dd3ka9h4chfr8.cloudfront.net/image/725136000567/image_gghc25ufb52j9cacikuc067k4t/-FJPG/105660-025_DET_6.jpg</t>
  </si>
  <si>
    <t>https://dd3ka9h4chfr8.cloudfront.net/image/725136000567/image_0u7kivub792d53qcfdcq2ial54/-FJPG/105660-025_DET_7.jpg</t>
  </si>
  <si>
    <t>https://dd3ka9h4chfr8.cloudfront.net/image/725136000567/image_eucklkbtg13t337ct1b74ubi2e/-FJPG/105660-025_ROM_1.jpg</t>
  </si>
  <si>
    <t>105675-003</t>
  </si>
  <si>
    <t>Flint Bunching Table - Bright Brass</t>
  </si>
  <si>
    <t>Bright Brass</t>
  </si>
  <si>
    <t>Patina Copper</t>
  </si>
  <si>
    <t>Brass</t>
  </si>
  <si>
    <t>Details add depth to a deceptively simple shape. Hand-stitched copper leather offsets a bright brass base with rivet detail for a striking material mix and mid-century spirit. Perfect in pairs as the new alternative to the traditional coffee table.</t>
  </si>
  <si>
    <t>https://dd3ka9h4chfr8.cloudfront.net/image/725136000567/image_aq5cmusjat1gh213i0koglun60/-S150x150-FJPG/105675-003_PRM_1.jpg</t>
  </si>
  <si>
    <t>https://dd3ka9h4chfr8.cloudfront.net/image/725136000567/image_aq5cmusjat1gh213i0koglun60/-FJPG/105675-003_PRM_1.jpg</t>
  </si>
  <si>
    <t>https://dd3ka9h4chfr8.cloudfront.net/image/725136000567/image_4oip838fb131f03ff118kp0e4r/-FJPG/105675-003_DET_2.jpg</t>
  </si>
  <si>
    <t>https://dd3ka9h4chfr8.cloudfront.net/image/725136000567/image_mfea8kos2l7fh7tpgbhu5ca620/-FJPG/105675-003_DET_1.jpg</t>
  </si>
  <si>
    <t>https://dd3ka9h4chfr8.cloudfront.net/image/725136000567/image_dtv4b4pbkp57j5l5hfnl8rq12h/-FJPG/105675-003_DET_3.jpg</t>
  </si>
  <si>
    <t>https://dd3ka9h4chfr8.cloudfront.net/image/725136000567/image_06tvpoo26t2bn1rpkmp3oop42r/-FJPG/105675-003_DET_4.jpg</t>
  </si>
  <si>
    <t>https://dd3ka9h4chfr8.cloudfront.net/image/725136000567/image_3e1dfolmb16br7gd8u2nec2s15/-FJPG/105675-003_VIG_1.jpg</t>
  </si>
  <si>
    <t>Flint</t>
  </si>
  <si>
    <t>5.12"</t>
  </si>
  <si>
    <t>100% Polyurethane Foam</t>
  </si>
  <si>
    <t>19.69"</t>
  </si>
  <si>
    <t>2.17"</t>
  </si>
  <si>
    <t>105714-003</t>
  </si>
  <si>
    <t>Beckwith Sofa - Natural Washed Camel</t>
  </si>
  <si>
    <t>Mid-century modern undergoes a trend-forward refresh. Top-grain leather takes on a camel hue for a soft, buttery sit. Legs of weathered oak stay stout, allowing leather to stand front-and-center.</t>
  </si>
  <si>
    <t>https://dd3ka9h4chfr8.cloudfront.net/image/725136000567/image_1pt1m8ig8d5534k0g9q5ouig2r/-S150x150-FJPG/105714-003_PRM_1.jpg</t>
  </si>
  <si>
    <t>https://dd3ka9h4chfr8.cloudfront.net/image/725136000567/image_0k362po3ll6r96s2l97golnk7d/-FJPG/105714-003_FRT_1.jpg</t>
  </si>
  <si>
    <t>https://dd3ka9h4chfr8.cloudfront.net/image/725136000567/image_1pt1m8ig8d5534k0g9q5ouig2r/-FJPG/105714-003_PRM_1.jpg</t>
  </si>
  <si>
    <t>https://dd3ka9h4chfr8.cloudfront.net/image/725136000567/image_in13mch5j51un4hf4acidkjd16/-FJPG/105714-003_SID_1.jpg</t>
  </si>
  <si>
    <t>https://dd3ka9h4chfr8.cloudfront.net/image/725136000567/image_ps86siqvcd5qh2i24neatvdp4n/-FJPG/105714-003_ESS_1.jpg</t>
  </si>
  <si>
    <t>https://dd3ka9h4chfr8.cloudfront.net/image/725136000567/image_8ha6v8pu8l0096grfgucs07c1c/-FJPG/105714-003_DET_2.jpg</t>
  </si>
  <si>
    <t>https://dd3ka9h4chfr8.cloudfront.net/image/725136000567/image_louc644qa13ojfm08bk0nsi57u/-FJPG/105714-003_BCK_1.jpg</t>
  </si>
  <si>
    <t>https://dd3ka9h4chfr8.cloudfront.net/image/725136000567/image_nor0fen3t50sd88mql6k9n6i1h/-FJPG/105714-003_DET_1.jpg</t>
  </si>
  <si>
    <t>https://dd3ka9h4chfr8.cloudfront.net/image/725136000567/image_3klki2jdgl7q33r4ma1jr3qc2s/-FJPG/105714-003_DET_3.jpg</t>
  </si>
  <si>
    <t>https://dd3ka9h4chfr8.cloudfront.net/image/725136000567/image_4d5lgvsibp08jb1387v44rqo7o/-FJPG/105714-003_DET_4.jpg</t>
  </si>
  <si>
    <t>https://dd3ka9h4chfr8.cloudfront.net/image/725136000567/image_29hdfkcue51ib5q85pkpiuda43/-FJPG/105714-003_DET_5.jpg</t>
  </si>
  <si>
    <t>https://dd3ka9h4chfr8.cloudfront.net/image/725136000567/image_f40n01v3s12f958i29ljdagn3a/-FJPG/105714-003_DET_6.jpg</t>
  </si>
  <si>
    <t>https://dd3ka9h4chfr8.cloudfront.net/image/725136000567/image_fn2j1o0q7971b5v3nto0f5l16o/-FJPG/105714-003_DET_7.jpg</t>
  </si>
  <si>
    <t>https://dd3ka9h4chfr8.cloudfront.net/image/725136000567/image_5s0qkr315t2uh883pn7fk4ss57/-FJPG/105714-003_ROM_1.jpg</t>
  </si>
  <si>
    <t>https://dd3ka9h4chfr8.cloudfront.net/image/725136000567/image_87dg2jgpb12c7682qhdueq5e5q/-FJPG/105714-003_VIG_1.jpg</t>
  </si>
  <si>
    <t>42.32"</t>
  </si>
  <si>
    <t>21.65"</t>
  </si>
  <si>
    <t>68.90"</t>
  </si>
  <si>
    <t>45% Waterfowl Feather, 30% Polyester Fiber, 25% Polyurethane Foam Pad</t>
  </si>
  <si>
    <t>Beckwith</t>
  </si>
  <si>
    <t>400 lb</t>
  </si>
  <si>
    <t>32.68"</t>
  </si>
  <si>
    <t>38.19"</t>
  </si>
  <si>
    <t>6.30"</t>
  </si>
  <si>
    <t>85.83"</t>
  </si>
  <si>
    <t>56% Polyurethane Foam Pad, 44% Polyester Fiber Batting</t>
  </si>
  <si>
    <t>105768-007</t>
  </si>
  <si>
    <t>Augustine Swivel Chair - Orly Natural</t>
  </si>
  <si>
    <t>Orly Natural</t>
  </si>
  <si>
    <t>A modern take on the classic library chair, luxurious, Italian-inspired seating features dramatic channeling for trend-forward texture and a sumptuous sit. Upholstered in a neutral fabric with subtle herringbone pattern. A 360-degree swivel delivers fresh appeal from every angle.</t>
  </si>
  <si>
    <t>https://dd3ka9h4chfr8.cloudfront.net/image/725136000567/image_oi0alfsjch5cv293phn9qc3f49/-S150x150-FJPG/105768-007_PRM_1.jpg</t>
  </si>
  <si>
    <t>https://dd3ka9h4chfr8.cloudfront.net/image/725136000567/image_k46nkmv9gl6kr2o10o4ckbfi6f/-FJPG/105768-007_FRT_1.jpg</t>
  </si>
  <si>
    <t>https://dd3ka9h4chfr8.cloudfront.net/image/725136000567/image_oi0alfsjch5cv293phn9qc3f49/-FJPG/105768-007_PRM_1.jpg</t>
  </si>
  <si>
    <t>https://dd3ka9h4chfr8.cloudfront.net/image/725136000567/image_nlcorqd8710t560ib5ql4nt915/-FJPG/105768-007_SID_1.jpg</t>
  </si>
  <si>
    <t>https://dd3ka9h4chfr8.cloudfront.net/image/725136000567/image_npo51pvckd759717mqc5e6eg13/-FJPG/105768-007_ESS_1.jpg</t>
  </si>
  <si>
    <t>https://dd3ka9h4chfr8.cloudfront.net/image/725136000567/image_9hek35je957t55rust3bd66b7t/-FJPG/105768-007_BCK_1.jpg</t>
  </si>
  <si>
    <t>https://dd3ka9h4chfr8.cloudfront.net/image/725136000567/image_cvaa89j16l0cv39s7h0hlrjp2f/-FJPG/105768-007_TOP_1.jpg</t>
  </si>
  <si>
    <t>Swivel</t>
  </si>
  <si>
    <t>360-degree swivel</t>
  </si>
  <si>
    <t>105768-011</t>
  </si>
  <si>
    <t>Augustine Swivel Chair - Palermo Drift</t>
  </si>
  <si>
    <t>A modern take on the classic library chair, luxurious, Italian-inspired seating features dramatic channeling for trend-forward texture and a sumptuous sit. Upholstered in top-grain leather. A 360-degree swivel delivers fresh appeal from every angle.</t>
  </si>
  <si>
    <t>https://dd3ka9h4chfr8.cloudfront.net/image/725136000567/image_ukhc5sa6d14ub3bk7kocrurq1b/-S150x150-FJPG/105768-011_PRM_1.jpg</t>
  </si>
  <si>
    <t>https://dd3ka9h4chfr8.cloudfront.net/image/725136000567/image_6dt786vfop6l591tmjcg5ca67d/-FJPG/105768-011_FRT_1.jpg</t>
  </si>
  <si>
    <t>https://dd3ka9h4chfr8.cloudfront.net/image/725136000567/image_ukhc5sa6d14ub3bk7kocrurq1b/-FJPG/105768-011_PRM_1.jpg</t>
  </si>
  <si>
    <t>https://dd3ka9h4chfr8.cloudfront.net/image/725136000567/image_sm2osv6rpt5dlfq1hceot7gh1j/-FJPG/105768-011_SID_1.jpg</t>
  </si>
  <si>
    <t>https://dd3ka9h4chfr8.cloudfront.net/image/725136000567/image_2bmam8dn894q3ekrk25orcbn75/-FJPG/105768-011_ESS_1.jpg</t>
  </si>
  <si>
    <t>https://dd3ka9h4chfr8.cloudfront.net/image/725136000567/image_q5j43s5ii900bcj7r0eformn34/-FJPG/105768-011_BCK_1.jpg</t>
  </si>
  <si>
    <t>https://dd3ka9h4chfr8.cloudfront.net/image/725136000567/image_i7opc3gi993qf7p12d5rpep50h/-FJPG/105768-011_TOP_1.jpg</t>
  </si>
  <si>
    <t>AA</t>
  </si>
  <si>
    <t>105768-014</t>
  </si>
  <si>
    <t>Augustine Swivel Chair - Deacon Wolf</t>
  </si>
  <si>
    <t>Deacon Wolf</t>
  </si>
  <si>
    <t>https://dd3ka9h4chfr8.cloudfront.net/image/725136000567/image_i9qshnk01l5gpbfeq9vhv8l00i/-S150x150-FJPG/105768-014_PRM_1.jpg</t>
  </si>
  <si>
    <t>https://dd3ka9h4chfr8.cloudfront.net/image/725136000567/image_n05l5ubr154of9ro393eqe0i7u/-FJPG/105768-014_FRT_1.jpg</t>
  </si>
  <si>
    <t>https://dd3ka9h4chfr8.cloudfront.net/image/725136000567/image_i9qshnk01l5gpbfeq9vhv8l00i/-FJPG/105768-014_PRM_1.jpg</t>
  </si>
  <si>
    <t>https://dd3ka9h4chfr8.cloudfront.net/image/725136000567/image_dv2m1p06355m18aj5b3k1fd421/-FJPG/105768-014_SID_1.jpg</t>
  </si>
  <si>
    <t>https://dd3ka9h4chfr8.cloudfront.net/image/725136000567/image_q0hocr32217dr56tl5cekr1e1b/-FJPG/105768-014_ESS_1.jpg</t>
  </si>
  <si>
    <t>https://dd3ka9h4chfr8.cloudfront.net/image/725136000567/image_d4i9jch6u97jheho3rndo5p65o/-FJPG/105768-014_BCK_1.jpg</t>
  </si>
  <si>
    <t>https://dd3ka9h4chfr8.cloudfront.net/image/725136000567/image_l7oncc8t4t4rp8ipluumm1mh06/-FJPG/105768-014_TOP_1.jpg</t>
  </si>
  <si>
    <t>105768-017</t>
  </si>
  <si>
    <t>Augustine Swivel Chair - Crypton Nomad Taupe</t>
  </si>
  <si>
    <t>A modern take on the classic library chair, luxurious, Italian-inspired seating features dramatic channeling for trend-forward texture and a sumptuous sit. A 360-degree swivel delivers fresh appeal from every angle. Free of PFAS, soft and easy to clean, CryptonÂ® performance fabric is specially engineered for protection against stains, moisture and odor.</t>
  </si>
  <si>
    <t>https://dd3ka9h4chfr8.cloudfront.net/image/725136000567/image_flnon7mccl5715me3elte6ii2a/-S150x150-FJPG/105768-017_PRM_1.JPG</t>
  </si>
  <si>
    <t>https://dd3ka9h4chfr8.cloudfront.net/image/725136000567/image_t5a853r4a91kbaqnngs7fid83l/-FJPG/105768-017_FRT_1.JPG</t>
  </si>
  <si>
    <t>https://dd3ka9h4chfr8.cloudfront.net/image/725136000567/image_flnon7mccl5715me3elte6ii2a/-FJPG/105768-017_PRM_1.JPG</t>
  </si>
  <si>
    <t>https://dd3ka9h4chfr8.cloudfront.net/image/725136000567/image_a88q8locdp2fr5cdet4i10qe45/-FJPG/105768-017_SID_1.JPG</t>
  </si>
  <si>
    <t>https://dd3ka9h4chfr8.cloudfront.net/image/725136000567/image_n4buksgeal5vj90mb2a255rr39/-FJPG/105768-017_DET_2.JPG</t>
  </si>
  <si>
    <t>https://dd3ka9h4chfr8.cloudfront.net/image/725136000567/image_8n77hgcd294p5do70aj0sug11u/-FJPG/105768-017_BCK_1.JPG</t>
  </si>
  <si>
    <t>https://dd3ka9h4chfr8.cloudfront.net/image/725136000567/image_hlck35luhl1fb1drdk32gtu85o/-FJPG/105768-017_DET_1.JPG</t>
  </si>
  <si>
    <t>https://dd3ka9h4chfr8.cloudfront.net/image/725136000567/image_usijf8hq8l3fj9poes7krg0p5v/-FJPG/105768-017_DET_3.JPG</t>
  </si>
  <si>
    <t>https://dd3ka9h4chfr8.cloudfront.net/image/725136000567/image_9cnho5p715693063lm4qv6e05s/-FJPG/105768-017_DET_4.JPG</t>
  </si>
  <si>
    <t>https://dd3ka9h4chfr8.cloudfront.net/image/725136000567/image_5opfbj7a3h7jt4t9vv4i8f7l3t/-FJPG/105768-017_DET_5.JPG</t>
  </si>
  <si>
    <t>https://dd3ka9h4chfr8.cloudfront.net/image/725136000567/image_flge2r58jp10ldhlu93ej88n6u/-FJPG/105768-017_DET_6.JPG</t>
  </si>
  <si>
    <t>105769-008</t>
  </si>
  <si>
    <t>Augustine Sofa - Surrey Auburn</t>
  </si>
  <si>
    <t>Surrey Auburn</t>
  </si>
  <si>
    <t>76.8% Cotton</t>
  </si>
  <si>
    <t>23.2% Polyester</t>
  </si>
  <si>
    <t>Velvety poly-blend in a rich auburn hue takes on dramatic channeling, lending trend-forward texture to this sumptuous extended length sofa.</t>
  </si>
  <si>
    <t>https://dd3ka9h4chfr8.cloudfront.net/image/725136000567/image_30vplgsj2p3db4a2nb2hf2ok56/-S150x150-FJPG/105769-008_PRM_1.jpg</t>
  </si>
  <si>
    <t>https://dd3ka9h4chfr8.cloudfront.net/image/725136000567/image_hqi03mf92t6p16fbiqbrql4n7m/-FJPG/105769-008_FRT_1.jpg</t>
  </si>
  <si>
    <t>https://dd3ka9h4chfr8.cloudfront.net/image/725136000567/image_30vplgsj2p3db4a2nb2hf2ok56/-FJPG/105769-008_PRM_1.jpg</t>
  </si>
  <si>
    <t>https://dd3ka9h4chfr8.cloudfront.net/image/725136000567/image_blirvbulcl5h97oog6a3a0jn6v/-FJPG/105769-008_SID_1.jpg</t>
  </si>
  <si>
    <t>https://dd3ka9h4chfr8.cloudfront.net/image/725136000567/image_84fe6tc0ep6v96184kal2hf35r/-FJPG/105769-008_ESS_1.jpg</t>
  </si>
  <si>
    <t>https://dd3ka9h4chfr8.cloudfront.net/image/725136000567/image_57fa95uklp6tb315d7qd7i053k/-FJPG/105769-008_DET_2.jpg</t>
  </si>
  <si>
    <t>https://dd3ka9h4chfr8.cloudfront.net/image/725136000567/image_kpdej947c90rhca5sefhoqro0u/-FJPG/105769-008_BCK_1.jpg</t>
  </si>
  <si>
    <t>https://dd3ka9h4chfr8.cloudfront.net/image/725136000567/image_4n37af9oeh6tj8t25csc3muk5s/-FJPG/105769-008_DET_1.jpg</t>
  </si>
  <si>
    <t>https://dd3ka9h4chfr8.cloudfront.net/image/725136000567/image_apdvnnjrh13of8ks4jc94tle7f/-FJPG/105769-008_DET_3.jpg</t>
  </si>
  <si>
    <t>https://dd3ka9h4chfr8.cloudfront.net/image/725136000567/image_hi9tatdrmh6m1f61d5f0704l1s/-FJPG/105769-008_DET_4.jpg</t>
  </si>
  <si>
    <t>https://dd3ka9h4chfr8.cloudfront.net/image/725136000567/image_sfk3jviu49075env4jupp73r55/-FJPG/105769-008_DET_5.jpg</t>
  </si>
  <si>
    <t>85.00"</t>
  </si>
  <si>
    <t>Welted</t>
  </si>
  <si>
    <t>86.75"</t>
  </si>
  <si>
    <t>105769-009</t>
  </si>
  <si>
    <t>Augustine Sofa - Palermo Drift</t>
  </si>
  <si>
    <t>A dramatically channeled sofa upholstered in taupe top-grain leather offers a crisp, clean look and sumptuous sit.</t>
  </si>
  <si>
    <t>https://dd3ka9h4chfr8.cloudfront.net/image/725136000567/image_e8jl52jd411cj5gkp470k2od0m/-S150x150-FJPG/105769-009_PRM_1.jpg</t>
  </si>
  <si>
    <t>https://dd3ka9h4chfr8.cloudfront.net/image/725136000567/image_fqhh04plkp6ql21qk22gqafo19/-FJPG/105769-009_FRT_1.jpg</t>
  </si>
  <si>
    <t>https://dd3ka9h4chfr8.cloudfront.net/image/725136000567/image_e8jl52jd411cj5gkp470k2od0m/-FJPG/105769-009_PRM_1.jpg</t>
  </si>
  <si>
    <t>https://dd3ka9h4chfr8.cloudfront.net/image/725136000567/image_eb1eouo4u10jbb53gnpblp3447/-FJPG/105769-009_SID_1.jpg</t>
  </si>
  <si>
    <t>https://dd3ka9h4chfr8.cloudfront.net/image/725136000567/image_85qj3dk9mt6j114rvem7nr2g0e/-FJPG/105769-009_ESS_1.jpg</t>
  </si>
  <si>
    <t>https://dd3ka9h4chfr8.cloudfront.net/image/725136000567/image_vndplu26q528b9hs8s7sh42732/-FJPG/105769-009_BCK_1.jpg</t>
  </si>
  <si>
    <t>https://dd3ka9h4chfr8.cloudfront.net/image/725136000567/image_8pcsk2ftld2j9bo4ip40d7ff19/-FJPG/105769-009_TOP_1.jpg</t>
  </si>
  <si>
    <t>https://dd3ka9h4chfr8.cloudfront.net/image/725136000567/image_gpbtdir6m52rhd30k9ensml802/-FJPG/105769-009_ROM_1.jpg</t>
  </si>
  <si>
    <t>105769-011</t>
  </si>
  <si>
    <t>Augustine Sofa - Crypton Nomad Taupe</t>
  </si>
  <si>
    <t>Neutral performance fabric features dramatic channeling, for total texture and a linear look. Free of PFAS, soft and easy to clean, CryptonÂ® performance fabric is specially engineered for protection against stains, moisture and odor.</t>
  </si>
  <si>
    <t>https://dd3ka9h4chfr8.cloudfront.net/image/725136000567/image_5bkpr78gr11vl74fltunp39l7e/-S150x150-FJPG/105769-011_PRM_1.JPG</t>
  </si>
  <si>
    <t>https://dd3ka9h4chfr8.cloudfront.net/image/725136000567/image_5bkpr78gr11vl74fltunp39l7e/-FJPG/105769-011_PRM_1.JPG</t>
  </si>
  <si>
    <t>https://dd3ka9h4chfr8.cloudfront.net/image/725136000567/image_54ff2o7g3551j50d04jcup2j4r/-FJPG/105769-011_SID_1.JPG</t>
  </si>
  <si>
    <t>https://dd3ka9h4chfr8.cloudfront.net/image/725136000567/image_6fnmgsn8b51gje6ji4samhkl1l/-FJPG/105769-011_DET_2.JPG</t>
  </si>
  <si>
    <t>https://dd3ka9h4chfr8.cloudfront.net/image/725136000567/image_tup51amjop013chs4rj27fuo18/-FJPG/105769-011_BCK_1.JPG</t>
  </si>
  <si>
    <t>https://dd3ka9h4chfr8.cloudfront.net/image/725136000567/image_6j2qcb5f315lp1iilh3oe85c0k/-FJPG/105769-011_DET_1.JPG</t>
  </si>
  <si>
    <t>https://dd3ka9h4chfr8.cloudfront.net/image/725136000567/image_3fk9kk77c90q530pn8uolm7e60/-FJPG/105769-011_DET_3.JPG</t>
  </si>
  <si>
    <t>https://dd3ka9h4chfr8.cloudfront.net/image/725136000567/image_u4cf3mfvq10r1cn9nkibka922d/-FJPG/105769-011_DET_4.JPG</t>
  </si>
  <si>
    <t>https://dd3ka9h4chfr8.cloudfront.net/image/725136000567/image_qtpfg2omnd20vc7um7ddtu317s/-FJPG/105769-011_DET_5.JPG</t>
  </si>
  <si>
    <t>https://dd3ka9h4chfr8.cloudfront.net/image/725136000567/image_aaqphbt1rh6cvejrf7oghs410v/-FJPG/105769-011_DET_6.JPG</t>
  </si>
  <si>
    <t>https://dd3ka9h4chfr8.cloudfront.net/image/725136000567/image_37qn3enh9h7ddbvip50qojj54l/-FJPG/105769-011_DET_7.JPG</t>
  </si>
  <si>
    <t>https://dd3ka9h4chfr8.cloudfront.net/image/725136000567/image_r3t8kl9u2d01h8tj91mktacn0f/-FJPG/105769-011_DET_8.JPG</t>
  </si>
  <si>
    <t>105771-004</t>
  </si>
  <si>
    <t>Olson Chair - Sonoma Black</t>
  </si>
  <si>
    <t>Pecan</t>
  </si>
  <si>
    <t>Solid Birch</t>
  </si>
  <si>
    <t>https://dd3ka9h4chfr8.cloudfront.net/image/725136000567/image_kukd53t3jd3dv58sv4joblub2q/-S150x150-FJPG/105771-004_PRM_1.jpg</t>
  </si>
  <si>
    <t>https://dd3ka9h4chfr8.cloudfront.net/image/725136000567/image_uudvao0c356nb3raa8vcurts09/-FJPG/105771-004_FRT_1.jpg</t>
  </si>
  <si>
    <t>https://dd3ka9h4chfr8.cloudfront.net/image/725136000567/image_kukd53t3jd3dv58sv4joblub2q/-FJPG/105771-004_PRM_1.jpg</t>
  </si>
  <si>
    <t>https://dd3ka9h4chfr8.cloudfront.net/image/725136000567/image_8a58la7al16vtfjvbdttso154b/-FJPG/105771-004_SID_1.jpg</t>
  </si>
  <si>
    <t>https://dd3ka9h4chfr8.cloudfront.net/image/725136000567/image_rhujf9oprd1p90jagq0tpjjf6o/-FJPG/105771-004_DET_2.jpg</t>
  </si>
  <si>
    <t>https://dd3ka9h4chfr8.cloudfront.net/image/725136000567/image_bsjr2l5ijt7nl6tqt7tff2ue1n/-FJPG/105771-004_BCK_1.jpg</t>
  </si>
  <si>
    <t>https://dd3ka9h4chfr8.cloudfront.net/image/725136000567/image_079p89clet52l0s3rrq0nh1n1h/-FJPG/105771-004_DET_1.jpg</t>
  </si>
  <si>
    <t>https://dd3ka9h4chfr8.cloudfront.net/image/725136000567/image_7ldmseg4tl2s95gdl9uaoad50j/-FJPG/105771-004_DET_3.jpg</t>
  </si>
  <si>
    <t>https://dd3ka9h4chfr8.cloudfront.net/image/725136000567/image_p52ld74nn140l8q2hmmdivik1g/-FJPG/105771-004_DET_4.jpg</t>
  </si>
  <si>
    <t>Complete Item, L-Shaped Box</t>
  </si>
  <si>
    <t>50% Duck Feather, 30% Polyurethane Foam Pad, 20% Polyester Fiber</t>
  </si>
  <si>
    <t>Olson</t>
  </si>
  <si>
    <t>3.00"</t>
  </si>
  <si>
    <t>30.00"</t>
  </si>
  <si>
    <t>105771-007</t>
  </si>
  <si>
    <t>Olson Chair - Emerald Worn Velvet</t>
  </si>
  <si>
    <t>Emerald Worn Velvet</t>
  </si>
  <si>
    <t>Sienna Brown</t>
  </si>
  <si>
    <t>A clean, sophisticated silhouette meets velvety emerald upholstery with side-arm cutouts, for a balanced look with a mid-century air. Tapered oak legs add a feminine finishing touch.</t>
  </si>
  <si>
    <t>https://dd3ka9h4chfr8.cloudfront.net/image/725136000567/image_nlo42pevg15lfbshl0430nqc15/-S150x150-FJPG/105771-007_PRM_1.jpg</t>
  </si>
  <si>
    <t>https://dd3ka9h4chfr8.cloudfront.net/image/725136000567/image_qsm40vjdv15636c71u67i6ld1q/-FJPG/105771-007_FRT_1.jpg</t>
  </si>
  <si>
    <t>https://dd3ka9h4chfr8.cloudfront.net/image/725136000567/image_nlo42pevg15lfbshl0430nqc15/-FJPG/105771-007_PRM_1.jpg</t>
  </si>
  <si>
    <t>https://dd3ka9h4chfr8.cloudfront.net/image/725136000567/image_u4loahp63h4qfa1juvnambi40e/-FJPG/105771-007_SID_1.jpg</t>
  </si>
  <si>
    <t>https://dd3ka9h4chfr8.cloudfront.net/image/725136000567/image_dcosa7f8gd6pjdor0c1sb9a06j/-FJPG/105771-007_DET_2.jpg</t>
  </si>
  <si>
    <t>https://dd3ka9h4chfr8.cloudfront.net/image/725136000567/image_in2p278g896mnamgt866irjf6t/-FJPG/105771-007_BCK_1.jpg</t>
  </si>
  <si>
    <t>https://dd3ka9h4chfr8.cloudfront.net/image/725136000567/image_diji8t3qr156330mova0suou66/-FJPG/105771-007_INF_1.jpg</t>
  </si>
  <si>
    <t>https://dd3ka9h4chfr8.cloudfront.net/image/725136000567/image_r39lhu22kp3d53pu30rb2loc2k/-FJPG/105771-007_DET_1.jpg</t>
  </si>
  <si>
    <t>https://dd3ka9h4chfr8.cloudfront.net/image/725136000567/image_t0sc4qoq4p0p314aqi8qm5h65k/-FJPG/105771-007_DET_3.jpg</t>
  </si>
  <si>
    <t>https://dd3ka9h4chfr8.cloudfront.net/image/725136000567/image_m5ret7714p0al45i4dbepdcp00/-FJPG/105771-007_DET_4.jpg</t>
  </si>
  <si>
    <t>https://dd3ka9h4chfr8.cloudfront.net/image/725136000567/image_r451bfahb57lv7ldq9gemavh77/-FJPG/105771-007_DET_5.jpg</t>
  </si>
  <si>
    <t>https://dd3ka9h4chfr8.cloudfront.net/image/725136000567/image_fn5sq34p0h2rf4g8n057f42s0d/-FJPG/105771-007_DET_6.jpg</t>
  </si>
  <si>
    <t>https://dd3ka9h4chfr8.cloudfront.net/image/725136000567/image_1g8841p3jt7r5evvgafb7cgd3m/-FJPG/105771-007_ROM_1.jpg</t>
  </si>
  <si>
    <t>Complete Item- L Shape Box H1=600mm H2=450mm</t>
  </si>
  <si>
    <t>105778-006</t>
  </si>
  <si>
    <t>Rowen Chair - Sonoma Black</t>
  </si>
  <si>
    <t>Carbon Black</t>
  </si>
  <si>
    <t>Stainless Steel</t>
  </si>
  <si>
    <t>Buttery black seating of Four Hands-exclusive top-grain leather, with angular arms of exposed oak providing fresh contrast. Slim, carbon-finished steel legs for a dose of modern-industrial edge.</t>
  </si>
  <si>
    <t>https://dd3ka9h4chfr8.cloudfront.net/image/725136000567/image_8ppgpssl0p51be5d1ed6s10860/-S150x150-FJPG/105778-006_PRM_1.jpg</t>
  </si>
  <si>
    <t>https://dd3ka9h4chfr8.cloudfront.net/image/725136000567/image_r6b38ivvv53dhabg6m2qooj244/-FJPG/105778-006_FRT_1.jpg</t>
  </si>
  <si>
    <t>https://dd3ka9h4chfr8.cloudfront.net/image/725136000567/image_8ppgpssl0p51be5d1ed6s10860/-FJPG/105778-006_PRM_1.jpg</t>
  </si>
  <si>
    <t>https://dd3ka9h4chfr8.cloudfront.net/image/725136000567/image_vodb3rt7g17j5eiei2qe8voc2m/-FJPG/105778-006_SID_1.jpg</t>
  </si>
  <si>
    <t>https://dd3ka9h4chfr8.cloudfront.net/image/725136000567/image_kaf1bbsh3h7ff9m0aigqm13164/-FJPG/105778-006_DET_2.jpg</t>
  </si>
  <si>
    <t>https://dd3ka9h4chfr8.cloudfront.net/image/725136000567/image_kipchd63hp3prbfi6g29vppb35/-FJPG/105778-006_BCK_1.jpg</t>
  </si>
  <si>
    <t>https://dd3ka9h4chfr8.cloudfront.net/image/725136000567/image_te80vd5kpt389c8rmmnhgmdo6s/-FJPG/105778-006_DET_1.jpg</t>
  </si>
  <si>
    <t>https://dd3ka9h4chfr8.cloudfront.net/image/725136000567/image_0r6dpqidfl0hn2de1fnfu0mi0r/-FJPG/105778-006_DET_3.jpg</t>
  </si>
  <si>
    <t>https://dd3ka9h4chfr8.cloudfront.net/image/725136000567/image_nth17u8ap50p17nac3kant2911/-FJPG/105778-006_DET_4.jpg</t>
  </si>
  <si>
    <t>https://dd3ka9h4chfr8.cloudfront.net/image/725136000567/image_eipvr3u6ud1cp5via2i8nlfi27/-FJPG/105778-006_DET_5.jpg</t>
  </si>
  <si>
    <t>https://dd3ka9h4chfr8.cloudfront.net/image/725136000567/image_7udbm0d6rl4ep5o7c7cl654m42/-FJPG/105778-006_DET_6.jpg</t>
  </si>
  <si>
    <t>https://dd3ka9h4chfr8.cloudfront.net/image/725136000567/image_5et6l1kfk13flb7dn7ui975i6e/-FJPG/105778-006_DET_7.jpg</t>
  </si>
  <si>
    <t>https://dd3ka9h4chfr8.cloudfront.net/image/725136000567/image_ltftejs9cd5f7a99nd8mcc6t78/-FJPG/105778-006_DET_8.jpg</t>
  </si>
  <si>
    <t>https://dd3ka9h4chfr8.cloudfront.net/image/725136000567/image_e0bonmau0t3eb42j35t2vn4e19/-FJPG/105778-006_ROM_1.jpg</t>
  </si>
  <si>
    <t>Sling</t>
  </si>
  <si>
    <t>Rowen</t>
  </si>
  <si>
    <t>105778-007</t>
  </si>
  <si>
    <t>Rowen Chair - Thames Raven</t>
  </si>
  <si>
    <t>Thames Raven</t>
  </si>
  <si>
    <t>Textural grey seating of performance-grade upholstery, with angular arms of exposed oak providing fresh contrast. Slim, carbon-finished steel legs for a dose of modern-industrial edge.</t>
  </si>
  <si>
    <t>https://dd3ka9h4chfr8.cloudfront.net/image/725136000567/image_soj9tc42914ln3liq2fotq9e5l/-S150x150-FJPG/105778-007_PRM_1.jpg</t>
  </si>
  <si>
    <t>https://dd3ka9h4chfr8.cloudfront.net/image/725136000567/image_hnmltiu8q51e31nhceqdggq710/-FJPG/105778-007_FRT_1.jpg</t>
  </si>
  <si>
    <t>https://dd3ka9h4chfr8.cloudfront.net/image/725136000567/image_soj9tc42914ln3liq2fotq9e5l/-FJPG/105778-007_PRM_1.jpg</t>
  </si>
  <si>
    <t>https://dd3ka9h4chfr8.cloudfront.net/image/725136000567/image_c29aenu7hh51r4umomal21l965/-FJPG/105778-007_SID_1.jpg</t>
  </si>
  <si>
    <t>https://dd3ka9h4chfr8.cloudfront.net/image/725136000567/image_9ofoc7ec912crcai6hdl4dnu4e/-FJPG/105778-007_ESS.tif</t>
  </si>
  <si>
    <t>https://dd3ka9h4chfr8.cloudfront.net/image/725136000567/image_c180fg8cj934b52rqebl7srr4p/-FJPG/105778-007_DET_2.jpg</t>
  </si>
  <si>
    <t>https://dd3ka9h4chfr8.cloudfront.net/image/725136000567/image_bm8j7omeml2f35m45auiksjg62/-FJPG/105778-007_BCK_1.jpg</t>
  </si>
  <si>
    <t>https://dd3ka9h4chfr8.cloudfront.net/image/725136000567/image_96pa9lea4p4c33r433e7ajf17m/-FJPG/105778-007_INF_1.jpg</t>
  </si>
  <si>
    <t>https://dd3ka9h4chfr8.cloudfront.net/image/725136000567/image_h2e074l3l979lcuqqhfms1su6v/-FJPG/105778-007_DET_1.jpg</t>
  </si>
  <si>
    <t>https://dd3ka9h4chfr8.cloudfront.net/image/725136000567/image_kiftvrpl2d2t39pc2smnurvk2n/-FJPG/105778-007_DET_3.jpg</t>
  </si>
  <si>
    <t>https://dd3ka9h4chfr8.cloudfront.net/image/725136000567/image_1rsrc6u6452c3dhsit38s66m7a/-FJPG/105778-007_DET_4.jpg</t>
  </si>
  <si>
    <t>https://dd3ka9h4chfr8.cloudfront.net/image/725136000567/image_vbsvd0tacl5q5fd34qe7q9va5i/-FJPG/105778-007_DET_5.jpg</t>
  </si>
  <si>
    <t>https://dd3ka9h4chfr8.cloudfront.net/image/725136000567/image_qm220t7mod0hn668h2hrq8cm67/-FJPG/105778-007_DET_6.jpg</t>
  </si>
  <si>
    <t>https://dd3ka9h4chfr8.cloudfront.net/image/725136000567/image_83snqqgfhh5cl40ubumrufh479/-FJPG/105778-007_DET_7.jpg</t>
  </si>
  <si>
    <t>https://dd3ka9h4chfr8.cloudfront.net/image/725136000567/image_6pmqs4l1jp1clcm2ia1hhopf11/-FJPG/105778-007_ROM_1.jpg</t>
  </si>
  <si>
    <t>105778-008</t>
  </si>
  <si>
    <t>Rowen Chair - Fayette Cloud</t>
  </si>
  <si>
    <t>Fayette Cloud</t>
  </si>
  <si>
    <t>97% Polyester</t>
  </si>
  <si>
    <t>3% Acrylic</t>
  </si>
  <si>
    <t>Textural seating of performance-grade upholstery, with angular arms of exposed oak for fresh contrast. Slim, carbon-finished steel legs add a dose of modern-industrial edge.</t>
  </si>
  <si>
    <t>https://dd3ka9h4chfr8.cloudfront.net/image/725136000567/image_r5dh5k265h4tdfsrvkbjs90q7c/-S150x150-FJPG/105778-008_PRM_1.jpg</t>
  </si>
  <si>
    <t>https://dd3ka9h4chfr8.cloudfront.net/image/725136000567/image_9j3kuddtpd34h62c695hpd804n/-FJPG/105778-008_FRT_1.jpg</t>
  </si>
  <si>
    <t>https://dd3ka9h4chfr8.cloudfront.net/image/725136000567/image_r5dh5k265h4tdfsrvkbjs90q7c/-FJPG/105778-008_PRM_1.jpg</t>
  </si>
  <si>
    <t>https://dd3ka9h4chfr8.cloudfront.net/image/725136000567/image_um56f1us3d4hf93qv7bub7vk62/-FJPG/105778-008_SID_1.jpg</t>
  </si>
  <si>
    <t>https://dd3ka9h4chfr8.cloudfront.net/image/725136000567/image_pvbtqj83gd6f5b2os3ldbqc766/-FJPG/105778-008_DET_2.jpg</t>
  </si>
  <si>
    <t>https://dd3ka9h4chfr8.cloudfront.net/image/725136000567/image_gpenefru455hned5qsaglqko51/-FJPG/105778-008_BCK_1.jpg</t>
  </si>
  <si>
    <t>https://dd3ka9h4chfr8.cloudfront.net/image/725136000567/image_4jnm6vahrt3gd6uuvp7lrk2c1u/-FJPG/105778-008_INF_1.jpg</t>
  </si>
  <si>
    <t>https://dd3ka9h4chfr8.cloudfront.net/image/725136000567/image_npvniv585h07991d21pkdspb60/-FJPG/105778-008_DET_1.jpg</t>
  </si>
  <si>
    <t>https://dd3ka9h4chfr8.cloudfront.net/image/725136000567/image_c2hsvkrvi92vdae1ag4uudpc20/-FJPG/105778-008_DET_3.jpg</t>
  </si>
  <si>
    <t>https://dd3ka9h4chfr8.cloudfront.net/image/725136000567/image_gthlr3l9d95jr55i5l86utc373/-FJPG/105778-008_DET_4.jpg</t>
  </si>
  <si>
    <t>https://dd3ka9h4chfr8.cloudfront.net/image/725136000567/image_rujfjrjk511cjb8h9h4lsccp79/-FJPG/105778-008_VIG_1.jpg</t>
  </si>
  <si>
    <t>105778-009</t>
  </si>
  <si>
    <t>Rowen Chair - Palermo Drift</t>
  </si>
  <si>
    <t>Natural Whitewash Ash</t>
  </si>
  <si>
    <t>Slim, black steel frames buttery, pronounced seating of tan top-grain leather, with whitewashed ash accentuating angular arms.</t>
  </si>
  <si>
    <t>https://dd3ka9h4chfr8.cloudfront.net/image/725136000567/image_pkrq92q4n131bci9ftcg2h8v3u/-S150x150-FJPG/105778-009_PRM_1.jpg</t>
  </si>
  <si>
    <t>https://dd3ka9h4chfr8.cloudfront.net/image/725136000567/image_j24s9dfvil0ln957prjlcvt26v/-FJPG/105778-009_FRT_1.jpg</t>
  </si>
  <si>
    <t>https://dd3ka9h4chfr8.cloudfront.net/image/725136000567/image_pkrq92q4n131bci9ftcg2h8v3u/-FJPG/105778-009_PRM_1.jpg</t>
  </si>
  <si>
    <t>https://dd3ka9h4chfr8.cloudfront.net/image/725136000567/image_4a95elr8ht4mje2n617mgnh240/-FJPG/105778-009_SID_1.jpg</t>
  </si>
  <si>
    <t>https://dd3ka9h4chfr8.cloudfront.net/image/725136000567/image_17i15310u92ofcoqb85ntu0n0e/-FJPG/105778-009_ESS_1.jpg</t>
  </si>
  <si>
    <t>https://dd3ka9h4chfr8.cloudfront.net/image/725136000567/image_ar62bu64q14p3clptjv7fhu03s/-FJPG/105778-009_DET_2.jpg</t>
  </si>
  <si>
    <t>https://dd3ka9h4chfr8.cloudfront.net/image/725136000567/image_1r1hl09hdp7vfea6qj9dh0mu3m/-FJPG/105778-009_BCK_1.jpg</t>
  </si>
  <si>
    <t>https://dd3ka9h4chfr8.cloudfront.net/image/725136000567/image_g939eqqvbt5o9bsaudlc8phf6d/-FJPG/105778-009_DET_1.jpg</t>
  </si>
  <si>
    <t>https://dd3ka9h4chfr8.cloudfront.net/image/725136000567/image_oprdgcilmh4lh416dvab9sb65f/-FJPG/105778-009_DET_3.jpg</t>
  </si>
  <si>
    <t>https://dd3ka9h4chfr8.cloudfront.net/image/725136000567/image_8b3c8gjhth62l1de7raq3ems7g/-FJPG/105778-009_DET_4.jpg</t>
  </si>
  <si>
    <t>https://dd3ka9h4chfr8.cloudfront.net/image/725136000567/image_bq2sqk2rt9723fhtruhotn8d4m/-FJPG/105778-009_ROM_1.jpg</t>
  </si>
  <si>
    <t>105778-012</t>
  </si>
  <si>
    <t>Rowen Chair - Alcala Fawn</t>
  </si>
  <si>
    <t>Alcala Fawn</t>
  </si>
  <si>
    <t>Vintage Ash</t>
  </si>
  <si>
    <t>70% Polyester</t>
  </si>
  <si>
    <t>20% Viscose (Rayon)</t>
  </si>
  <si>
    <t>Angular oak arms pair with tailored seating of high-performance fabric. Slim, carbon-finished steel legs add a dose of modern-industrial edge. Performance fabrics are specially created to withstand spills, stains, high traffic and wear, ensuring long-term comfort and unmatched durability.</t>
  </si>
  <si>
    <t>https://dd3ka9h4chfr8.cloudfront.net/image/725136000567/image_mjnqtaksb95thdvavgk0pcuk69/-S150x150-FJPG/105778-012_PRM_1.jpg</t>
  </si>
  <si>
    <t>https://dd3ka9h4chfr8.cloudfront.net/image/725136000567/image_o4v0e04kc17grdm5sa8238pm28/-FJPG/105778-012_FRT_1.jpg</t>
  </si>
  <si>
    <t>https://dd3ka9h4chfr8.cloudfront.net/image/725136000567/image_mjnqtaksb95thdvavgk0pcuk69/-FJPG/105778-012_PRM_1.jpg</t>
  </si>
  <si>
    <t>https://dd3ka9h4chfr8.cloudfront.net/image/725136000567/image_2r14uu6lfl3lj1iqhp0r6ko60t/-FJPG/105778-012_SID_1.jpg</t>
  </si>
  <si>
    <t>https://dd3ka9h4chfr8.cloudfront.net/image/725136000567/image_s5aolvnk3t7th6i4bia8erti6g/-FJPG/105778-012_ESS.tif</t>
  </si>
  <si>
    <t>https://dd3ka9h4chfr8.cloudfront.net/image/725136000567/image_0giug955rl61resjteep0b4234/-FJPG/105778-012_DET_2.jpg</t>
  </si>
  <si>
    <t>https://dd3ka9h4chfr8.cloudfront.net/image/725136000567/image_6a85bfnigp42te2kt73nd9eg2f/-FJPG/105778-012_BCK_1.jpg</t>
  </si>
  <si>
    <t>https://dd3ka9h4chfr8.cloudfront.net/image/725136000567/image_5ter1jkjs13afeqn0fovvbmm18/-FJPG/105778-012_DET_1.jpg</t>
  </si>
  <si>
    <t>https://dd3ka9h4chfr8.cloudfront.net/image/725136000567/image_j1s7b0ddft0kr42i00rsab6i42/-FJPG/105778-012_DET_3.jpg</t>
  </si>
  <si>
    <t>https://dd3ka9h4chfr8.cloudfront.net/image/725136000567/image_pbhm4mdtj12i3fibva6t5mmp0g/-FJPG/105778-012_DET_4.jpg</t>
  </si>
  <si>
    <t>https://dd3ka9h4chfr8.cloudfront.net/image/725136000567/image_lj6ko4ln3h24pfvuq1uue74h7l/-FJPG/105778-012_DET_5.jpg</t>
  </si>
  <si>
    <t>https://dd3ka9h4chfr8.cloudfront.net/image/725136000567/image_bl1ajhqsq901fanj161ih5441o/-FJPG/105778-012_DET_6.jpg</t>
  </si>
  <si>
    <t>https://dd3ka9h4chfr8.cloudfront.net/image/725136000567/image_rbcaukbdrh0034rlgslmjq3b7k/-FJPG/105778-012_HOV_1.jpg</t>
  </si>
  <si>
    <t>105807-006</t>
  </si>
  <si>
    <t>Powell Dining Table - English Brown Oak Veneer</t>
  </si>
  <si>
    <t>Hughes</t>
  </si>
  <si>
    <t>English Brown Oak Veneer</t>
  </si>
  <si>
    <t>Dark Rustic Black</t>
  </si>
  <si>
    <t>Oak Veneer</t>
  </si>
  <si>
    <t>Mixed materials make the table. Classic tulip shaping is recast with a rustic black cast-iron base and a rich brown oak top.</t>
  </si>
  <si>
    <t>https://dd3ka9h4chfr8.cloudfront.net/image/725136000567/image_8nu33bqbt95b96171t851l0f32/-S150x150-FJPG/105807-006_PRM_1.jpg</t>
  </si>
  <si>
    <t>https://dd3ka9h4chfr8.cloudfront.net/image/725136000567/image_8nu33bqbt95b96171t851l0f32/-FJPG/105807-006_PRM_1.jpg</t>
  </si>
  <si>
    <t>https://dd3ka9h4chfr8.cloudfront.net/image/725136000567/image_ojrisgcrgh0j1enst61mdhu87s/-FJPG/105807-006_ESS_1.jpg</t>
  </si>
  <si>
    <t>https://dd3ka9h4chfr8.cloudfront.net/image/725136000567/image_jn6jv1b60h10ffh2pvov3d4c5i/-FJPG/105807-006_DET_2.jpg</t>
  </si>
  <si>
    <t>https://dd3ka9h4chfr8.cloudfront.net/image/725136000567/image_9ohhqjqd057734gougac22og49/-FJPG/105807-006_DET_1.jpg</t>
  </si>
  <si>
    <t>https://dd3ka9h4chfr8.cloudfront.net/image/725136000567/image_cas84iaa1l2dt9um5mlsh6he18/-FJPG/105807-006_DET_3.jpg</t>
  </si>
  <si>
    <t>https://dd3ka9h4chfr8.cloudfront.net/image/725136000567/image_qoa7s3lp450nn2li7f40l8rv4s/-FJPG/105807-006_TOP_1.jpg</t>
  </si>
  <si>
    <t>https://dd3ka9h4chfr8.cloudfront.net/image/725136000567/image_77vfg9bl7p7rfdbkqi6n3c5t10/-FJPG/105807-006_DET_5.jpg</t>
  </si>
  <si>
    <t>Bore and Dowel</t>
  </si>
  <si>
    <t>Powell</t>
  </si>
  <si>
    <t>20.16"</t>
  </si>
  <si>
    <t>10.93"</t>
  </si>
  <si>
    <t>105857-007</t>
  </si>
  <si>
    <t>Oxford Bench - Rialto Ebony</t>
  </si>
  <si>
    <t>Rialto Ebony</t>
  </si>
  <si>
    <t>Antique Brass</t>
  </si>
  <si>
    <t>Traditional library style meets modern sensibilities. Blind-tufted, top-grain leather floats inside an antique brass Parsons base with cage-like detailing.</t>
  </si>
  <si>
    <t>https://dd3ka9h4chfr8.cloudfront.net/image/725136000567/image_hop8fa42hh6ajepaalsmmnhv64/-S150x150-FJPG/105857-007_PRM_1.jpg</t>
  </si>
  <si>
    <t>https://dd3ka9h4chfr8.cloudfront.net/image/725136000567/image_arg6jd86et15tagoq6agsqj41k/-FJPG/105857-007_FRT_1.jpg</t>
  </si>
  <si>
    <t>https://dd3ka9h4chfr8.cloudfront.net/image/725136000567/image_hop8fa42hh6ajepaalsmmnhv64/-FJPG/105857-007_PRM_1.jpg</t>
  </si>
  <si>
    <t>https://dd3ka9h4chfr8.cloudfront.net/image/725136000567/image_3gf801ie6d0atf2jijnp1drq08/-FJPG/105857-007_SID_1.jpg</t>
  </si>
  <si>
    <t>https://dd3ka9h4chfr8.cloudfront.net/image/725136000567/image_3m1sfn1r010n72o8bh4u19gs5q/-FJPG/105857-007_DET_2.jpg</t>
  </si>
  <si>
    <t>https://dd3ka9h4chfr8.cloudfront.net/image/725136000567/image_k3vgf6dobt2kf93lntmsao395s/-FJPG/105857-007_DET_1.jpg</t>
  </si>
  <si>
    <t>https://dd3ka9h4chfr8.cloudfront.net/image/725136000567/image_3llu5dv5nt2jr8os9vlvm4c45q/-FJPG/105857-007_DET_3.jpg</t>
  </si>
  <si>
    <t>https://dd3ka9h4chfr8.cloudfront.net/image/725136000567/image_tfcu9nfopp0rr06jpd8b2cc83v/-FJPG/105857-007_DET_4.jpg</t>
  </si>
  <si>
    <t>https://dd3ka9h4chfr8.cloudfront.net/image/725136000567/image_t659k0jfn95n51iinvcb29cd31/-FJPG/105857-007_ROM_1.jpg</t>
  </si>
  <si>
    <t>https://dd3ka9h4chfr8.cloudfront.net/image/725136000567/image_rr7ng93ru509pekchvtvhd4m0l/-FJPG/105857-007_VIG_1.jpg</t>
  </si>
  <si>
    <t>13.78"</t>
  </si>
  <si>
    <t>43.31"</t>
  </si>
  <si>
    <t>Pocket Coils</t>
  </si>
  <si>
    <t>Oxford</t>
  </si>
  <si>
    <t>Blind-pull</t>
  </si>
  <si>
    <t>105885-007</t>
  </si>
  <si>
    <t>Leigh Upholstered Bed - Hockney Ivory</t>
  </si>
  <si>
    <t>Beds</t>
  </si>
  <si>
    <t>Queen</t>
  </si>
  <si>
    <t>Hockney Ivory</t>
  </si>
  <si>
    <t>Waxed Black (PC)</t>
  </si>
  <si>
    <t>Sierra Butterscotch</t>
  </si>
  <si>
    <t>86% Polyester</t>
  </si>
  <si>
    <t>14% Flax/Linen</t>
  </si>
  <si>
    <t>Faux Leather</t>
  </si>
  <si>
    <t>Safari styling gets a modern reboot. Ivory performance fabric brings modernity to the bedroom. Leather straps secure decorative suspended headboard pillows. Performance fabrics are specially created to withstand spills, stains, high traffic and wear, ensuring long-term comfort and unmatched durability. Box spring required. This bed is not compatible with an adjustable mattress.</t>
  </si>
  <si>
    <t>https://dd3ka9h4chfr8.cloudfront.net/image/725136000567/image_tbslqknngl6b15s0141ob9153p/-S150x150-FJPG/105885-007_PRM_1.jpg</t>
  </si>
  <si>
    <t>https://dd3ka9h4chfr8.cloudfront.net/image/725136000567/image_nha6gcp6c16un1cim8ar3sa15v/-FJPG/105885-007_FRT_1.jpg</t>
  </si>
  <si>
    <t>https://dd3ka9h4chfr8.cloudfront.net/image/725136000567/image_tbslqknngl6b15s0141ob9153p/-FJPG/105885-007_PRM_1.jpg</t>
  </si>
  <si>
    <t>https://dd3ka9h4chfr8.cloudfront.net/image/725136000567/image_onv433pe497j712hut16bp2j1q/-FJPG/105885-007_SID_1.jpg</t>
  </si>
  <si>
    <t>https://dd3ka9h4chfr8.cloudfront.net/image/725136000567/image_tim3k9c71l0on46rndrutp8k1j/-FJPG/105885-007_ESS.tif</t>
  </si>
  <si>
    <t>https://dd3ka9h4chfr8.cloudfront.net/image/725136000567/image_tcdnbi6rk13cpet5ndjmfb350h/-FJPG/105885-007_DET_2.jpg</t>
  </si>
  <si>
    <t>https://dd3ka9h4chfr8.cloudfront.net/image/725136000567/image_gqmli5mn6d2135igm6n66qho2g/-FJPG/105885-007_DET_1.jpg</t>
  </si>
  <si>
    <t>https://dd3ka9h4chfr8.cloudfront.net/image/725136000567/image_ijnlsid7i10nb6c5jm81t4627u/-FJPG/105885-007_DET_3.jpg</t>
  </si>
  <si>
    <t>https://dd3ka9h4chfr8.cloudfront.net/image/725136000567/image_qqpkssnvd969h7e930gsjo9o4u/-FJPG/105885-007_DET_4.jpg</t>
  </si>
  <si>
    <t>https://dd3ka9h4chfr8.cloudfront.net/image/725136000567/image_meom67k9oh25r8lgbe1ih13s21/-FJPG/105885-007_DET_9.tif</t>
  </si>
  <si>
    <t>Headboard/Footboard</t>
  </si>
  <si>
    <t>Siderails</t>
  </si>
  <si>
    <t>Leigh</t>
  </si>
  <si>
    <t>550 lb</t>
  </si>
  <si>
    <t>90% Polyurethane Foam, 10% Polyester Fiber</t>
  </si>
  <si>
    <t>2.24"</t>
  </si>
  <si>
    <t>60.24"</t>
  </si>
  <si>
    <t>81.10"</t>
  </si>
  <si>
    <t>62.60"</t>
  </si>
  <si>
    <t>10.83"</t>
  </si>
  <si>
    <t>81.30"</t>
  </si>
  <si>
    <t>Dark Fabric</t>
  </si>
  <si>
    <t>Upholstered</t>
  </si>
  <si>
    <t>Standard Box Spring</t>
  </si>
  <si>
    <t>105885-008</t>
  </si>
  <si>
    <t>King</t>
  </si>
  <si>
    <t>https://dd3ka9h4chfr8.cloudfront.net/image/725136000567/image_uo3ejfj1il7od1j9arntpqjo1q/-S150x150-FJPG/105885-008_PRM_1.jpg</t>
  </si>
  <si>
    <t>https://dd3ka9h4chfr8.cloudfront.net/image/725136000567/image_9f34b794pt0lb6un1oeivs8e18/-FJPG/105885-008_FRT_1.jpg</t>
  </si>
  <si>
    <t>https://dd3ka9h4chfr8.cloudfront.net/image/725136000567/image_uo3ejfj1il7od1j9arntpqjo1q/-FJPG/105885-008_PRM_1.jpg</t>
  </si>
  <si>
    <t>https://dd3ka9h4chfr8.cloudfront.net/image/725136000567/image_2g3tu3rd5930r6018nb5vr372v/-FJPG/105885-008_SID_1.jpg</t>
  </si>
  <si>
    <t>https://dd3ka9h4chfr8.cloudfront.net/image/725136000567/image_a21fm9s3451djc88m4hv6dev6k/-FJPG/105885-008_DET_2.jpg</t>
  </si>
  <si>
    <t>https://dd3ka9h4chfr8.cloudfront.net/image/725136000567/image_n35jnag8hl1en2srhkuo933q7s/-FJPG/105885-008_DET_1.jpg</t>
  </si>
  <si>
    <t>https://dd3ka9h4chfr8.cloudfront.net/image/725136000567/image_taoqisbgqd3sjbvhj9a7dj1h6f/-FJPG/105885-008_DET_3.jpg</t>
  </si>
  <si>
    <t>https://dd3ka9h4chfr8.cloudfront.net/image/725136000567/image_gv7tvuj98t28b64ao8gcrq596h/-FJPG/105885-008_DET_4.jpg</t>
  </si>
  <si>
    <t>78.74"</t>
  </si>
  <si>
    <t>78.34"</t>
  </si>
  <si>
    <t>105917-007</t>
  </si>
  <si>
    <t>Brooks Lounge Chair - Rialto Ebony</t>
  </si>
  <si>
    <t>Black Wash</t>
  </si>
  <si>
    <t>Linen/Cotton-Black</t>
  </si>
  <si>
    <t>67% Cotton</t>
  </si>
  <si>
    <t>33% Flax/Linen</t>
  </si>
  <si>
    <t>Our take on the classic Adirondack emphasizes comfort with thick, top-grain leather cushioning. Wire-brushed oak is finished in black and hand-distressed for a naturally weathered patina.</t>
  </si>
  <si>
    <t>https://dd3ka9h4chfr8.cloudfront.net/image/725136000567/image_7ovquu6eb51ure53ar6il1e616/-S150x150-FJPG/105917-007_PRM_1.jpg</t>
  </si>
  <si>
    <t>https://dd3ka9h4chfr8.cloudfront.net/image/725136000567/image_fmb904obsl7619rb8dfpmkll0t/-FJPG/105917-007_FRT_1.jpg</t>
  </si>
  <si>
    <t>https://dd3ka9h4chfr8.cloudfront.net/image/725136000567/image_7ovquu6eb51ure53ar6il1e616/-FJPG/105917-007_PRM_1.jpg</t>
  </si>
  <si>
    <t>https://dd3ka9h4chfr8.cloudfront.net/image/725136000567/image_naahk60mat5p32fnep5p5c9n08/-FJPG/105917-007_SID_1.jpg</t>
  </si>
  <si>
    <t>https://dd3ka9h4chfr8.cloudfront.net/image/725136000567/image_pll9h2biid3n562e34mibpd505/-FJPG/105917-007_ESS_1.jpg</t>
  </si>
  <si>
    <t>https://dd3ka9h4chfr8.cloudfront.net/image/725136000567/image_jktj10pjk94hr2t89qee54pl23/-FJPG/105917-007_DET_2.jpg</t>
  </si>
  <si>
    <t>https://dd3ka9h4chfr8.cloudfront.net/image/725136000567/image_ts7vnb39p57e95c6cepr660n7k/-FJPG/105917-007_BCK_1.jpg</t>
  </si>
  <si>
    <t>https://dd3ka9h4chfr8.cloudfront.net/image/725136000567/image_qtnaifr82t2ghfdvq3stojof2p/-FJPG/105917-007_DET_1.jpg</t>
  </si>
  <si>
    <t>https://dd3ka9h4chfr8.cloudfront.net/image/725136000567/image_89335t6tld34r3btp5df4cke1u/-FJPG/105917-007_DET_3.jpg</t>
  </si>
  <si>
    <t>https://dd3ka9h4chfr8.cloudfront.net/image/725136000567/image_uf9kg4b5mt64n8gi53pgngmo22/-FJPG/105917-007_ROM_1.jpg</t>
  </si>
  <si>
    <t>https://dd3ka9h4chfr8.cloudfront.net/image/725136000567/image_67chvard9d7nt1636qsr5gka1e/-FJPG/105917-007_ROM_2.jpg</t>
  </si>
  <si>
    <t>https://dd3ka9h4chfr8.cloudfront.net/image/725136000567/image_na4fhc17ph0it9i3812i3mrm5b/-FJPG/105917-007_ROM_3.jpg</t>
  </si>
  <si>
    <t>https://dd3ka9h4chfr8.cloudfront.net/image/725136000567/image_09g14edtot43b5f14u450ls441/-FJPG/105917-007_ROM_4.jpg</t>
  </si>
  <si>
    <t>24.02"</t>
  </si>
  <si>
    <t>5.51"</t>
  </si>
  <si>
    <t>16.50"</t>
  </si>
  <si>
    <t>22.75"</t>
  </si>
  <si>
    <t>40% Waterfowl Feather, 40% Polyester Fiber Batting, 20% Polyurethane Foam Pad</t>
  </si>
  <si>
    <t>Slatted</t>
  </si>
  <si>
    <t>Brooks</t>
  </si>
  <si>
    <t>23.25"</t>
  </si>
  <si>
    <t>27.50"</t>
  </si>
  <si>
    <t>3.75"</t>
  </si>
  <si>
    <t>4.33"</t>
  </si>
  <si>
    <t>19.29"</t>
  </si>
  <si>
    <t>25.50"</t>
  </si>
  <si>
    <t>105917-010</t>
  </si>
  <si>
    <t>Brooks Lounge Chair - Avant Natural</t>
  </si>
  <si>
    <t>Avant Natural</t>
  </si>
  <si>
    <t>Honey Grey Oak</t>
  </si>
  <si>
    <t>74% Polyester</t>
  </si>
  <si>
    <t>26% Acrylic</t>
  </si>
  <si>
    <t>A fresh take on the classic Adirondack emphasizes comfort with thick, neutral cushioning. Wire-brushed oak is finished in a honey grey and hand-distressed for a naturally weathered patina.</t>
  </si>
  <si>
    <t>https://dd3ka9h4chfr8.cloudfront.net/image/725136000567/image_1sb3bgc5mt0g9f2l48jqlcsd2d/-S150x150-FJPG/105917-010_PRM_1.jpg</t>
  </si>
  <si>
    <t>https://dd3ka9h4chfr8.cloudfront.net/image/725136000567/image_crrp62jied7r50jqgl5nfq0p16/-FJPG/105917-010_FRT_1.jpg</t>
  </si>
  <si>
    <t>https://dd3ka9h4chfr8.cloudfront.net/image/725136000567/image_1sb3bgc5mt0g9f2l48jqlcsd2d/-FJPG/105917-010_PRM_1.jpg</t>
  </si>
  <si>
    <t>https://dd3ka9h4chfr8.cloudfront.net/image/725136000567/image_mtl5k1kqh11rl0gc2jpbnu6d7m/-FJPG/105917-010_SID_1.jpg</t>
  </si>
  <si>
    <t>https://dd3ka9h4chfr8.cloudfront.net/image/725136000567/image_ns5afhlu7h52rbejub540s0r23/-FJPG/105917-010_DET_2.jpg</t>
  </si>
  <si>
    <t>https://dd3ka9h4chfr8.cloudfront.net/image/725136000567/image_ljescctf813dr78qfca2d0i674/-FJPG/105917-010_BCK_1.jpg</t>
  </si>
  <si>
    <t>https://dd3ka9h4chfr8.cloudfront.net/image/725136000567/image_kl9ctv6uk50tddj26oq4jg0i18/-FJPG/105917-010_DET_1.jpg</t>
  </si>
  <si>
    <t>https://dd3ka9h4chfr8.cloudfront.net/image/725136000567/image_s4uo37aitt30r3v1oha0nfaj5g/-FJPG/105917-010_DET_3.jpg</t>
  </si>
  <si>
    <t>https://dd3ka9h4chfr8.cloudfront.net/image/725136000567/image_ht3e2qpq7d3gndup36husvft7l/-FJPG/105917-010_DET_4.jpg</t>
  </si>
  <si>
    <t>https://dd3ka9h4chfr8.cloudfront.net/image/725136000567/image_gol6sna50l04j8k5afupkudp6h/-FJPG/105917-010_DET_5.jpg</t>
  </si>
  <si>
    <t>https://dd3ka9h4chfr8.cloudfront.net/image/725136000567/image_bpcfk634995n1cjkgc31ogfr5p/-FJPG/105917-010_DET_6.jpg</t>
  </si>
  <si>
    <t>https://dd3ka9h4chfr8.cloudfront.net/image/725136000567/image_30gh8s40lh48tda4t3hidbdi55/-FJPG/105917-010_ROM_1.jpg</t>
  </si>
  <si>
    <t>https://dd3ka9h4chfr8.cloudfront.net/image/725136000567/image_acv106emv17nnc5vga0ge64i07/-FJPG/105917-010_ROM_2.jpg</t>
  </si>
  <si>
    <t>105938-119</t>
  </si>
  <si>
    <t>Danya Chair - Dakota Warm Taupe</t>
  </si>
  <si>
    <t>Belfast</t>
  </si>
  <si>
    <t>Mid-century shaping offers comfortably molded curves to the wing chair. Handpicked hides and hand-staining techniques celebrate the natural hallmarks of nature. Soft, buttery top-grain leather in rich camel pairs with classically tapered parawood legs.</t>
  </si>
  <si>
    <t>https://dd3ka9h4chfr8.cloudfront.net/image/725136000567/image_jbh1hcuo1t3kv2jlfb0pogst2n/-S150x150-FJPG/105938-119_PRM_1.jpg</t>
  </si>
  <si>
    <t>https://dd3ka9h4chfr8.cloudfront.net/image/725136000567/image_s0klsrbvo114l9bgm5acmmql4d/-FJPG/105938-119_FRT_1.jpg</t>
  </si>
  <si>
    <t>https://dd3ka9h4chfr8.cloudfront.net/image/725136000567/image_jbh1hcuo1t3kv2jlfb0pogst2n/-FJPG/105938-119_PRM_1.jpg</t>
  </si>
  <si>
    <t>https://dd3ka9h4chfr8.cloudfront.net/image/725136000567/image_qksjit4cgt5mp23cg1k5b19e1s/-FJPG/105938-119_SID_1.jpg</t>
  </si>
  <si>
    <t>https://dd3ka9h4chfr8.cloudfront.net/image/725136000567/image_fedjv3j6ap6tl3llvic15lhe6d/-FJPG/105938-119_DET_2.jpg</t>
  </si>
  <si>
    <t>https://dd3ka9h4chfr8.cloudfront.net/image/725136000567/image_kja6cpihc55e37jssduu8gt052/-FJPG/105938-119_BCK_1.jpg</t>
  </si>
  <si>
    <t>https://dd3ka9h4chfr8.cloudfront.net/image/725136000567/image_f43svibh4l74jeckb5mulro558/-FJPG/105938-119_DET_1.jpg</t>
  </si>
  <si>
    <t>https://dd3ka9h4chfr8.cloudfront.net/image/725136000567/image_da1al7ht7p6i1ap7a3kksgrb2n/-FJPG/105938-119_DET_3.jpg</t>
  </si>
  <si>
    <t>https://dd3ka9h4chfr8.cloudfront.net/image/725136000567/image_te8kk5dan9621435cvn8ltoh46/-FJPG/105938-119_DET_4.jpg</t>
  </si>
  <si>
    <t>https://dd3ka9h4chfr8.cloudfront.net/image/725136000567/image_dlsf6uk1el5qvajbjkrarif84p/-FJPG/105938-119_DET_5.jpg</t>
  </si>
  <si>
    <t>https://dd3ka9h4chfr8.cloudfront.net/image/725136000567/image_f4v7r5joc94r32aavpmqbnlj5k/-FJPG/105938-119_DET_6.jpg</t>
  </si>
  <si>
    <t>https://dd3ka9h4chfr8.cloudfront.net/image/725136000567/image_dv7e4g1fl57anfi3det0g5t34e/-FJPG/105938-119_DET_7.jpg</t>
  </si>
  <si>
    <t>https://dd3ka9h4chfr8.cloudfront.net/image/725136000567/image_pstvna6ba93jdf3t6gpkeaun5s/-FJPG/105938-119_ROM_1.jpg</t>
  </si>
  <si>
    <t>Competes Item- L-Shape Box</t>
  </si>
  <si>
    <t>16.73"</t>
  </si>
  <si>
    <t>Danya</t>
  </si>
  <si>
    <t>20.47"</t>
  </si>
  <si>
    <t>3.74"</t>
  </si>
  <si>
    <t>23.15"</t>
  </si>
  <si>
    <t>25.20"</t>
  </si>
  <si>
    <t>90% Polyurethane Foam Pad, 10% Polyester Fiber Pad</t>
  </si>
  <si>
    <t>19.75"</t>
  </si>
  <si>
    <t>30.31"</t>
  </si>
  <si>
    <t>105941-022</t>
  </si>
  <si>
    <t>Bloor Sofa - Landale Charcoal</t>
  </si>
  <si>
    <t>Landale Charcoal</t>
  </si>
  <si>
    <t>Deep, low seating says relax. An inviting sectional is covered in a durable woven fabric. Modular components allow the perfect combination for any space.</t>
  </si>
  <si>
    <t>https://dd3ka9h4chfr8.cloudfront.net/image/725136000567/image_ug52404odh46tdj8icjmu8br1h/-S150x150-FJPG/105941-022_PRM_1.jpg</t>
  </si>
  <si>
    <t>https://dd3ka9h4chfr8.cloudfront.net/image/725136000567/image_o9p7nec4p16a7778rjhl1d5o4g/-FJPG/105941-022_FRT_1.jpg</t>
  </si>
  <si>
    <t>https://dd3ka9h4chfr8.cloudfront.net/image/725136000567/image_ug52404odh46tdj8icjmu8br1h/-FJPG/105941-022_PRM_1.jpg</t>
  </si>
  <si>
    <t>https://dd3ka9h4chfr8.cloudfront.net/image/725136000567/image_5hbfmvbipd5h55oh6ahr49985q/-FJPG/105941-022_SID_1.jpg</t>
  </si>
  <si>
    <t>https://dd3ka9h4chfr8.cloudfront.net/image/725136000567/image_cim7f682pd59j8kbqj2hb5h569/-FJPG/105941-022_BCK_1.jpg</t>
  </si>
  <si>
    <t>https://dd3ka9h4chfr8.cloudfront.net/image/725136000567/image_55pr8j5jbd071bjc7colovnm59/-FJPG/105941-022_TOP_1.jpg</t>
  </si>
  <si>
    <t>41.00"</t>
  </si>
  <si>
    <t>82.00"</t>
  </si>
  <si>
    <t>63% Polyurethane Foam Pad, 30% Polyester Fiber, 7% Waterfowl Feathers</t>
  </si>
  <si>
    <t>Bloor</t>
  </si>
  <si>
    <t>46.00"</t>
  </si>
  <si>
    <t>37.00"</t>
  </si>
  <si>
    <t>89.00"</t>
  </si>
  <si>
    <t>105969-029</t>
  </si>
  <si>
    <t>Newhall Bed - Plushtone Linen</t>
  </si>
  <si>
    <t>Plushtone Linen</t>
  </si>
  <si>
    <t>Light Gunmetal</t>
  </si>
  <si>
    <t>Subtle, modern elegance. A low, tufted headboard in a neutral, chenille-like covering pairs with a simple gunmetal iron base.</t>
  </si>
  <si>
    <t>https://dd3ka9h4chfr8.cloudfront.net/image/725136000567/image_4d0tivfm31583ejduag3b40q6m/-S150x150-FJPG/105969-029_PRM_1.jpg</t>
  </si>
  <si>
    <t>https://dd3ka9h4chfr8.cloudfront.net/image/725136000567/image_l17jb4olo57gpaa57uuiseke2m/-FJPG/105969-029_FRT_1.jpg</t>
  </si>
  <si>
    <t>https://dd3ka9h4chfr8.cloudfront.net/image/725136000567/image_4d0tivfm31583ejduag3b40q6m/-FJPG/105969-029_PRM_1.jpg</t>
  </si>
  <si>
    <t>https://dd3ka9h4chfr8.cloudfront.net/image/725136000567/image_8ulaac2m0d36r7lt2mm3qj5q0u/-FJPG/105969-029_SID_1.jpg</t>
  </si>
  <si>
    <t>https://dd3ka9h4chfr8.cloudfront.net/image/725136000567/image_q1cvjcs20d4ij8j0e4mva0es6p/-FJPG/105969-029_DET_2.jpg</t>
  </si>
  <si>
    <t>https://dd3ka9h4chfr8.cloudfront.net/image/725136000567/image_3togar9og57hp86p5ksm4q7m4i/-FJPG/105969-029_BCK_1.jpg</t>
  </si>
  <si>
    <t>https://dd3ka9h4chfr8.cloudfront.net/image/725136000567/image_2v9976eth122517okebbn1lt3r/-FJPG/105969-029_DET_1.jpg</t>
  </si>
  <si>
    <t>https://dd3ka9h4chfr8.cloudfront.net/image/725136000567/image_bn69hkda6d58b4egc8d4ngqd5p/-FJPG/105969-029_DET_3.jpg</t>
  </si>
  <si>
    <t>https://dd3ka9h4chfr8.cloudfront.net/image/725136000567/image_guoeqhhhlp41f6d0m49jhivs12/-FJPG/105969-029_DET_4.jpg</t>
  </si>
  <si>
    <t>https://dd3ka9h4chfr8.cloudfront.net/image/725136000567/image_udklt1ojj12tnbll3m4jlfpl4v/-FJPG/105969-029_DET_5.jpg</t>
  </si>
  <si>
    <t>Headboard</t>
  </si>
  <si>
    <t>Side Rails</t>
  </si>
  <si>
    <t>Footboard&amp;Slats</t>
  </si>
  <si>
    <t>Newhall</t>
  </si>
  <si>
    <t>4.61"</t>
  </si>
  <si>
    <t>81.02"</t>
  </si>
  <si>
    <t>40.20"</t>
  </si>
  <si>
    <t>6.69"</t>
  </si>
  <si>
    <t>80.51"</t>
  </si>
  <si>
    <t>2.19"</t>
  </si>
  <si>
    <t>76.85"</t>
  </si>
  <si>
    <t>7.01"</t>
  </si>
  <si>
    <t>78.94"</t>
  </si>
  <si>
    <t>Fully Finished</t>
  </si>
  <si>
    <t>Not Required</t>
  </si>
  <si>
    <t>10.81"</t>
  </si>
  <si>
    <t>Posture Slats</t>
  </si>
  <si>
    <t>105969-030</t>
  </si>
  <si>
    <t>https://dd3ka9h4chfr8.cloudfront.net/image/725136000567/image_76uos7qc5t3pb9gb7jb6ejid1f/-S150x150-FJPG/105969-030_PRM_1.jpg</t>
  </si>
  <si>
    <t>https://dd3ka9h4chfr8.cloudfront.net/image/725136000567/image_t56na5rtn54498knnq9r111n32/-FJPG/105969-030_FRT_1.jpg</t>
  </si>
  <si>
    <t>https://dd3ka9h4chfr8.cloudfront.net/image/725136000567/image_76uos7qc5t3pb9gb7jb6ejid1f/-FJPG/105969-030_PRM_1.jpg</t>
  </si>
  <si>
    <t>https://dd3ka9h4chfr8.cloudfront.net/image/725136000567/image_8omec049hl5ah3gur74mpgpj5o/-FJPG/105969-030_SID_1.jpg</t>
  </si>
  <si>
    <t>https://dd3ka9h4chfr8.cloudfront.net/image/725136000567/image_7c22p5qkkd3n51ptij5a3thu1h/-FJPG/105969-030_DET_2.jpg</t>
  </si>
  <si>
    <t>https://dd3ka9h4chfr8.cloudfront.net/image/725136000567/image_72uk4jiau53i7epiot4p4j747m/-FJPG/105969-030_BCK_1.jpg</t>
  </si>
  <si>
    <t>https://dd3ka9h4chfr8.cloudfront.net/image/725136000567/image_lubv1mp6j534b038rpidi5ci0f/-FJPG/105969-030_DET_1.jpg</t>
  </si>
  <si>
    <t>https://dd3ka9h4chfr8.cloudfront.net/image/725136000567/image_i7pjk7bhtd6sp72gqdsrs2vt65/-FJPG/105969-030_DET_3.jpg</t>
  </si>
  <si>
    <t>https://dd3ka9h4chfr8.cloudfront.net/image/725136000567/image_4ahoc3uid91r578u649ujuae06/-FJPG/105969-030_DET_4.jpg</t>
  </si>
  <si>
    <t>https://dd3ka9h4chfr8.cloudfront.net/image/725136000567/image_khclmpp5s53shcr9eelm7m760b/-FJPG/105969-030_DET_5.jpg</t>
  </si>
  <si>
    <t>https://dd3ka9h4chfr8.cloudfront.net/image/725136000567/image_p8v7aumgb52ob62ji0066fau0p/-FJPG/105969-030_DET_6.jpg</t>
  </si>
  <si>
    <t>64.88"</t>
  </si>
  <si>
    <t>60.71"</t>
  </si>
  <si>
    <t>105969-031</t>
  </si>
  <si>
    <t>Newhall Bed - Vintage Tobacco</t>
  </si>
  <si>
    <t>Subtle, modern elegance. A low, tufted upholstered headboard in a fashion-forward tobacco tone pairs with a simple gunmetal iron base.</t>
  </si>
  <si>
    <t>https://dd3ka9h4chfr8.cloudfront.net/image/725136000567/image_fnkseoambh4bja1ahl84gd0q1v/-S150x150-FJPG/105969-031_PRM_1.jpg</t>
  </si>
  <si>
    <t>https://dd3ka9h4chfr8.cloudfront.net/image/725136000567/image_80l6jbhjsp1h1fsa9vf5kmo12r/-FJPG/105969-031_FRT_1.jpg</t>
  </si>
  <si>
    <t>https://dd3ka9h4chfr8.cloudfront.net/image/725136000567/image_fnkseoambh4bja1ahl84gd0q1v/-FJPG/105969-031_PRM_1.jpg</t>
  </si>
  <si>
    <t>https://dd3ka9h4chfr8.cloudfront.net/image/725136000567/image_j3mdtadm6l0hhc3uk5vn97m25q/-FJPG/105969-031_SID_1.jpg</t>
  </si>
  <si>
    <t>https://dd3ka9h4chfr8.cloudfront.net/image/725136000567/image_sit6dj0rmp7998v3imjnp5tq0k/-FJPG/105969-031_DET_2.jpg</t>
  </si>
  <si>
    <t>https://dd3ka9h4chfr8.cloudfront.net/image/725136000567/image_vt13m137h17ufft5apnjsvlf7b/-FJPG/105969-031_BCK_1.jpg</t>
  </si>
  <si>
    <t>https://dd3ka9h4chfr8.cloudfront.net/image/725136000567/image_mrngdr0i716f7913d1p0nu5k2r/-FJPG/105969-031_DET_1.jpg</t>
  </si>
  <si>
    <t>https://dd3ka9h4chfr8.cloudfront.net/image/725136000567/image_9bf1ra8b0575b14rallq8tqs14/-FJPG/105969-031_DET_3.jpg</t>
  </si>
  <si>
    <t>https://dd3ka9h4chfr8.cloudfront.net/image/725136000567/image_h9sfa0l9hl6v50tup9mthp9t6n/-FJPG/105969-031_DET_4.jpg</t>
  </si>
  <si>
    <t>https://dd3ka9h4chfr8.cloudfront.net/image/725136000567/image_hu9gjr8k3d0dn0q3ano2nbv43t/-FJPG/105969-031_DET_5.jpg</t>
  </si>
  <si>
    <t>https://dd3ka9h4chfr8.cloudfront.net/image/725136000567/image_jkumu53aip7o920tsju43b0q40/-FJPG/105969-031_DET_6.jpg</t>
  </si>
  <si>
    <t>https://dd3ka9h4chfr8.cloudfront.net/image/725136000567/image_gvp5c3svp92c9cgqimrt8e3b61/-FJPG/105969-031_ROM_1.jpg</t>
  </si>
  <si>
    <t>105969-032</t>
  </si>
  <si>
    <t>Subtle, modern elegance. A low, tufted headboard in a vintage tobacco faux leather pairs with a simple gunmetal iron base.</t>
  </si>
  <si>
    <t>https://dd3ka9h4chfr8.cloudfront.net/image/725136000567/image_409v1mnuph347f7abl5lqlbp0u/-S150x150-FJPG/105969-032_PRM_1.jpg</t>
  </si>
  <si>
    <t>https://dd3ka9h4chfr8.cloudfront.net/image/725136000567/image_fe1sjv9jdd16hd7n8dgmn3796a/-FJPG/105969-032_FRT_1.jpg</t>
  </si>
  <si>
    <t>https://dd3ka9h4chfr8.cloudfront.net/image/725136000567/image_409v1mnuph347f7abl5lqlbp0u/-FJPG/105969-032_PRM_1.jpg</t>
  </si>
  <si>
    <t>https://dd3ka9h4chfr8.cloudfront.net/image/725136000567/image_ot85cipp2d3arfrb29pvjss92k/-FJPG/105969-032_SID_1.jpg</t>
  </si>
  <si>
    <t>https://dd3ka9h4chfr8.cloudfront.net/image/725136000567/image_cf6j9q5bjh16l0p6aeqn3l8k2b/-FJPG/105969-032_DET_2.jpg</t>
  </si>
  <si>
    <t>https://dd3ka9h4chfr8.cloudfront.net/image/725136000567/image_3ge82vs7ht215aun33nn7r6r3q/-FJPG/105969-032_BCK_1.jpg</t>
  </si>
  <si>
    <t>https://dd3ka9h4chfr8.cloudfront.net/image/725136000567/image_3thuc7bqs120p4c4lgj99mqt3m/-FJPG/105969-032_DET_1.jpg</t>
  </si>
  <si>
    <t>https://dd3ka9h4chfr8.cloudfront.net/image/725136000567/image_bkt1q6883d00d1cqm19hhuq771/-FJPG/105969-032_DET_3.jpg</t>
  </si>
  <si>
    <t>https://dd3ka9h4chfr8.cloudfront.net/image/725136000567/image_o9flf6i6ql627cnvsttkn4931f/-FJPG/105969-032_DET_4.jpg</t>
  </si>
  <si>
    <t>https://dd3ka9h4chfr8.cloudfront.net/image/725136000567/image_env0hi4tp17nh3msjn7r4f4s1c/-FJPG/105969-032_DET_5.jpg</t>
  </si>
  <si>
    <t>https://dd3ka9h4chfr8.cloudfront.net/image/725136000567/image_tvppt83mj91dt7aml4o1opvi1c/-FJPG/105969-032_DET_6.jpg</t>
  </si>
  <si>
    <t>https://dd3ka9h4chfr8.cloudfront.net/image/725136000567/image_n96rkcgnm50frd9gu0vi7is91m/-FJPG/105969-032_ROM_1.jpg</t>
  </si>
  <si>
    <t>105995-014</t>
  </si>
  <si>
    <t>Emmett Sling Chair - Umber Natural</t>
  </si>
  <si>
    <t>Umber Natural</t>
  </si>
  <si>
    <t>Super stylish, effortlessly cool. Sling-style seating of light leather sits low and curved for a fresh take on a throwback form. Slim, gunmetal-finished iron framing ups the drama factor of an innately hip design.</t>
  </si>
  <si>
    <t>https://dd3ka9h4chfr8.cloudfront.net/image/725136000567/image_f0es5c9u213dj24qsek4vi7e5h/-S150x150-FJPG/105995-014_PRM_1.jpg</t>
  </si>
  <si>
    <t>https://dd3ka9h4chfr8.cloudfront.net/image/725136000567/image_vtdqnn36816shef50ohil1qm0g/-FJPG/105995-014_FRT_1.jpg</t>
  </si>
  <si>
    <t>https://dd3ka9h4chfr8.cloudfront.net/image/725136000567/image_f0es5c9u213dj24qsek4vi7e5h/-FJPG/105995-014_PRM_1.jpg</t>
  </si>
  <si>
    <t>https://dd3ka9h4chfr8.cloudfront.net/image/725136000567/image_0ph91cdjh16q1aamushtrpui60/-FJPG/105995-014_SID_1.jpg</t>
  </si>
  <si>
    <t>https://dd3ka9h4chfr8.cloudfront.net/image/725136000567/image_f9o9nmp46p5m5723jh5qegjq37/-FJPG/105995-014_ESS_1.tif</t>
  </si>
  <si>
    <t>https://dd3ka9h4chfr8.cloudfront.net/image/725136000567/image_8m8hupi2id58nf6j2l4fqljc2q/-FJPG/105995-014_DET_2.jpg</t>
  </si>
  <si>
    <t>https://dd3ka9h4chfr8.cloudfront.net/image/725136000567/image_r1i2oj74v90fnfbrlaqnr1rs7p/-FJPG/105995-014_DET_1.jpg</t>
  </si>
  <si>
    <t>https://dd3ka9h4chfr8.cloudfront.net/image/725136000567/image_26scfbir994kf59q6cj5st8b6h/-FJPG/105995-014_DET_3.jpg</t>
  </si>
  <si>
    <t>https://dd3ka9h4chfr8.cloudfront.net/image/725136000567/image_90a41pdoll18jd3sj6llquuc0k/-FJPG/105995-014_DET_4.jpg</t>
  </si>
  <si>
    <t>https://dd3ka9h4chfr8.cloudfront.net/image/725136000567/image_19v1ktfob94qb32nhiguafuv1l/-FJPG/105995-014_DET_5.jpg</t>
  </si>
  <si>
    <t>https://dd3ka9h4chfr8.cloudfront.net/image/725136000567/image_cm5a2403f90g73ekbn09b8o15a/-FJPG/105995-014_DET_6.jpg</t>
  </si>
  <si>
    <t>https://dd3ka9h4chfr8.cloudfront.net/image/725136000567/image_oksilan7g93bdcapdh1rhc5309/-FJPG/105995-014_ROM_1.jpg</t>
  </si>
  <si>
    <t>Emmett</t>
  </si>
  <si>
    <t>11.50"</t>
  </si>
  <si>
    <t>0.00"</t>
  </si>
  <si>
    <t>105997-012</t>
  </si>
  <si>
    <t>Dylan Chaise Lounge - Palermo Drift</t>
  </si>
  <si>
    <t>Chaises</t>
  </si>
  <si>
    <t>A low, spacious midcentury-style chaise is upholstered in an beautifully versatile tan top-grain leather, with blind tufting for texture.</t>
  </si>
  <si>
    <t>https://dd3ka9h4chfr8.cloudfront.net/image/725136000567/image_u5fmehlkqt5rp4veto6kbf157q/-S150x150-FJPG/105997-012_PRM_1.jpg</t>
  </si>
  <si>
    <t>https://dd3ka9h4chfr8.cloudfront.net/image/725136000567/image_vehr88ge7939568bt080654h6u/-FJPG/105997-012_FRT_1.jpg</t>
  </si>
  <si>
    <t>https://dd3ka9h4chfr8.cloudfront.net/image/725136000567/image_u5fmehlkqt5rp4veto6kbf157q/-FJPG/105997-012_PRM_1.jpg</t>
  </si>
  <si>
    <t>https://dd3ka9h4chfr8.cloudfront.net/image/725136000567/image_s6ufkgk5g165bc7ri60qhsl655/-FJPG/105997-012_SID_1.jpg</t>
  </si>
  <si>
    <t>https://dd3ka9h4chfr8.cloudfront.net/image/725136000567/image_aoeil628052td5igth5pgah25p/-FJPG/105997-012_ESS.tif</t>
  </si>
  <si>
    <t>https://dd3ka9h4chfr8.cloudfront.net/image/725136000567/image_njhs5o47sh4m58lefuogqo0a4k/-FJPG/105997-012_DET_2.jpg</t>
  </si>
  <si>
    <t>https://dd3ka9h4chfr8.cloudfront.net/image/725136000567/image_svr55ocl913bfdinebm4n1305n/-FJPG/105997-012_BCK_1.jpg</t>
  </si>
  <si>
    <t>https://dd3ka9h4chfr8.cloudfront.net/image/725136000567/image_5iq104800p4p59fu6q2qq3353d/-FJPG/105997-012_DET_1.jpg</t>
  </si>
  <si>
    <t>https://dd3ka9h4chfr8.cloudfront.net/image/725136000567/image_sgcsqhf2hh2sb2las2op2isn70/-FJPG/105997-012_DET_3.jpg</t>
  </si>
  <si>
    <t>https://dd3ka9h4chfr8.cloudfront.net/image/725136000567/image_tb84a2q2r150j1fitdgdr6jl32/-FJPG/105997-012_DET_4.jpg</t>
  </si>
  <si>
    <t>https://dd3ka9h4chfr8.cloudfront.net/image/725136000567/image_6qvja05t6130f25tqa8jsorq72/-FJPG/105997-012_DET_5.jpg</t>
  </si>
  <si>
    <t>https://dd3ka9h4chfr8.cloudfront.net/image/725136000567/image_onds7mpn852s1143hf3pooco41/-FJPG/105997-012_DET_6.jpg</t>
  </si>
  <si>
    <t>https://dd3ka9h4chfr8.cloudfront.net/image/725136000567/image_i6km11lmbp7d7cqhakb3t1fn1s/-FJPG/105997-012_DET_9.tif</t>
  </si>
  <si>
    <t>Complete Item/L-Shape Box</t>
  </si>
  <si>
    <t>50.00"</t>
  </si>
  <si>
    <t>16.75"</t>
  </si>
  <si>
    <t>Dylan</t>
  </si>
  <si>
    <t>8.25"</t>
  </si>
  <si>
    <t>58.00"</t>
  </si>
  <si>
    <t>106008-009</t>
  </si>
  <si>
    <t>Topanga Swivel Chair - Knoll Domino</t>
  </si>
  <si>
    <t>Farrow</t>
  </si>
  <si>
    <t>Knoll Domino</t>
  </si>
  <si>
    <t>5% Acrylic</t>
  </si>
  <si>
    <t>Cream boucle, angled arms and a single pillow create a laid-back look, while a hidden swivel offers ease in your office of living room. Performance fabrics are specially created to withstand spills, stains, high traffic and wear, ensuring long-term comfort and unmatched durability.</t>
  </si>
  <si>
    <t>https://dd3ka9h4chfr8.cloudfront.net/image/725136000567/image_cukm9asn1173h3oca71817rl71/-S150x150-FJPG/106008-009_PRM_1.jpg</t>
  </si>
  <si>
    <t>https://dd3ka9h4chfr8.cloudfront.net/image/725136000567/image_37h2omg4i923he8te1hr2o7713/-FJPG/106008-009_FRT_1.jpg</t>
  </si>
  <si>
    <t>https://dd3ka9h4chfr8.cloudfront.net/image/725136000567/image_cukm9asn1173h3oca71817rl71/-FJPG/106008-009_PRM_1.jpg</t>
  </si>
  <si>
    <t>https://dd3ka9h4chfr8.cloudfront.net/image/725136000567/image_glvl4fp1pl7trdi4avoidsii75/-FJPG/106008-009_SID_1.jpg</t>
  </si>
  <si>
    <t>https://dd3ka9h4chfr8.cloudfront.net/image/725136000567/image_s4norn6brt4jd008tbrtsmso34/-FJPG/106008-009_ESS_1.jpg</t>
  </si>
  <si>
    <t>https://dd3ka9h4chfr8.cloudfront.net/image/725136000567/image_fcagddmdul6cjcnbq7nhcspg2l/-FJPG/106008-009_DET_2.jpg</t>
  </si>
  <si>
    <t>https://dd3ka9h4chfr8.cloudfront.net/image/725136000567/image_d516uav2k52al81e9tk5udtm3t/-FJPG/106008-009_BCK_1.jpg</t>
  </si>
  <si>
    <t>https://dd3ka9h4chfr8.cloudfront.net/image/725136000567/image_cio903qh3h7vbbiluplp0og62e/-FJPG/106008-009_INF_1.jpg</t>
  </si>
  <si>
    <t>https://dd3ka9h4chfr8.cloudfront.net/image/725136000567/image_krargvgsjt4n7cm9sii4tuph1b/-FJPG/106008-009_DET_1.jpg</t>
  </si>
  <si>
    <t>https://dd3ka9h4chfr8.cloudfront.net/image/725136000567/image_ocq1dgo99l2o555v1pdl31n72v/-FJPG/106008-009_DET_3.jpg</t>
  </si>
  <si>
    <t>https://dd3ka9h4chfr8.cloudfront.net/image/725136000567/image_f9dl0g1r3h66t7bpbsbsmfuo0c/-FJPG/106008-009_DET_4.jpg</t>
  </si>
  <si>
    <t>https://dd3ka9h4chfr8.cloudfront.net/image/725136000567/image_c3gqd5toal6dpfdne3rustni0k/-FJPG/106008-009_DET_5.jpg</t>
  </si>
  <si>
    <t>https://dd3ka9h4chfr8.cloudfront.net/image/725136000567/image_ssrhralr3d0d590h30vku2p153/-FJPG/106008-009_DET_6.jpg</t>
  </si>
  <si>
    <t>https://dd3ka9h4chfr8.cloudfront.net/image/725136000567/image_2p3b1f6g852adeo0vu3q7m8g1g/-FJPG/106008-009_DET_7.jpg</t>
  </si>
  <si>
    <t>https://dd3ka9h4chfr8.cloudfront.net/image/725136000567/image_c8r28rpdh927rb19ku8n6vg35o/-FJPG/106008-009_PRM_2.jpg</t>
  </si>
  <si>
    <t>18.90"</t>
  </si>
  <si>
    <t>50% Polyurethane Foam Pad, 40% Polyester Fiber Batting, 10% Waterfowl Feather</t>
  </si>
  <si>
    <t>Topanga</t>
  </si>
  <si>
    <t>22.83"</t>
  </si>
  <si>
    <t>75% Polyurethane Foam Pad, 25% Polyester Fiber Batting</t>
  </si>
  <si>
    <t>20.55"</t>
  </si>
  <si>
    <t>106008-013</t>
  </si>
  <si>
    <t>Topanga Swivel Chair - Knoll Natural</t>
  </si>
  <si>
    <t>Knoll Natural</t>
  </si>
  <si>
    <t>Understated luxury, soft to the touch. Soft natural hue, curved arms, plush seating and single pillow create a laid-back look, while a hidden swivel turns a traditional form into something novel. Performance fabrics are specially created to withstand spills, stains, high traffic and wear, ensuring long-term comfort and unmatched durability.</t>
  </si>
  <si>
    <t>https://dd3ka9h4chfr8.cloudfront.net/image/725136000567/image_sr21hhuogp7a10k3n6uk59pf53/-S150x150-FJPG/106008-013_PRM_1.jpg</t>
  </si>
  <si>
    <t>https://dd3ka9h4chfr8.cloudfront.net/image/725136000567/image_1ch3ud5vn94017652jvnrvr719/-FJPG/106008-013_FRT_1.jpg</t>
  </si>
  <si>
    <t>https://dd3ka9h4chfr8.cloudfront.net/image/725136000567/image_sr21hhuogp7a10k3n6uk59pf53/-FJPG/106008-013_PRM_1.jpg</t>
  </si>
  <si>
    <t>https://dd3ka9h4chfr8.cloudfront.net/image/725136000567/image_d73i2tf00p0j3e4bcfcgbu0v63/-FJPG/106008-013_SID_1.jpg</t>
  </si>
  <si>
    <t>https://dd3ka9h4chfr8.cloudfront.net/image/725136000567/image_qg5hhbh9v550754j2skt704j3l/-FJPG/106008-013_ESS_1.jpg</t>
  </si>
  <si>
    <t>https://dd3ka9h4chfr8.cloudfront.net/image/725136000567/image_out49tihmh3030qqq9m9jbck22/-FJPG/106008-013_DET_2.jpg</t>
  </si>
  <si>
    <t>https://dd3ka9h4chfr8.cloudfront.net/image/725136000567/image_haden7ju5d6vne127qqet8387m/-FJPG/106008-013_BCK_1.jpg</t>
  </si>
  <si>
    <t>https://dd3ka9h4chfr8.cloudfront.net/image/725136000567/image_urup6ttjh967p63fuuk13e543m/-FJPG/106008-013_INF_1.jpg</t>
  </si>
  <si>
    <t>https://dd3ka9h4chfr8.cloudfront.net/image/725136000567/image_jphnf8qcfh5d1fsur9slvja445/-FJPG/106008-013_DET_1.jpg</t>
  </si>
  <si>
    <t>https://dd3ka9h4chfr8.cloudfront.net/image/725136000567/image_ke1b45i12h6vvah8o58p9co60a/-FJPG/106008-013_DET_3.jpg</t>
  </si>
  <si>
    <t>https://dd3ka9h4chfr8.cloudfront.net/image/725136000567/image_rcj738s6ap5o3frp091o1cjc4u/-FJPG/106008-013_DET_4.jpg</t>
  </si>
  <si>
    <t>https://dd3ka9h4chfr8.cloudfront.net/image/725136000567/image_3vqvpnhqn56fr0q96k1gjlpr0m/-FJPG/106008-013_DET_5.jpg</t>
  </si>
  <si>
    <t>106008-018</t>
  </si>
  <si>
    <t>Topanga Swivel Chair - Heirloom Sienna</t>
  </si>
  <si>
    <t>Heirloom Sienna</t>
  </si>
  <si>
    <t>Angled arms and a single pillow create a laid-back look, with a 360-degree swivel for ease in your office or living room. Sourced from one of the oldest family-owned tanneries in Italyâ€™s Bassano del Grappa, our top-grain heirloom leather covering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</si>
  <si>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https://dd3ka9h4chfr8.cloudfront.net/image/725136000567/image_i8lv3c3sa56s35ms04e8nb2e4q/-S150x150-FJPG/106008-018_PRM_1.jpg</t>
  </si>
  <si>
    <t>https://dd3ka9h4chfr8.cloudfront.net/image/725136000567/image_mjbbhi6j714k9e3tvgmbe8nq4v/-FJPG/106008-018_FRT_1.jpg</t>
  </si>
  <si>
    <t>https://dd3ka9h4chfr8.cloudfront.net/image/725136000567/image_i8lv3c3sa56s35ms04e8nb2e4q/-FJPG/106008-018_PRM_1.jpg</t>
  </si>
  <si>
    <t>https://dd3ka9h4chfr8.cloudfront.net/image/725136000567/image_v9m39me5s961vf6h1afdll657v/-FJPG/106008-018_SID_1.jpg</t>
  </si>
  <si>
    <t>https://dd3ka9h4chfr8.cloudfront.net/image/725136000567/image_qqjvmp44754p9fkt8l9bg4tn4r/-FJPG/106008-018_ESS_1.jpg</t>
  </si>
  <si>
    <t>https://dd3ka9h4chfr8.cloudfront.net/image/725136000567/image_4ub9kom9pd07v8oecb03u6cb4d/-FJPG/106008-018_DET_2.jpg</t>
  </si>
  <si>
    <t>https://dd3ka9h4chfr8.cloudfront.net/image/725136000567/image_lrue8seauh11dbh9tns0jovf2n/-FJPG/106008-018_BCK_1.jpg</t>
  </si>
  <si>
    <t>https://dd3ka9h4chfr8.cloudfront.net/image/725136000567/image_s617rj0n956fv85h4d9bj6pu13/-FJPG/Color Variance Card_Heirloom Sienna.png</t>
  </si>
  <si>
    <t>https://dd3ka9h4chfr8.cloudfront.net/image/725136000567/image_5k0gf7v24d5731ame5ofs8m36c/-FJPG/106008-018_DET_1.jpg</t>
  </si>
  <si>
    <t>https://dd3ka9h4chfr8.cloudfront.net/image/725136000567/image_vui74re3g54bvbd13ta8vj0h1q/-FJPG/106008-018_DET_3.jpg</t>
  </si>
  <si>
    <t>https://dd3ka9h4chfr8.cloudfront.net/image/725136000567/image_87ga0on5i97hl9dev5b0bo395e/-FJPG/106008-018_DET_4.jpg</t>
  </si>
  <si>
    <t>https://dd3ka9h4chfr8.cloudfront.net/image/725136000567/image_is7998iftd41n0dmdvce1c0t4e/-FJPG/106008-018_DET_5.jpg</t>
  </si>
  <si>
    <t>https://dd3ka9h4chfr8.cloudfront.net/image/725136000567/image_g6glvk5cg90epcn4tueoh7ld1t/-FJPG/106008-018_DET_6.jpg</t>
  </si>
  <si>
    <t>106008-020</t>
  </si>
  <si>
    <t>Topanga Swivel Chair - Heirloom Black</t>
  </si>
  <si>
    <t>Angled arms and a single pillow create a laid-back look, with a 360-degree swivel for ease in your office or living room.Sourced from one of the oldest family-owned tanneries in Italyâ€™s Bassano del Grappa, our top-grain heirloom leather covering is salvaged and processed from upcycled hides featuring an abundance of natural markings, scars and color variations. The result? Supple, buttery soft hides with an unmatched depth of color and richness, and an authentic lived-in look.</t>
  </si>
  <si>
    <t>https://dd3ka9h4chfr8.cloudfront.net/image/725136000567/image_rp4vkep73p62h5g9a10tffak51/-S150x150-FJPG/106008-020_PRM_1.JPG</t>
  </si>
  <si>
    <t>https://dd3ka9h4chfr8.cloudfront.net/image/725136000567/image_hpmstj16gh1djebcrd9p2rut1q/-FJPG/106008-020_FRT_1.JPG</t>
  </si>
  <si>
    <t>https://dd3ka9h4chfr8.cloudfront.net/image/725136000567/image_rp4vkep73p62h5g9a10tffak51/-FJPG/106008-020_PRM_1.JPG</t>
  </si>
  <si>
    <t>https://dd3ka9h4chfr8.cloudfront.net/image/725136000567/image_pui8032ki90h19l0i31oio0q3o/-FJPG/106008-020_SID_1.JPG</t>
  </si>
  <si>
    <t>https://dd3ka9h4chfr8.cloudfront.net/image/725136000567/image_9bpg2q244908nctfqjinji9c5i/-FJPG/106008-020_ESS_1.jpg</t>
  </si>
  <si>
    <t>https://dd3ka9h4chfr8.cloudfront.net/image/725136000567/image_3j0mtkg6ht2ht8bqm5s6qpse79/-FJPG/106008-020_DET_2.JPG</t>
  </si>
  <si>
    <t>https://dd3ka9h4chfr8.cloudfront.net/image/725136000567/image_20mhm8qsjd7jdcu19qga7di81s/-FJPG/106008-020_DET_1.JPG</t>
  </si>
  <si>
    <t>https://dd3ka9h4chfr8.cloudfront.net/image/725136000567/image_f74r4ds6ep48h3bgh090dsb45d/-FJPG/106008-020_DET_3.JPG</t>
  </si>
  <si>
    <t>https://dd3ka9h4chfr8.cloudfront.net/image/725136000567/image_im81tdt1kh3pj399ae7t9seq43/-FJPG/106008-020_DET_4.JPG</t>
  </si>
  <si>
    <t>https://dd3ka9h4chfr8.cloudfront.net/image/725136000567/image_b24fm5kjk93g948gf225jbhk6c/-FJPG/106008-020_DET_5.JPG</t>
  </si>
  <si>
    <t>https://dd3ka9h4chfr8.cloudfront.net/image/725136000567/image_hbh2rvma4d5efchciq5fgu2l27/-FJPG/106008-020_PRM_2.JPG</t>
  </si>
  <si>
    <t>106051-010</t>
  </si>
  <si>
    <t>Chance Recliner - Palermo Nude</t>
  </si>
  <si>
    <t>Palermo Nude</t>
  </si>
  <si>
    <t>A dramatically shaped midcentury silhouette, modernized with channel tufting. Upholstered in a nude hue top-grain leather with natural whitewashed ash framing for a clean, monochromatic look. A push recliner takes this forward-thinking lounger to the next level.</t>
  </si>
  <si>
    <t>https://dd3ka9h4chfr8.cloudfront.net/image/725136000567/image_dtdac61nn91bv696d3fcsggj79/-S150x150-FJPG/106051-010_PRM_1.jpg</t>
  </si>
  <si>
    <t>https://dd3ka9h4chfr8.cloudfront.net/image/725136000567/image_ks2u8uhcil72jfc8apf17ct01r/-FJPG/106051-010_FRT_1.jpg</t>
  </si>
  <si>
    <t>https://dd3ka9h4chfr8.cloudfront.net/image/725136000567/image_dtdac61nn91bv696d3fcsggj79/-FJPG/106051-010_PRM_1.jpg</t>
  </si>
  <si>
    <t>https://dd3ka9h4chfr8.cloudfront.net/image/725136000567/image_8lkugtl0il62d5166gjccntl1m/-FJPG/106051-010_SID_1.jpg</t>
  </si>
  <si>
    <t>https://dd3ka9h4chfr8.cloudfront.net/image/725136000567/image_c319339a057pn0t1djbr43tu2l/-FJPG/106051-010_ESS_1.jpg</t>
  </si>
  <si>
    <t>https://dd3ka9h4chfr8.cloudfront.net/image/725136000567/image_pfrmqq3fm93cj2mdr9nmemag2d/-FJPG/106051-010_DET_2.jpg</t>
  </si>
  <si>
    <t>https://dd3ka9h4chfr8.cloudfront.net/image/725136000567/image_smdci666m96qlab2c1ums59e5n/-FJPG/106051-010_BCK_1.jpg</t>
  </si>
  <si>
    <t>https://dd3ka9h4chfr8.cloudfront.net/image/725136000567/image_h8h39hi63d7af3qftk095o794k/-FJPG/106051-010_DET_1.jpg</t>
  </si>
  <si>
    <t>https://dd3ka9h4chfr8.cloudfront.net/image/725136000567/image_ciacj0rpbd2m7178mmur1k4v76/-FJPG/106051-010_DET_3.jpg</t>
  </si>
  <si>
    <t>https://dd3ka9h4chfr8.cloudfront.net/image/725136000567/image_ckrtadjdnh7r3edo2rh7k1lt0l/-FJPG/106051-010_OPN_1.jpg</t>
  </si>
  <si>
    <t>https://dd3ka9h4chfr8.cloudfront.net/image/725136000567/image_47bk2blu816ov75enb1uqc267r/-FJPG/106051-010_DET_4.jpg</t>
  </si>
  <si>
    <t>https://dd3ka9h4chfr8.cloudfront.net/image/725136000567/image_i5f1hqm9s52pdfljusr3l1p536/-FJPG/106051-010_DET_5.jpg</t>
  </si>
  <si>
    <t>https://dd3ka9h4chfr8.cloudfront.net/image/725136000567/image_id85dj3gcp5sbdmoa6trmoos0f/-FJPG/106051-010_DET_6.jpg</t>
  </si>
  <si>
    <t>https://dd3ka9h4chfr8.cloudfront.net/image/725136000567/image_9v48gkcjtt60hfi761q8ba6o26/-FJPG/106051-010_DET_7.jpg</t>
  </si>
  <si>
    <t>https://dd3ka9h4chfr8.cloudfront.net/image/725136000567/image_m10kpia0eh6958rdvmjqj2gn1n/-FJPG/106051-010_DET_8.jpg</t>
  </si>
  <si>
    <t>Recliner</t>
  </si>
  <si>
    <t>Chance</t>
  </si>
  <si>
    <t>4.75"</t>
  </si>
  <si>
    <t>87% Polyurethane Foam Pad, 13% Polyester Fiber Batting</t>
  </si>
  <si>
    <t>57.50"</t>
  </si>
  <si>
    <t>106065-014</t>
  </si>
  <si>
    <t>Kiera Swivel Chair - Palermo Cognac</t>
  </si>
  <si>
    <t>Weathered Sepia</t>
  </si>
  <si>
    <t>Top-grain leather covers clean-angled arms for a tailored look, with blind tufting for texture. A 360-degree swivel base modernizes the whole look.</t>
  </si>
  <si>
    <t>https://dd3ka9h4chfr8.cloudfront.net/image/725136000567/image_d6skvs84ed2g99eivlupt0go05/-S150x150-FJPG/106065-014_PRM_1.jpg</t>
  </si>
  <si>
    <t>https://dd3ka9h4chfr8.cloudfront.net/image/725136000567/image_dnf226auvh3bja58kh8d2p1p0p/-FJPG/106065-014_FRT_1.jpg</t>
  </si>
  <si>
    <t>https://dd3ka9h4chfr8.cloudfront.net/image/725136000567/image_d6skvs84ed2g99eivlupt0go05/-FJPG/106065-014_PRM_1.jpg</t>
  </si>
  <si>
    <t>https://dd3ka9h4chfr8.cloudfront.net/image/725136000567/image_7qk3h7tuhh137cq918gipq816g/-FJPG/106065-014_SID_1.jpg</t>
  </si>
  <si>
    <t>https://dd3ka9h4chfr8.cloudfront.net/image/725136000567/image_1p7e0udov10uj2adp11e1mp84g/-FJPG/106065-014_ESS_1.jpg</t>
  </si>
  <si>
    <t>https://dd3ka9h4chfr8.cloudfront.net/image/725136000567/image_s82ssgfuh50eh0va7njgcka50q/-FJPG/106065-014_DET_2.jpg</t>
  </si>
  <si>
    <t>https://dd3ka9h4chfr8.cloudfront.net/image/725136000567/image_pinlp6079t315ccdkgoknjpi4m/-FJPG/106065-014_BCK_1.jpg</t>
  </si>
  <si>
    <t>https://dd3ka9h4chfr8.cloudfront.net/image/725136000567/image_9u1im3l5b547fcg0goif4fqm3i/-FJPG/106065-014_DET_1.jpg</t>
  </si>
  <si>
    <t>https://dd3ka9h4chfr8.cloudfront.net/image/725136000567/image_er60qe6g6p3c3bahvsbaonie7g/-FJPG/106065-014_DET_3.jpg</t>
  </si>
  <si>
    <t>https://dd3ka9h4chfr8.cloudfront.net/image/725136000567/image_f2nv8pq4ll46p11scqusc1kt0i/-FJPG/106065-014_DET_4.jpg</t>
  </si>
  <si>
    <t>https://dd3ka9h4chfr8.cloudfront.net/image/725136000567/image_j81hsq0oqt52p4tkhrcddd0e4s/-FJPG/106065-014_DET_5.jpg</t>
  </si>
  <si>
    <t>https://dd3ka9h4chfr8.cloudfront.net/image/725136000567/image_578oo15d7p0vlbomuiuck7nn2f/-FJPG/106065-014_DET_6.jpg</t>
  </si>
  <si>
    <t>19.49"</t>
  </si>
  <si>
    <t>Buttoned</t>
  </si>
  <si>
    <t>Kiera</t>
  </si>
  <si>
    <t>25.39"</t>
  </si>
  <si>
    <t>8.27"</t>
  </si>
  <si>
    <t>1.02"</t>
  </si>
  <si>
    <t>100% Polyester Fiber Pad</t>
  </si>
  <si>
    <t>106074-008</t>
  </si>
  <si>
    <t>Sinclair Round Ottoman - Harness Burlap</t>
  </si>
  <si>
    <t>Ottomans &amp; Stools</t>
  </si>
  <si>
    <t>Harness Burlap</t>
  </si>
  <si>
    <t>Upholstered in light top-grain leather and paired with a solid ash base, this rounded ottoman can be placed just about anywhere â€” bringing with it a retro vibe. Natural markings are reflective of leather sourcing, playing up materials' inherent intrigue. Light, versatile color can move between spaces and style with ease.</t>
  </si>
  <si>
    <t>https://dd3ka9h4chfr8.cloudfront.net/image/725136000567/image_qp1nqmuv452b9auhh9qa83ja59/-S150x150-FJPG/106074-008_PRM_1.jpg</t>
  </si>
  <si>
    <t>https://dd3ka9h4chfr8.cloudfront.net/image/725136000567/image_8cst3r28il00f7m6l42r06er26/-FJPG/106074-008_FRT_1.jpg</t>
  </si>
  <si>
    <t>https://dd3ka9h4chfr8.cloudfront.net/image/725136000567/image_qp1nqmuv452b9auhh9qa83ja59/-FJPG/106074-008_PRM_1.jpg</t>
  </si>
  <si>
    <t>https://dd3ka9h4chfr8.cloudfront.net/image/725136000567/image_r9cdgktpl91l16jc3oultt762a/-FJPG/106074-008_ESS.tif</t>
  </si>
  <si>
    <t>https://dd3ka9h4chfr8.cloudfront.net/image/725136000567/image_ms33s4essh0bhc52br9r26kq5d/-FJPG/106074-008_DET_2.jpg</t>
  </si>
  <si>
    <t>https://dd3ka9h4chfr8.cloudfront.net/image/725136000567/image_11p2m3o64p0v9d3jgutfigu558/-FJPG/106074-008_DET_1.jpg</t>
  </si>
  <si>
    <t>https://dd3ka9h4chfr8.cloudfront.net/image/725136000567/image_6ja10uai7l6230tdck8pjf651o/-FJPG/106074-008_DET_3.jpg</t>
  </si>
  <si>
    <t>Finger Joint</t>
  </si>
  <si>
    <t>Sinclair</t>
  </si>
  <si>
    <t>1.63"</t>
  </si>
  <si>
    <t>106074-010</t>
  </si>
  <si>
    <t>Sinclair Round Ottoman - Knoll Domino</t>
  </si>
  <si>
    <t>Brushed Ebony</t>
  </si>
  <si>
    <t>Atop a black parawood base, a round ottoman of textural grey boucle can be placed just about anywhere, bringing with it a hip retro vibe.</t>
  </si>
  <si>
    <t>https://dd3ka9h4chfr8.cloudfront.net/image/725136000567/image_luhj10s0212i56orjvhpb25t1r/-S150x150-FJPG/106074-010_PRM_1.jpg</t>
  </si>
  <si>
    <t>https://dd3ka9h4chfr8.cloudfront.net/image/725136000567/image_ua1u8sh39l34va3afv0oljk50s/-FJPG/106074-010_FRT_1.jpg</t>
  </si>
  <si>
    <t>https://dd3ka9h4chfr8.cloudfront.net/image/725136000567/image_luhj10s0212i56orjvhpb25t1r/-FJPG/106074-010_PRM_1.jpg</t>
  </si>
  <si>
    <t>https://dd3ka9h4chfr8.cloudfront.net/image/725136000567/image_33fvdi1lhh0vp3f2o9kv7oak53/-FJPG/106074-010_ESS_1.jpg</t>
  </si>
  <si>
    <t>https://dd3ka9h4chfr8.cloudfront.net/image/725136000567/image_nq26iuk4el6rbf6nfahgpn2k3g/-FJPG/106074-010_DET_2.jpg</t>
  </si>
  <si>
    <t>https://dd3ka9h4chfr8.cloudfront.net/image/725136000567/image_4vvvdur4dd14j61cp8dhc36n74/-FJPG/106074-010_INF_1.jpg</t>
  </si>
  <si>
    <t>https://dd3ka9h4chfr8.cloudfront.net/image/725136000567/image_4u2as6fl497jp64s654flpfe47/-FJPG/106074-010_DET_1.jpg</t>
  </si>
  <si>
    <t>https://dd3ka9h4chfr8.cloudfront.net/image/725136000567/image_fm6p356ev57tb9656v32apaq7j/-FJPG/106074-010_DET_3.jpg</t>
  </si>
  <si>
    <t>https://dd3ka9h4chfr8.cloudfront.net/image/725136000567/image_amgmadoun91l7bglipkp2e8529/-FJPG/106074-010_TOP_1.jpg</t>
  </si>
  <si>
    <t>https://dd3ka9h4chfr8.cloudfront.net/image/725136000567/image_8s30195kd117v7nhdbqb5det2p/-FJPG/106074-010_DET_4.jpg</t>
  </si>
  <si>
    <t>https://dd3ka9h4chfr8.cloudfront.net/image/725136000567/image_4rpda8j1ep57p237gsic21rk03/-FJPG/106074-010_DET_5.jpg</t>
  </si>
  <si>
    <t>106074-011</t>
  </si>
  <si>
    <t>Sinclair Round Ottoman - Knoll Natural</t>
  </si>
  <si>
    <t>This round ottoman of textural cream boucle can be placed just about anywhere, bringing with it a hip retro vibe.</t>
  </si>
  <si>
    <t>https://dd3ka9h4chfr8.cloudfront.net/image/725136000567/image_kdsuoid3n90gv55ukvab26ng4v/-S150x150-FJPG/106074-011_PRM_1.jpg</t>
  </si>
  <si>
    <t>https://dd3ka9h4chfr8.cloudfront.net/image/725136000567/image_kdsuoid3n90gv55ukvab26ng4v/-FJPG/106074-011_PRM_1.jpg</t>
  </si>
  <si>
    <t>https://dd3ka9h4chfr8.cloudfront.net/image/725136000567/image_3rnmrprbk57vh8jl9n4aer6c3h/-FJPG/106074-011_SID_1.jpg</t>
  </si>
  <si>
    <t>https://dd3ka9h4chfr8.cloudfront.net/image/725136000567/image_rq84ah0l2p7rtdt3hklcer5g7v/-FJPG/106074-011_ESS_1.tif</t>
  </si>
  <si>
    <t>https://dd3ka9h4chfr8.cloudfront.net/image/725136000567/image_s9sebkbevp3e10913614889t4i/-FJPG/106074-011_DET_2.jpg</t>
  </si>
  <si>
    <t>https://dd3ka9h4chfr8.cloudfront.net/image/725136000567/image_1jbjl783fp4qldbekin7n23t6j/-FJPG/106074-011_INF_1.jpg</t>
  </si>
  <si>
    <t>https://dd3ka9h4chfr8.cloudfront.net/image/725136000567/image_fld7bidbgh6nvanr45rfh3ds4l/-FJPG/106074-011_DET_1.jpg</t>
  </si>
  <si>
    <t>https://dd3ka9h4chfr8.cloudfront.net/image/725136000567/image_b6crj8ndn97b94nfdt4koahu0j/-FJPG/106074-011_DET_3.jpg</t>
  </si>
  <si>
    <t>https://dd3ka9h4chfr8.cloudfront.net/image/725136000567/image_gdrsi5qs9t2l5ct2gfbupft421/-FJPG/106074-011_DET_4.jpg</t>
  </si>
  <si>
    <t>https://dd3ka9h4chfr8.cloudfront.net/image/725136000567/image_1j0idbqcn9789f3ougv8snn37f/-FJPG/106074-011_DET_5.jpg</t>
  </si>
  <si>
    <t>https://dd3ka9h4chfr8.cloudfront.net/image/725136000567/image_kh9ecpolet2ava4pv9t42gg07j/-FJPG/106074-011_VIG_1.jpg</t>
  </si>
  <si>
    <t>https://dd3ka9h4chfr8.cloudfront.net/image/725136000567/image_78nuap10j95dn8as9o9sp4cu7i/-FJPG/106074-011_VIG_2.jpg</t>
  </si>
  <si>
    <t>https://dd3ka9h4chfr8.cloudfront.net/image/725136000567/image_4igstrr9lt3g70idc5o3rajt1n/-FJPG/106074-011_VIG_3.jpg</t>
  </si>
  <si>
    <t>106074-014</t>
  </si>
  <si>
    <t>Sinclair Round Ottoman - Palermo Butterscotch</t>
  </si>
  <si>
    <t>Palermo Butterscotch</t>
  </si>
  <si>
    <t>A cleverly scaled ottoman of butterscotch-colored top-grain leather can be placed just about anywhere â€” bringing with it a hip retro vibe.</t>
  </si>
  <si>
    <t>https://dd3ka9h4chfr8.cloudfront.net/image/725136000567/image_63hdi1e0ip6pj3dp5o382c0k0s/-S150x150-FJPG/106074-014_PRM_1.jpg</t>
  </si>
  <si>
    <t>https://dd3ka9h4chfr8.cloudfront.net/image/725136000567/image_moaaqocvop69r997oji9k1tv1m/-FJPG/106074-014_FRT_1.jpg</t>
  </si>
  <si>
    <t>https://dd3ka9h4chfr8.cloudfront.net/image/725136000567/image_63hdi1e0ip6pj3dp5o382c0k0s/-FJPG/106074-014_PRM_1.jpg</t>
  </si>
  <si>
    <t>https://dd3ka9h4chfr8.cloudfront.net/image/725136000567/image_0aq89gtn851cd6pi2s7t8jfs56/-FJPG/106074-014_SID_1.jpg</t>
  </si>
  <si>
    <t>https://dd3ka9h4chfr8.cloudfront.net/image/725136000567/image_ob3o1u26g54k9dg3pt0qr6pm2h/-FJPG/106074-014_ESS.tif</t>
  </si>
  <si>
    <t>https://dd3ka9h4chfr8.cloudfront.net/image/725136000567/image_7mmqhgea1p565aslpge99nff3a/-FJPG/106074-014_DET_2.jpg</t>
  </si>
  <si>
    <t>https://dd3ka9h4chfr8.cloudfront.net/image/725136000567/image_6tlbe5umf93ot4ncpj9dl7t556/-FJPG/106074-014_DET_1.jpg</t>
  </si>
  <si>
    <t>https://dd3ka9h4chfr8.cloudfront.net/image/725136000567/image_bcqt45slhd581220cctr6f0a0p/-FJPG/106074-014_DET_3.jpg</t>
  </si>
  <si>
    <t>https://dd3ka9h4chfr8.cloudfront.net/image/725136000567/image_jqqp3ogoot3g5etd4ubjga4e7b/-FJPG/106074-014_DET_4.jpg</t>
  </si>
  <si>
    <t>106074-020</t>
  </si>
  <si>
    <t>Sinclair Round Ottoman - Manchester Flint</t>
  </si>
  <si>
    <t>Manchester Flint</t>
  </si>
  <si>
    <t>100% Flax/Linen</t>
  </si>
  <si>
    <t>This round ottoman covered in a classic cream-and-grey striped flax/linen blend can be placed just about anywhere, bringing with it a traditional vibe.</t>
  </si>
  <si>
    <t>https://dd3ka9h4chfr8.cloudfront.net/image/725136000567/image_0a1m5b00q51qfeo7bauph9hr4o/-S150x150-FJPG/106074-020_PRM_1.jpg</t>
  </si>
  <si>
    <t>https://dd3ka9h4chfr8.cloudfront.net/image/725136000567/image_2q1p8gn6g177r12f1hmna0jc2p/-FJPG/106074-020_FRT_1.jpg</t>
  </si>
  <si>
    <t>https://dd3ka9h4chfr8.cloudfront.net/image/725136000567/image_0a1m5b00q51qfeo7bauph9hr4o/-FJPG/106074-020_PRM_1.jpg</t>
  </si>
  <si>
    <t>https://dd3ka9h4chfr8.cloudfront.net/image/725136000567/image_hkcjhiam4l5bt4jtpb4lkf4d2a/-FJPG/106074-020_SID_1.jpg</t>
  </si>
  <si>
    <t>https://dd3ka9h4chfr8.cloudfront.net/image/725136000567/image_lhn07tc8it0qd1gnrou52q0v56/-FJPG/106074-020_DET_2.jpg</t>
  </si>
  <si>
    <t>https://dd3ka9h4chfr8.cloudfront.net/image/725136000567/image_0rl1b6qash7956hg4ej4aqof0n/-FJPG/106074-020_DET_1.jpg</t>
  </si>
  <si>
    <t>https://dd3ka9h4chfr8.cloudfront.net/image/725136000567/image_2sfcb41sip69714hv1ds8cra2j/-FJPG/106074-020_DET_3.jpg</t>
  </si>
  <si>
    <t>https://dd3ka9h4chfr8.cloudfront.net/image/725136000567/image_3ujvn7c429385amnaqoto6il0r/-FJPG/106074-020_DET_4.jpg</t>
  </si>
  <si>
    <t>https://dd3ka9h4chfr8.cloudfront.net/image/725136000567/image_3mh0v65i2h1e5493aerk1o3n63/-FJPG/106074-020_DET_5.jpg</t>
  </si>
  <si>
    <t>https://dd3ka9h4chfr8.cloudfront.net/image/725136000567/image_3jpk4cbr4d6br3uggmgo6cg05p/-FJPG/106074-020_DET_6.jpg</t>
  </si>
  <si>
    <t>106074-021</t>
  </si>
  <si>
    <t>Sinclair Round Ottoman - Balkan Ochre</t>
  </si>
  <si>
    <t>Balkan Ochre</t>
  </si>
  <si>
    <t>60% Viscose (Rayon)</t>
  </si>
  <si>
    <t>40% Polyester</t>
  </si>
  <si>
    <t>Place this round ottoman just about anywhere. Upholstered in an abstract, Tibetan-inspired landscape motif, woven from soft chenille yarns with subtle texture for added depth, dimension and drama.</t>
  </si>
  <si>
    <t>https://dd3ka9h4chfr8.cloudfront.net/image/725136000567/image_45s3hublnh41h1hmd380krb070/-S150x150-FJPG/106074-021_PRM_1.jpg</t>
  </si>
  <si>
    <t>https://dd3ka9h4chfr8.cloudfront.net/image/725136000567/image_p90c8635b55mte51lijaemqf6h/-FJPG/106074-021_FRT_1.jpg</t>
  </si>
  <si>
    <t>https://dd3ka9h4chfr8.cloudfront.net/image/725136000567/image_45s3hublnh41h1hmd380krb070/-FJPG/106074-021_PRM_1.jpg</t>
  </si>
  <si>
    <t>https://dd3ka9h4chfr8.cloudfront.net/image/725136000567/image_m9v0inodap3ctcssqpmo11gq38/-FJPG/106074-021_SID_1.jpg</t>
  </si>
  <si>
    <t>https://dd3ka9h4chfr8.cloudfront.net/image/725136000567/image_egmkat65ap3ahbhragddi92t6c/-FJPG/106074-021_ESS.tif</t>
  </si>
  <si>
    <t>https://dd3ka9h4chfr8.cloudfront.net/image/725136000567/image_6ft66v8djl6oj11tu9d19ur559/-FJPG/106074-021_DET_2.jpg</t>
  </si>
  <si>
    <t>https://dd3ka9h4chfr8.cloudfront.net/image/725136000567/image_jpuao5426p3ppb2bjlssuf3q1e/-FJPG/106074-021_BCK_1.jpg</t>
  </si>
  <si>
    <t>https://dd3ka9h4chfr8.cloudfront.net/image/725136000567/image_mg56qauu1d1214o3msm8shgr1e/-FJPG/106074-021_DET_1.jpg</t>
  </si>
  <si>
    <t>https://dd3ka9h4chfr8.cloudfront.net/image/725136000567/image_phr1k4a30p333fimcii1eqd81c/-FJPG/106074-021_DET_3.jpg</t>
  </si>
  <si>
    <t>https://dd3ka9h4chfr8.cloudfront.net/image/725136000567/image_6ap3of46ft2etadobs4a572q5q/-FJPG/106074-021_DET_4.jpg</t>
  </si>
  <si>
    <t>https://dd3ka9h4chfr8.cloudfront.net/image/725136000567/image_jc3s7pujfl24d4affm8shhs52d/-FJPG/106074-021_DET_5.jpg</t>
  </si>
  <si>
    <t>https://dd3ka9h4chfr8.cloudfront.net/image/725136000567/image_9naitj2d6l0bvcdnpvl8mp912i/-FJPG/106074-021_DET_6.jpg</t>
  </si>
  <si>
    <t>https://dd3ka9h4chfr8.cloudfront.net/image/725136000567/image_s3lqeu5d4t1hbbnrmcifdgrc7d/-FJPG/106074-021_DET_9.tif</t>
  </si>
  <si>
    <t>https://dd3ka9h4chfr8.cloudfront.net/image/725136000567/image_fufd0t69jd4nv3jgc76vg00738/-FJPG/106074-021_DET_10.tif</t>
  </si>
  <si>
    <t>106074-022</t>
  </si>
  <si>
    <t>Sinclair Round Ottoman - Sheffield Ivory</t>
  </si>
  <si>
    <t>This round ottoman upholstered in traditional ivory fabric with a classic box print can be placed just about anywhere, bringing with it a polished vibe.</t>
  </si>
  <si>
    <t>https://dd3ka9h4chfr8.cloudfront.net/image/725136000567/image_esbh1tauk102beakul6vhfs81h/-S150x150-FJPG/106074-022_PRM_1.jpg</t>
  </si>
  <si>
    <t>https://dd3ka9h4chfr8.cloudfront.net/image/725136000567/image_4q0held9ph0fd94r681a680e4o/-FJPG/106074-022_FRT_1.jpg</t>
  </si>
  <si>
    <t>https://dd3ka9h4chfr8.cloudfront.net/image/725136000567/image_esbh1tauk102beakul6vhfs81h/-FJPG/106074-022_PRM_1.jpg</t>
  </si>
  <si>
    <t>https://dd3ka9h4chfr8.cloudfront.net/image/725136000567/image_i93v595nvl7850sh5638q3bb2q/-FJPG/106074-022_SID_1.jpg</t>
  </si>
  <si>
    <t>https://dd3ka9h4chfr8.cloudfront.net/image/725136000567/image_6sn6n0577p0ob7e4a279lm0s38/-FJPG/106074-022_DET_2.jpg</t>
  </si>
  <si>
    <t>https://dd3ka9h4chfr8.cloudfront.net/image/725136000567/image_rigjtoo11d65t1s2bmkh6ulr03/-FJPG/106074-022_BCK_1.jpg</t>
  </si>
  <si>
    <t>https://dd3ka9h4chfr8.cloudfront.net/image/725136000567/image_qvau7a3sfl3497qh6d65ibf13j/-FJPG/106074-022_DET_1.jpg</t>
  </si>
  <si>
    <t>https://dd3ka9h4chfr8.cloudfront.net/image/725136000567/image_5upa3l804h1vd1q0d9l29stt4e/-FJPG/106074-022_DET_3.jpg</t>
  </si>
  <si>
    <t>https://dd3ka9h4chfr8.cloudfront.net/image/725136000567/image_e4iqdk4g114657bf8amk21hk27/-FJPG/106074-022_DET_4.jpg</t>
  </si>
  <si>
    <t>https://dd3ka9h4chfr8.cloudfront.net/image/725136000567/image_0u4c449sl50bp7jom3uhafff0c/-FJPG/106074-022_DET_5.jpg</t>
  </si>
  <si>
    <t>https://dd3ka9h4chfr8.cloudfront.net/image/725136000567/image_9osh2ds0st7ub3ghmcgk2feh28/-FJPG/106074-022_DET_6.jpg</t>
  </si>
  <si>
    <t>106085-012</t>
  </si>
  <si>
    <t>Arnett Chair - Harness Burlap</t>
  </si>
  <si>
    <t>Top-grain leather seating offers a sumptuous sit, with complementary wire-brushed solid ash framing forming a slim U shape. Two posterior top-grain leather straps add a stylish finishing touch.</t>
  </si>
  <si>
    <t>https://dd3ka9h4chfr8.cloudfront.net/image/725136000567/image_pl2c0f55up2qvc109fgqf3tl1i/-S150x150-FJPG/106085-012_PRM_1.jpg</t>
  </si>
  <si>
    <t>https://dd3ka9h4chfr8.cloudfront.net/image/725136000567/image_e5o4t1erq55urbcrrbr73b2k1q/-FJPG/106085-012_FRT_1.jpg</t>
  </si>
  <si>
    <t>https://dd3ka9h4chfr8.cloudfront.net/image/725136000567/image_pl2c0f55up2qvc109fgqf3tl1i/-FJPG/106085-012_PRM_1.jpg</t>
  </si>
  <si>
    <t>https://dd3ka9h4chfr8.cloudfront.net/image/725136000567/image_52nsnh06oh16f50egb2q5tp60l/-FJPG/106085-012_SID_1.jpg</t>
  </si>
  <si>
    <t>https://dd3ka9h4chfr8.cloudfront.net/image/725136000567/image_9claqf0mdd1s56bgv5a9eo8t57/-FJPG/106085-012_ESS_1.jpg</t>
  </si>
  <si>
    <t>https://dd3ka9h4chfr8.cloudfront.net/image/725136000567/image_cctu1r316t6ejbiv54u4tfl756/-FJPG/106085-012_DET_2.jpg</t>
  </si>
  <si>
    <t>https://dd3ka9h4chfr8.cloudfront.net/image/725136000567/image_f255qan6al2ep3m6ekdnc54o0v/-FJPG/106085-012_BCK_1.jpg</t>
  </si>
  <si>
    <t>https://dd3ka9h4chfr8.cloudfront.net/image/725136000567/image_d0h47bbseh6u14sn64bvrmmh5q/-FJPG/106085-012_DET_1.jpg</t>
  </si>
  <si>
    <t>https://dd3ka9h4chfr8.cloudfront.net/image/725136000567/image_k9tr0efm8d7s511309soacm85i/-FJPG/106085-012_DET_3.jpg</t>
  </si>
  <si>
    <t>https://dd3ka9h4chfr8.cloudfront.net/image/725136000567/image_eq82bl75at0abesffu07mvv61g/-FJPG/106085-012_DET_4.jpg</t>
  </si>
  <si>
    <t>https://dd3ka9h4chfr8.cloudfront.net/image/725136000567/image_f9hlver8tt1972nipmrf1tc441/-FJPG/106085-012_DET_5.jpg</t>
  </si>
  <si>
    <t>https://dd3ka9h4chfr8.cloudfront.net/image/725136000567/image_rlucsc5q1d2on8ag6csce0be7u/-FJPG/106085-012_DET_6.jpg</t>
  </si>
  <si>
    <t>Arnett</t>
  </si>
  <si>
    <t>4.00"</t>
  </si>
  <si>
    <t>106085-016</t>
  </si>
  <si>
    <t>Arnett Chair - Dakota Black</t>
  </si>
  <si>
    <t>Dakota Black</t>
  </si>
  <si>
    <t>Nothing compares to the classic cool of black and tan. At a perfect lean, black top-grain leather cradles into natural parawood framing, for a stylishly straightforward look with high contrast and a hip mid-century vibe.</t>
  </si>
  <si>
    <t>https://dd3ka9h4chfr8.cloudfront.net/image/725136000567/image_bapcdoj61d1rd3l15f01it7209/-S150x150-FJPG/106085-016_PRM_1.jpg</t>
  </si>
  <si>
    <t>https://dd3ka9h4chfr8.cloudfront.net/image/725136000567/image_lfn6qdsmcp4c50shej7o9tlv05/-FJPG/106085-016_FRT_1.jpg</t>
  </si>
  <si>
    <t>https://dd3ka9h4chfr8.cloudfront.net/image/725136000567/image_bapcdoj61d1rd3l15f01it7209/-FJPG/106085-016_PRM_1.jpg</t>
  </si>
  <si>
    <t>https://dd3ka9h4chfr8.cloudfront.net/image/725136000567/image_pkfie2pq5l00t6cblf2vbrhm3a/-FJPG/106085-016_SID_1.jpg</t>
  </si>
  <si>
    <t>https://dd3ka9h4chfr8.cloudfront.net/image/725136000567/image_66q0lqmqp1729ddtjm8ll0uu02/-FJPG/106085-016_DET_2.jpg</t>
  </si>
  <si>
    <t>https://dd3ka9h4chfr8.cloudfront.net/image/725136000567/image_6papfrgr8h70t4ar81lolh322q/-FJPG/106085-016_BCK_1.jpg</t>
  </si>
  <si>
    <t>https://dd3ka9h4chfr8.cloudfront.net/image/725136000567/image_t6v62b2n016cjaiot1q4cdoo3i/-FJPG/106085-016_DET_1.jpg</t>
  </si>
  <si>
    <t>https://dd3ka9h4chfr8.cloudfront.net/image/725136000567/image_9qc6vbgib54lta1qh40id2ov5i/-FJPG/106085-016_DET_3.jpg</t>
  </si>
  <si>
    <t>https://dd3ka9h4chfr8.cloudfront.net/image/725136000567/image_n07imhou352br4mccf6m3s5q0d/-FJPG/106085-016_DET_4.jpg</t>
  </si>
  <si>
    <t>https://dd3ka9h4chfr8.cloudfront.net/image/725136000567/image_192n0eh1fp7v70n49k98arkb1p/-FJPG/106085-016_DET_5.jpg</t>
  </si>
  <si>
    <t>https://dd3ka9h4chfr8.cloudfront.net/image/725136000567/image_fnutufs9856cfcbkapfhlqvn6q/-FJPG/106085-016_DET_6.jpg</t>
  </si>
  <si>
    <t>https://dd3ka9h4chfr8.cloudfront.net/image/725136000567/image_fbmlfc9nnt0qj0u23foai1ls3o/-FJPG/106085-016_DET_7.jpg</t>
  </si>
  <si>
    <t>https://dd3ka9h4chfr8.cloudfront.net/image/725136000567/image_inhaj6o08t4gr6q2de4524nn34/-FJPG/106085-016_ROM_1.jpg</t>
  </si>
  <si>
    <t>106085-017</t>
  </si>
  <si>
    <t>Arnett Chair - Knoll Natural</t>
  </si>
  <si>
    <t>Dakota Tobacco</t>
  </si>
  <si>
    <t>Textural cream bouclÃ© seating offers a sumptuous sit, with complementary wire-brushed parawood framing forming a slim U shape. Two posterior top-grain leather straps add a stylish finishing touch.</t>
  </si>
  <si>
    <t>https://dd3ka9h4chfr8.cloudfront.net/image/725136000567/image_sm0t0b77ft52d24i19ttklbg58/-S150x150-FJPG/106085-017_PRM_1.jpg</t>
  </si>
  <si>
    <t>https://dd3ka9h4chfr8.cloudfront.net/image/725136000567/image_3a5klnui9p7cd7acr18ap73d2k/-FJPG/106085-017_FRT_1.jpg</t>
  </si>
  <si>
    <t>https://dd3ka9h4chfr8.cloudfront.net/image/725136000567/image_sm0t0b77ft52d24i19ttklbg58/-FJPG/106085-017_PRM_1.jpg</t>
  </si>
  <si>
    <t>https://dd3ka9h4chfr8.cloudfront.net/image/725136000567/image_j078dlp7td69rbi12ecp9bkf2n/-FJPG/106085-017_SID_1.jpg</t>
  </si>
  <si>
    <t>https://dd3ka9h4chfr8.cloudfront.net/image/725136000567/image_e4mgc489i96p94lq1n26uib52f/-FJPG/106085-017_ESS_1.jpg</t>
  </si>
  <si>
    <t>https://dd3ka9h4chfr8.cloudfront.net/image/725136000567/image_cu30euuj5h329eot196jtp734c/-FJPG/106085-017_DET_2.jpg</t>
  </si>
  <si>
    <t>https://dd3ka9h4chfr8.cloudfront.net/image/725136000567/image_3sr9ovvt410qnfnplbb63irv6b/-FJPG/106085-017_BCK_1.jpg</t>
  </si>
  <si>
    <t>https://dd3ka9h4chfr8.cloudfront.net/image/725136000567/image_05pt9r7so95mpdmrr0of78fl1l/-FJPG/106085-017_INF_1.jpg</t>
  </si>
  <si>
    <t>https://dd3ka9h4chfr8.cloudfront.net/image/725136000567/image_55r93b87b56st2utbjnberfl4l/-FJPG/106085-017_DET_1.jpg</t>
  </si>
  <si>
    <t>https://dd3ka9h4chfr8.cloudfront.net/image/725136000567/image_9q9n512dl54mh7d4csvab35b6k/-FJPG/106085-017_DET_3.jpg</t>
  </si>
  <si>
    <t>https://dd3ka9h4chfr8.cloudfront.net/image/725136000567/image_hpe58vhq3h6g9coaioavdi9o78/-FJPG/106085-017_DET_4.jpg</t>
  </si>
  <si>
    <t>https://dd3ka9h4chfr8.cloudfront.net/image/725136000567/image_vbq2vn2at910nfe722lrisbt3v/-FJPG/106085-017_DET_5.jpg</t>
  </si>
  <si>
    <t>https://dd3ka9h4chfr8.cloudfront.net/image/725136000567/image_pu2togu5692gn8gqlsra9mis3t/-FJPG/106085-017_DET_6.jpg</t>
  </si>
  <si>
    <t>https://dd3ka9h4chfr8.cloudfront.net/image/725136000567/image_e64clli8g979denbv81n80mn4m/-FJPG/106085-017_DET_7.jpg</t>
  </si>
  <si>
    <t>https://dd3ka9h4chfr8.cloudfront.net/image/725136000567/image_3ds7rti041575br5t38ap2td0q/-FJPG/106085-017_ROM_1.jpg</t>
  </si>
  <si>
    <t>https://dd3ka9h4chfr8.cloudfront.net/image/725136000567/image_e9kitsnsbp0o34d8mnm72o6q6t/-FJPG/106085-017_VIG_1.jpg</t>
  </si>
  <si>
    <t>106085-022</t>
  </si>
  <si>
    <t>Arnett Chair - Alcala Fawn</t>
  </si>
  <si>
    <t>Vintage Parawood</t>
  </si>
  <si>
    <t>Natural linen seating offers cool, comfortable seating, with wire-brushed parawood framing forming a slim U shape. Two posterior top-grain leather straps add a stylish finishing touch. Performance fabrics are specially created to withstand spills, stains, high traffic and wear, ensuring long-term comfort and unmatched durability.</t>
  </si>
  <si>
    <t>https://dd3ka9h4chfr8.cloudfront.net/image/725136000567/image_ulf3g0257h79n5q7p8jfil1c4q/-S150x150-FJPG/106085-022_PRM_1.jpg</t>
  </si>
  <si>
    <t>https://dd3ka9h4chfr8.cloudfront.net/image/725136000567/image_38krec98fl45n2cmnahu6e8g37/-FJPG/106085-022_FRT_1.jpg</t>
  </si>
  <si>
    <t>https://dd3ka9h4chfr8.cloudfront.net/image/725136000567/image_ulf3g0257h79n5q7p8jfil1c4q/-FJPG/106085-022_PRM_1.jpg</t>
  </si>
  <si>
    <t>https://dd3ka9h4chfr8.cloudfront.net/image/725136000567/image_lj12mtunfl1qb78o5l74phne3s/-FJPG/106085-022_SID_1.jpg</t>
  </si>
  <si>
    <t>https://dd3ka9h4chfr8.cloudfront.net/image/725136000567/image_pm648tate57fl5k5rd0ute9u3c/-FJPG/106085-022_ESS_1.jpg</t>
  </si>
  <si>
    <t>https://dd3ka9h4chfr8.cloudfront.net/image/725136000567/image_3je6gind4h017bfo6lr5caka3k/-FJPG/106085-022_DET_2.jpg</t>
  </si>
  <si>
    <t>https://dd3ka9h4chfr8.cloudfront.net/image/725136000567/image_p9dfnevblp5q7ai7jedoo24652/-FJPG/106085-022_BCK_1.jpg</t>
  </si>
  <si>
    <t>https://dd3ka9h4chfr8.cloudfront.net/image/725136000567/image_3nhgeedqut6i7bhs9ngt15jj3e/-FJPG/106085-022_DET_1.jpg</t>
  </si>
  <si>
    <t>https://dd3ka9h4chfr8.cloudfront.net/image/725136000567/image_grmioh64g56fj3mm1s8ivdlo2a/-FJPG/106085-022_DET_3.jpg</t>
  </si>
  <si>
    <t>https://dd3ka9h4chfr8.cloudfront.net/image/725136000567/image_l5dm54aig5641f6guocqgscn6s/-FJPG/106085-022_DET_4.jpg</t>
  </si>
  <si>
    <t>https://dd3ka9h4chfr8.cloudfront.net/image/725136000567/image_3v6e1etdod2st8pr2e09s0mv7d/-FJPG/106085-022_DET_5.jpg</t>
  </si>
  <si>
    <t>https://dd3ka9h4chfr8.cloudfront.net/image/725136000567/image_ejasmunpvl6sj1s30fdue4657i/-FJPG/106085-022_DET_6.jpg</t>
  </si>
  <si>
    <t>106085-026</t>
  </si>
  <si>
    <t>Arnett Chair - Sheffield Ivory</t>
  </si>
  <si>
    <t>Upholstered in traditional ivory fabric with a classic box print, this seating offers a sumptuous sit, with complementary wire-vintage parawood framing forming a slim U shape. Two posterior top-grain leather straps add a stylish finishing touch.</t>
  </si>
  <si>
    <t>https://dd3ka9h4chfr8.cloudfront.net/image/725136000567/image_c05kgi2tg16hl3ugfg98r9gs7v/-S150x150-FJPG/106085-026_PRM_1.jpg</t>
  </si>
  <si>
    <t>https://dd3ka9h4chfr8.cloudfront.net/image/725136000567/image_enahmq2s354nle76mm7hf7j37b/-FJPG/106085-026_FRT_1.jpg</t>
  </si>
  <si>
    <t>https://dd3ka9h4chfr8.cloudfront.net/image/725136000567/image_c05kgi2tg16hl3ugfg98r9gs7v/-FJPG/106085-026_PRM_1.jpg</t>
  </si>
  <si>
    <t>https://dd3ka9h4chfr8.cloudfront.net/image/725136000567/image_00gnmt87vd0tl7akgne9rj5t0i/-FJPG/106085-026_SID_1.jpg</t>
  </si>
  <si>
    <t>https://dd3ka9h4chfr8.cloudfront.net/image/725136000567/image_uorjthijmh4qdaei8hnb8i7k4r/-FJPG/106085-026_DET_2.jpg</t>
  </si>
  <si>
    <t>https://dd3ka9h4chfr8.cloudfront.net/image/725136000567/image_9uggvr5ebd4mh67f5np4hujl5h/-FJPG/106085-026_BCK_1.jpg</t>
  </si>
  <si>
    <t>https://dd3ka9h4chfr8.cloudfront.net/image/725136000567/image_sksbi2jp916o18gakn8778op7c/-FJPG/106085-026_DET_1.jpg</t>
  </si>
  <si>
    <t>https://dd3ka9h4chfr8.cloudfront.net/image/725136000567/image_12cv6pa1vp22fdccsontc9ur0k/-FJPG/106085-026_DET_3.jpg</t>
  </si>
  <si>
    <t>https://dd3ka9h4chfr8.cloudfront.net/image/725136000567/image_l5r9qkec3p6r792pct8u9trh0n/-FJPG/106085-026_DET_4.jpg</t>
  </si>
  <si>
    <t>https://dd3ka9h4chfr8.cloudfront.net/image/725136000567/image_fhsl7ujdk97d1fgh4ni4f00f36/-FJPG/106085-026_DET_5.jpg</t>
  </si>
  <si>
    <t>106086-015</t>
  </si>
  <si>
    <t>Kimble Swivel Chair - Noble Platinum</t>
  </si>
  <si>
    <t>Noble Platinum</t>
  </si>
  <si>
    <t>With a tight, tailored sit and traditional barrel shape, flange seams soften the look of this comfortable seating style, with a 360-degree swivel for modernity.</t>
  </si>
  <si>
    <t>https://dd3ka9h4chfr8.cloudfront.net/image/725136000567/image_nqb845ee5h7ur280noeadv0p0o/-S150x150-FJPG/106086-015_PRM_1.jpg</t>
  </si>
  <si>
    <t>https://dd3ka9h4chfr8.cloudfront.net/image/725136000567/image_h6eq6d1kc90glcgkv4gekc7p6v/-FJPG/106086-015_FRT_1.jpg</t>
  </si>
  <si>
    <t>https://dd3ka9h4chfr8.cloudfront.net/image/725136000567/image_nqb845ee5h7ur280noeadv0p0o/-FJPG/106086-015_PRM_1.jpg</t>
  </si>
  <si>
    <t>https://dd3ka9h4chfr8.cloudfront.net/image/725136000567/image_hbtt23foj17jbf7c2bfqsdn152/-FJPG/106086-015_SID_1.jpg</t>
  </si>
  <si>
    <t>https://dd3ka9h4chfr8.cloudfront.net/image/725136000567/image_hlcv3i85bp13fetdckogsd6q3v/-FJPG/106086-015_DET_2.jpg</t>
  </si>
  <si>
    <t>https://dd3ka9h4chfr8.cloudfront.net/image/725136000567/image_eannn47dep3dnbvq9sl09hj42g/-FJPG/106086-015_BCK_1.jpg</t>
  </si>
  <si>
    <t>https://dd3ka9h4chfr8.cloudfront.net/image/725136000567/image_mpflucbj0168929rtg00i1af08/-FJPG/106086-015_DET_1.jpg</t>
  </si>
  <si>
    <t>https://dd3ka9h4chfr8.cloudfront.net/image/725136000567/image_plhojipu3d5ene6ssofipqs42e/-FJPG/106086-015_DET_3.jpg</t>
  </si>
  <si>
    <t>https://dd3ka9h4chfr8.cloudfront.net/image/725136000567/image_75rlopip6p3n39ae2a9d78ik1h/-FJPG/106086-015_TOP_1.jpg</t>
  </si>
  <si>
    <t>https://dd3ka9h4chfr8.cloudfront.net/image/725136000567/image_k21jru4gpd34tbp57nd8133s10/-FJPG/106086-015_DET_4.jpg</t>
  </si>
  <si>
    <t>https://dd3ka9h4chfr8.cloudfront.net/image/725136000567/image_cggncpc82p37p2pf8388ah2t4i/-FJPG/106086-015_DET_5.jpg</t>
  </si>
  <si>
    <t>https://dd3ka9h4chfr8.cloudfront.net/image/725136000567/image_qq7lt1d62p5cdbh71o6egkcd74/-FJPG/106086-015_DET_6.jpg</t>
  </si>
  <si>
    <t>https://dd3ka9h4chfr8.cloudfront.net/image/725136000567/image_d0g88cvocl1bj9324tlh7kqb0j/-FJPG/106086-015_DET_7.jpg</t>
  </si>
  <si>
    <t>https://dd3ka9h4chfr8.cloudfront.net/image/725136000567/image_otnggss5nh48l0bp0bte1dog71/-FJPG/106086-015_ROM_1.jpg</t>
  </si>
  <si>
    <t>17.99"</t>
  </si>
  <si>
    <t>50% Polyester Fiber, 50% Polyurethane Foam</t>
  </si>
  <si>
    <t>Kimble</t>
  </si>
  <si>
    <t>24.49"</t>
  </si>
  <si>
    <t>6.50"</t>
  </si>
  <si>
    <t>18.98"</t>
  </si>
  <si>
    <t>22.99"</t>
  </si>
  <si>
    <t>106086-033</t>
  </si>
  <si>
    <t>Kimble Swivel Chair - Crypton Henry Coffee</t>
  </si>
  <si>
    <t>https://dd3ka9h4chfr8.cloudfront.net/image/725136000567/image_1ni0kha73d6lndu3pq2gghot1c/-S150x150-FJPG/106086-033_PRM_1.jpg</t>
  </si>
  <si>
    <t>https://dd3ka9h4chfr8.cloudfront.net/image/725136000567/image_9qb8a28akt21j6476s6kr7go01/-FJPG/106086-033_FRT_1.jpg</t>
  </si>
  <si>
    <t>https://dd3ka9h4chfr8.cloudfront.net/image/725136000567/image_1ni0kha73d6lndu3pq2gghot1c/-FJPG/106086-033_PRM_1.jpg</t>
  </si>
  <si>
    <t>https://dd3ka9h4chfr8.cloudfront.net/image/725136000567/image_orfo07g25d4vd9thnc7ocsrn7e/-FJPG/106086-033_SID_1.jpg</t>
  </si>
  <si>
    <t>https://dd3ka9h4chfr8.cloudfront.net/image/725136000567/image_k3tongk6v11r38pjju7aoepm11/-FJPG/106086-033_ESS.tif</t>
  </si>
  <si>
    <t>https://dd3ka9h4chfr8.cloudfront.net/image/725136000567/image_6b5le3tav95eh1lueglag8ng4u/-FJPG/106086-033_DET_2.jpg</t>
  </si>
  <si>
    <t>https://dd3ka9h4chfr8.cloudfront.net/image/725136000567/image_nrgdso3ad51f150776m69mn13b/-FJPG/106086-033_BCK_1.jpg</t>
  </si>
  <si>
    <t>https://dd3ka9h4chfr8.cloudfront.net/image/725136000567/image_asrmuuid0t0ghbisrbbd3qt709/-FJPG/106086-033_DET_1.jpg</t>
  </si>
  <si>
    <t>https://dd3ka9h4chfr8.cloudfront.net/image/725136000567/image_of0t8i12013ibf775hkf20et5s/-FJPG/106086-033_DET_3.jpg</t>
  </si>
  <si>
    <t>https://dd3ka9h4chfr8.cloudfront.net/image/725136000567/image_4de471nru143n8qturq73m6r0o/-FJPG/106086-033_DET_4.jpg</t>
  </si>
  <si>
    <t>https://dd3ka9h4chfr8.cloudfront.net/image/725136000567/image_k9j2josls95ubdt83utmaina33/-FJPG/106086-033_DET_5.jpg</t>
  </si>
  <si>
    <t>https://dd3ka9h4chfr8.cloudfront.net/image/725136000567/image_vgr8ektcb16sffiqokv333lr0o/-FJPG/106086-033_DET_6.jpg</t>
  </si>
  <si>
    <t>https://dd3ka9h4chfr8.cloudfront.net/image/725136000567/image_rackkgnsf13nd863a8e5ltjb2k/-FJPG/106086-033_DET_7.jpg</t>
  </si>
  <si>
    <t>https://dd3ka9h4chfr8.cloudfront.net/image/725136000567/image_8vc1ahqfld5518l0p8l6bjln1u/-FJPG/106086-033_DET_8.jpg</t>
  </si>
  <si>
    <t>https://dd3ka9h4chfr8.cloudfront.net/image/725136000567/image_qpcrjplalp48b50hfktnq2ju32/-FJPG/106086-033_DET_9.tif</t>
  </si>
  <si>
    <t>https://dd3ka9h4chfr8.cloudfront.net/image/725136000567/image_5s3k6633th78rbiccf5r5suu75/-FJPG/106086-033_DET_10.tif</t>
  </si>
  <si>
    <t>https://dd3ka9h4chfr8.cloudfront.net/image/725136000567/image_2fn5ci48hl0il1ia65j1c9v951/-FJPG/FHMPRJ016_SCENE-9.jpg</t>
  </si>
  <si>
    <t>106096-007</t>
  </si>
  <si>
    <t>Taryn Chair - Palermo Drift</t>
  </si>
  <si>
    <t>Gris Gunmetal</t>
  </si>
  <si>
    <t>https://dd3ka9h4chfr8.cloudfront.net/image/725136000567/image_0ompvc12et7e502smbvrv8qj3v/-S150x150-FJPG/106096-007_PRM_1.jpg</t>
  </si>
  <si>
    <t>https://dd3ka9h4chfr8.cloudfront.net/image/725136000567/image_svahm5dij15bv0nafpclu2pv65/-FJPG/106096-007_FRT_1.jpg</t>
  </si>
  <si>
    <t>https://dd3ka9h4chfr8.cloudfront.net/image/725136000567/image_0ompvc12et7e502smbvrv8qj3v/-FJPG/106096-007_PRM_1.jpg</t>
  </si>
  <si>
    <t>https://dd3ka9h4chfr8.cloudfront.net/image/725136000567/image_cd50q22f5l2jldgjsdb33de91t/-FJPG/106096-007_SID_1.jpg</t>
  </si>
  <si>
    <t>https://dd3ka9h4chfr8.cloudfront.net/image/725136000567/image_89neeed53p0dtfb2p7jh1crf3l/-FJPG/106096-007_ESS_1.jpg</t>
  </si>
  <si>
    <t>https://dd3ka9h4chfr8.cloudfront.net/image/725136000567/image_agug2fklkd1p74s0l7eb8tbf0e/-FJPG/106096-007_DET_2.jpg</t>
  </si>
  <si>
    <t>https://dd3ka9h4chfr8.cloudfront.net/image/725136000567/image_ok4a65sfvt3r927bdoej7tbi5l/-FJPG/106096-007_BCK_1.jpg</t>
  </si>
  <si>
    <t>https://dd3ka9h4chfr8.cloudfront.net/image/725136000567/image_qe8ermh62p3i9fq5csb5spge5v/-FJPG/106096-007_DET_1.jpg</t>
  </si>
  <si>
    <t>https://dd3ka9h4chfr8.cloudfront.net/image/725136000567/image_ensvf7gbu15kh57gu39cb4cs2n/-FJPG/106096-007_DET_3.jpg</t>
  </si>
  <si>
    <t>https://dd3ka9h4chfr8.cloudfront.net/image/725136000567/image_n3ufo5pppp1ad1tmoaar7e7h4k/-FJPG/106096-007_DET_4.jpg</t>
  </si>
  <si>
    <t>https://dd3ka9h4chfr8.cloudfront.net/image/725136000567/image_ou7p3eihf91711kpd0vud8dh6c/-FJPG/106096-007_DET_5.jpg</t>
  </si>
  <si>
    <t>https://dd3ka9h4chfr8.cloudfront.net/image/725136000567/image_66vb6k12pt5hd0ghc8mrkr0n79/-FJPG/106096-007_DET_6.jpg</t>
  </si>
  <si>
    <t>https://dd3ka9h4chfr8.cloudfront.net/image/725136000567/image_jvclsjfcnl6nbekdds9qhr8128/-FJPG/106096-007_DET_7.jpg</t>
  </si>
  <si>
    <t>https://dd3ka9h4chfr8.cloudfront.net/image/725136000567/image_pba5rhtoid6815qgi935lp2r7k/-FJPG/106096-007_VIG_1.jpg</t>
  </si>
  <si>
    <t>https://dd3ka9h4chfr8.cloudfront.net/image/725136000567/image_qdhgslenp91132baklt34pcn6r/-FJPG/106096-007_VIG_2.jpg</t>
  </si>
  <si>
    <t>Complete Item/ L-Shaped Box</t>
  </si>
  <si>
    <t>Semi-Attached</t>
  </si>
  <si>
    <t>Flange</t>
  </si>
  <si>
    <t>Taryn</t>
  </si>
  <si>
    <t>35% Polyester Fiber Batting, 35% Waterfowl Feather, 30% Polyurethane Foam Pad</t>
  </si>
  <si>
    <t>106096-008</t>
  </si>
  <si>
    <t>Taryn Chair - Chaps Saddle</t>
  </si>
  <si>
    <t>Chaps Saddle</t>
  </si>
  <si>
    <t>A nod to relaxed modernism, a warm butterscotch hue plays up the natural depth of Four Hands-exclusive top-grain leather, with buckle details and low-slung styling crafting the hippest of vibes.Â </t>
  </si>
  <si>
    <t>https://dd3ka9h4chfr8.cloudfront.net/image/725136000567/image_h66soh742t3g14ctc0btr93m4b/-S150x150-FJPG/106096-008_PRM_1.jpg</t>
  </si>
  <si>
    <t>https://dd3ka9h4chfr8.cloudfront.net/image/725136000567/image_q5ms1hpmed2m16p4b14eecum4b/-FJPG/106096-008_FRT_1.jpg</t>
  </si>
  <si>
    <t>https://dd3ka9h4chfr8.cloudfront.net/image/725136000567/image_h66soh742t3g14ctc0btr93m4b/-FJPG/106096-008_PRM_1.jpg</t>
  </si>
  <si>
    <t>https://dd3ka9h4chfr8.cloudfront.net/image/725136000567/image_ondeh35hip4cpfq4vi769om31j/-FJPG/106096-008_SID_1.jpg</t>
  </si>
  <si>
    <t>https://dd3ka9h4chfr8.cloudfront.net/image/725136000567/image_b1gfd65qtt4ejasvugioep4o7q/-FJPG/106096-008_DET_2.jpg</t>
  </si>
  <si>
    <t>https://dd3ka9h4chfr8.cloudfront.net/image/725136000567/image_c6ucrl1p753497ditd4vbgnr6r/-FJPG/106096-008_BCK_1.jpg</t>
  </si>
  <si>
    <t>https://dd3ka9h4chfr8.cloudfront.net/image/725136000567/image_22mfj44se16kj58dlvd04tio38/-FJPG/106096-008_DET_1.jpg</t>
  </si>
  <si>
    <t>https://dd3ka9h4chfr8.cloudfront.net/image/725136000567/image_na9prvtrol2tletnhbubi23862/-FJPG/106096-008_DET_3.jpg</t>
  </si>
  <si>
    <t>https://dd3ka9h4chfr8.cloudfront.net/image/725136000567/image_qs7l5eeah15lj98tnl17f6tn58/-FJPG/106096-008_DET_4.jpg</t>
  </si>
  <si>
    <t>https://dd3ka9h4chfr8.cloudfront.net/image/725136000567/image_ldqr4m6pg97nv40ovab6vavp20/-FJPG/106096-008_DET_5.jpg</t>
  </si>
  <si>
    <t>https://dd3ka9h4chfr8.cloudfront.net/image/725136000567/image_gairgmea991ln8cmng7ldb8o0i/-FJPG/106096-008_DET_6.jpg</t>
  </si>
  <si>
    <t>https://dd3ka9h4chfr8.cloudfront.net/image/725136000567/image_4rnf9r9ush3gv0v69j3vhtg97m/-FJPG/106096-008_ROM_1.jpg</t>
  </si>
  <si>
    <t>106096-009</t>
  </si>
  <si>
    <t>Taryn Chair - Sonoma Black</t>
  </si>
  <si>
    <t>Aged Brass</t>
  </si>
  <si>
    <t>A nod to relaxed modernism, a jet-black hue plays up the natural depth of Four Hands-exclusive top-grain leather, with buckle details and low-slung styling crafting the hippest of vibes.</t>
  </si>
  <si>
    <t>https://dd3ka9h4chfr8.cloudfront.net/image/725136000567/image_g61pchptn52tlcqd27tr0sbs6m/-S150x150-FJPG/106096-009_PRM_1.jpg</t>
  </si>
  <si>
    <t>https://dd3ka9h4chfr8.cloudfront.net/image/725136000567/image_3bu4rc21al53p5eh7acqdbm877/-FJPG/106096-009_FRT_1.jpg</t>
  </si>
  <si>
    <t>https://dd3ka9h4chfr8.cloudfront.net/image/725136000567/image_g61pchptn52tlcqd27tr0sbs6m/-FJPG/106096-009_PRM_1.jpg</t>
  </si>
  <si>
    <t>https://dd3ka9h4chfr8.cloudfront.net/image/725136000567/image_4s308raiql4od4to3pt8sj7j08/-FJPG/106096-009_SID_1.jpg</t>
  </si>
  <si>
    <t>https://dd3ka9h4chfr8.cloudfront.net/image/725136000567/image_oh4jqf019t31teqgd74u5rpf52/-FJPG/106096-009_DET_2.jpg</t>
  </si>
  <si>
    <t>https://dd3ka9h4chfr8.cloudfront.net/image/725136000567/image_p4moq5jfd11qr2uj84qc4v9o6f/-FJPG/106096-009_BCK_1.jpg</t>
  </si>
  <si>
    <t>https://dd3ka9h4chfr8.cloudfront.net/image/725136000567/image_skav1o6lq97fp464e2bfd54j02/-FJPG/106096-009_DET_1.jpg</t>
  </si>
  <si>
    <t>https://dd3ka9h4chfr8.cloudfront.net/image/725136000567/image_tfdbupf6m95ktb66klm7me780p/-FJPG/106096-009_DET_3.jpg</t>
  </si>
  <si>
    <t>https://dd3ka9h4chfr8.cloudfront.net/image/725136000567/image_e1vavv1as954de8g52oc1gpb3s/-FJPG/106096-009_GRP_1.jpg</t>
  </si>
  <si>
    <t>https://dd3ka9h4chfr8.cloudfront.net/image/725136000567/image_bu2aosgu2p7799hb3k1fm6a06p/-FJPG/106096-009_DET_4.jpg</t>
  </si>
  <si>
    <t>https://dd3ka9h4chfr8.cloudfront.net/image/725136000567/image_5guavr0qch7mf2rplh9odrm70l/-FJPG/106096-009_DET_5.jpg</t>
  </si>
  <si>
    <t>https://dd3ka9h4chfr8.cloudfront.net/image/725136000567/image_ii98r3b5n10jh9606a9vrvqi1q/-FJPG/106096-009_DET_6.jpg</t>
  </si>
  <si>
    <t>https://dd3ka9h4chfr8.cloudfront.net/image/725136000567/image_hutdtqkmvd6m32jts04c6ea54o/-FJPG/106096-009_ROM_1.jpg</t>
  </si>
  <si>
    <t>106102-022</t>
  </si>
  <si>
    <t>Aurora Swivel Chair - Knoll Natural</t>
  </si>
  <si>
    <t>Intriguing while inviting. Drum-style seating is upholstered in a soothing and textural off-white bouclÃ©. A 360-degree swivel base of natural parawood places a fresh spin on a feminine form.</t>
  </si>
  <si>
    <t>https://dd3ka9h4chfr8.cloudfront.net/image/725136000567/image_3qvt6civl9577eal5plb256963/-S150x150-FJPG/106102-022_PRM_1.jpg</t>
  </si>
  <si>
    <t>https://dd3ka9h4chfr8.cloudfront.net/image/725136000567/image_l1knamfo6p53ld3nmd6u6nfk37/-FJPG/106102-022_FRT_1.jpg</t>
  </si>
  <si>
    <t>https://dd3ka9h4chfr8.cloudfront.net/image/725136000567/image_3qvt6civl9577eal5plb256963/-FJPG/106102-022_PRM_1.jpg</t>
  </si>
  <si>
    <t>https://dd3ka9h4chfr8.cloudfront.net/image/725136000567/image_i1cddssvcd27v0fecfqbk62d2l/-FJPG/106102-022_SID_1.jpg</t>
  </si>
  <si>
    <t>https://dd3ka9h4chfr8.cloudfront.net/image/725136000567/image_f2qpkp04316u303299fpqmgo7p/-FJPG/106102-022_ESS_1.jpg</t>
  </si>
  <si>
    <t>https://dd3ka9h4chfr8.cloudfront.net/image/725136000567/image_03eqnhkgdl27ndbkmee2hood1i/-FJPG/106102-022_DET_2.jpg</t>
  </si>
  <si>
    <t>https://dd3ka9h4chfr8.cloudfront.net/image/725136000567/image_hnq1135ok96b5faa6lu5onm644/-FJPG/106102-022_BCK_1.jpg</t>
  </si>
  <si>
    <t>https://dd3ka9h4chfr8.cloudfront.net/image/725136000567/image_p3keq3bsft47p9it3tfeh3b576/-FJPG/106102-022_INF_1.jpg</t>
  </si>
  <si>
    <t>https://dd3ka9h4chfr8.cloudfront.net/image/725136000567/image_vk2i13k1fd4jd2mmufsv1hn92p/-FJPG/106102-022_DET_1.jpg</t>
  </si>
  <si>
    <t>https://dd3ka9h4chfr8.cloudfront.net/image/725136000567/image_9fi8dp35ep1gj6oj8rc3v6ei2d/-FJPG/106102-022_DET_3.jpg</t>
  </si>
  <si>
    <t>https://dd3ka9h4chfr8.cloudfront.net/image/725136000567/image_vj9qhvnot105j97jbrjn034861/-FJPG/106102-022_DET_4.jpg</t>
  </si>
  <si>
    <t>https://dd3ka9h4chfr8.cloudfront.net/image/725136000567/image_es5a6l61596817v95tf1c19a55/-FJPG/106102-022_DET_5.jpg</t>
  </si>
  <si>
    <t>https://dd3ka9h4chfr8.cloudfront.net/image/725136000567/image_96pdul3sot37v29leorndcvr7v/-FJPG/106102-022_DET_6.jpg</t>
  </si>
  <si>
    <t>https://dd3ka9h4chfr8.cloudfront.net/image/725136000567/image_dk74cp9atp54t7ojkd92bk3o61/-FJPG/106102-022_ROM_1.jpg</t>
  </si>
  <si>
    <t>https://dd3ka9h4chfr8.cloudfront.net/image/725136000567/image_pttj3j6eat3s30j3juuvonaq6a/-FJPG/106102-022_VIG_1.jpg</t>
  </si>
  <si>
    <t>Aurora</t>
  </si>
  <si>
    <t>13.50"</t>
  </si>
  <si>
    <t>106102-024</t>
  </si>
  <si>
    <t>Aurora Swivel Chair - Copenhagen Indigo</t>
  </si>
  <si>
    <t>Copenhagen Indigo</t>
  </si>
  <si>
    <t>Intriguing and inviting. Drum-style seating is upholstered in a soothing and textural indigo bouclÃ©. A 360-degree swivel base of solid parawood places a fresh spin on a feminine form.</t>
  </si>
  <si>
    <t>https://dd3ka9h4chfr8.cloudfront.net/image/725136000567/image_5grq6ftvmt7sv3c8euqv6tcc0u/-S150x150-FJPG/106102-024_PRM_1.jpg</t>
  </si>
  <si>
    <t>https://dd3ka9h4chfr8.cloudfront.net/image/725136000567/image_ln278ktf6l48bapcqnskgvpv17/-FJPG/106102-024_FRT_1.jpg</t>
  </si>
  <si>
    <t>https://dd3ka9h4chfr8.cloudfront.net/image/725136000567/image_5grq6ftvmt7sv3c8euqv6tcc0u/-FJPG/106102-024_PRM_1.jpg</t>
  </si>
  <si>
    <t>https://dd3ka9h4chfr8.cloudfront.net/image/725136000567/image_pof3av57ll09daj0rgp7b0li60/-FJPG/106102-024_SID_1.jpg</t>
  </si>
  <si>
    <t>https://dd3ka9h4chfr8.cloudfront.net/image/725136000567/image_p2ejupgb0l1e11uklu0ulv0j7q/-FJPG/106102-024_ESS_1.jpg</t>
  </si>
  <si>
    <t>https://dd3ka9h4chfr8.cloudfront.net/image/725136000567/image_mm6fgujrpt3ttf2ia1hvg19n7i/-FJPG/106102-024_DET_2.jpg</t>
  </si>
  <si>
    <t>https://dd3ka9h4chfr8.cloudfront.net/image/725136000567/image_2lq6t55fj13990pf888l85516n/-FJPG/106102-024_BCK_1.jpg</t>
  </si>
  <si>
    <t>https://dd3ka9h4chfr8.cloudfront.net/image/725136000567/image_1cfiphohp93h988b0aig9gp80v/-FJPG/106102-024_DET_1.jpg</t>
  </si>
  <si>
    <t>https://dd3ka9h4chfr8.cloudfront.net/image/725136000567/image_oj37akul011dn8rcqk80fus84s/-FJPG/106102-024_DET_3.jpg</t>
  </si>
  <si>
    <t>https://dd3ka9h4chfr8.cloudfront.net/image/725136000567/image_v0jkq64agd3832ngebkrp4oq3b/-FJPG/106102-024_DET_4.jpg</t>
  </si>
  <si>
    <t>Complete Item/Lshape</t>
  </si>
  <si>
    <t>106102-025</t>
  </si>
  <si>
    <t>Aurora Swivel Chair - Gibson Silver</t>
  </si>
  <si>
    <t>Gibson Silver</t>
  </si>
  <si>
    <t>Intriguing while inviting. Drum-style seating is upholstered in a soothing and textural grey. A swivel base of natural, wire-brushed parawood places a fresh spin on a feminine form. Performance fabrics are specially created to withstand spills, stains, high traffic and wear, ensuring long-term comfort and unmatched durability.</t>
  </si>
  <si>
    <t>https://dd3ka9h4chfr8.cloudfront.net/image/725136000567/image_9n69duhvcd5tr6160ob3f1jo1j/-S150x150-FJPG/106102-025_PRM_1.jpg</t>
  </si>
  <si>
    <t>https://dd3ka9h4chfr8.cloudfront.net/image/725136000567/image_ffhpmu7t993n19m98fjnm7kv0f/-FJPG/106102-025_FRT_1.jpg</t>
  </si>
  <si>
    <t>https://dd3ka9h4chfr8.cloudfront.net/image/725136000567/image_9n69duhvcd5tr6160ob3f1jo1j/-FJPG/106102-025_PRM_1.jpg</t>
  </si>
  <si>
    <t>https://dd3ka9h4chfr8.cloudfront.net/image/725136000567/image_51qt4jnglh3d36rls0sqkgtc6p/-FJPG/106102-025_SID_1.jpg</t>
  </si>
  <si>
    <t>https://dd3ka9h4chfr8.cloudfront.net/image/725136000567/image_vt91bno2l900ddm8shsoudod46/-FJPG/106102-025_ESS.tif</t>
  </si>
  <si>
    <t>https://dd3ka9h4chfr8.cloudfront.net/image/725136000567/image_ocha4n5u0d5f92q6rvrtn6p56b/-FJPG/106102-025_DET_2.jpg</t>
  </si>
  <si>
    <t>https://dd3ka9h4chfr8.cloudfront.net/image/725136000567/image_hpqeeb6r5t575cpvhibh9ucj6k/-FJPG/106102-025_BCK_1.jpg</t>
  </si>
  <si>
    <t>https://dd3ka9h4chfr8.cloudfront.net/image/725136000567/image_lfkf3s1ccp0e77hsns1kdp8b2u/-FJPG/106102-025_INF_1.jpg</t>
  </si>
  <si>
    <t>https://dd3ka9h4chfr8.cloudfront.net/image/725136000567/image_esn4f1gftd3lfcdb0pt97c020h/-FJPG/106102-025_DET_1.jpg</t>
  </si>
  <si>
    <t>https://dd3ka9h4chfr8.cloudfront.net/image/725136000567/image_2p10nm1hj51it1pjave59ash16/-FJPG/106102-025_DET_3.jpg</t>
  </si>
  <si>
    <t>https://dd3ka9h4chfr8.cloudfront.net/image/725136000567/image_ml6bslrvdh0kj2kcj47m9g3530/-FJPG/106102-025_DET_4.jpg</t>
  </si>
  <si>
    <t>Complete Item/L-Shape</t>
  </si>
  <si>
    <t>106102-035</t>
  </si>
  <si>
    <t>Aurora Swivel Chair - Patton Burnish</t>
  </si>
  <si>
    <t>Patton Burnish</t>
  </si>
  <si>
    <t>Intriguing while inviting. Drum-style seating is upholstered in a soothing and warm rust umber hue. A swivel base of natural parawood places a fresh spin on a feminine form.</t>
  </si>
  <si>
    <t>https://dd3ka9h4chfr8.cloudfront.net/image/725136000567/image_8h80ma4a7126tad6v11nbjoa7v/-S150x150-FJPG/106102-035_PRM_1.jpg</t>
  </si>
  <si>
    <t>https://dd3ka9h4chfr8.cloudfront.net/image/725136000567/image_npqm2sf1a56ln8bui65jsme67b/-FJPG/106102-035_FRT_1.jpg</t>
  </si>
  <si>
    <t>https://dd3ka9h4chfr8.cloudfront.net/image/725136000567/image_8h80ma4a7126tad6v11nbjoa7v/-FJPG/106102-035_PRM_1.jpg</t>
  </si>
  <si>
    <t>https://dd3ka9h4chfr8.cloudfront.net/image/725136000567/image_rkc2bc03hd6k93fprkiqc25c7o/-FJPG/106102-035_SID_1.jpg</t>
  </si>
  <si>
    <t>https://dd3ka9h4chfr8.cloudfront.net/image/725136000567/image_shk6aqkjr10759qnouh8iqpf1k/-FJPG/106102-035_ESS_1.jpg</t>
  </si>
  <si>
    <t>https://dd3ka9h4chfr8.cloudfront.net/image/725136000567/image_s3fknm19u51hl6jqk9ghv54e2m/-FJPG/106102-035_DET_2.jpg</t>
  </si>
  <si>
    <t>https://dd3ka9h4chfr8.cloudfront.net/image/725136000567/image_6mqu5cbrv14fd0prer2vggp71i/-FJPG/106102-035_BCK_1.jpg</t>
  </si>
  <si>
    <t>https://dd3ka9h4chfr8.cloudfront.net/image/725136000567/image_2l26e74mnt49r2fq5954hpv40o/-FJPG/106102-035_DET_1.jpg</t>
  </si>
  <si>
    <t>https://dd3ka9h4chfr8.cloudfront.net/image/725136000567/image_u8kc0mpcrh3djddd5vernpr02a/-FJPG/106102-035_DET_3.jpg</t>
  </si>
  <si>
    <t>https://dd3ka9h4chfr8.cloudfront.net/image/725136000567/image_30t3jn420548t55h2u6i9mo52b/-FJPG/106102-035_DET_4.jpg</t>
  </si>
  <si>
    <t>https://dd3ka9h4chfr8.cloudfront.net/image/725136000567/image_oetsrestip7tp73tdu9mbtbk7q/-FJPG/106102-035_DET_5.jpg</t>
  </si>
  <si>
    <t>DC (dry clean only)</t>
  </si>
  <si>
    <t>106102-036</t>
  </si>
  <si>
    <t>Aurora Swivel Chair - FIQA Boucle Olive</t>
  </si>
  <si>
    <t>FIQA Boucle Olive</t>
  </si>
  <si>
    <t>Intriguing while inviting. Drum-style seating is upholstered in a soothing and textural olive boucle. A swivel base of distressed natural parawood places a fresh spin on a feminine form. Easy to clean and made from fully recyclable materials, Fiqa fabrics are machine-washable, stain-resistant, water-repellent and antimicrobial.</t>
  </si>
  <si>
    <t>https://dd3ka9h4chfr8.cloudfront.net/image/725136000567/image_8i5rhf254h029207jmtjrhge2f/-S150x150-FJPG/106102-036_PRM_1.jpg</t>
  </si>
  <si>
    <t>https://dd3ka9h4chfr8.cloudfront.net/image/725136000567/image_hj3q8jb8e12gv9d24jo4h35q0i/-FJPG/106102-036_FRT_1.jpg</t>
  </si>
  <si>
    <t>https://dd3ka9h4chfr8.cloudfront.net/image/725136000567/image_8i5rhf254h029207jmtjrhge2f/-FJPG/106102-036_PRM_1.jpg</t>
  </si>
  <si>
    <t>https://dd3ka9h4chfr8.cloudfront.net/image/725136000567/image_1vn3r90h5557j7nm8o1bq91762/-FJPG/106102-036_SID_1.jpg</t>
  </si>
  <si>
    <t>https://dd3ka9h4chfr8.cloudfront.net/image/725136000567/image_j7agg26fs11u35aca8h5659719/-FJPG/106102-036_ESS_1.jpg</t>
  </si>
  <si>
    <t>https://dd3ka9h4chfr8.cloudfront.net/image/725136000567/image_cnbeup6cqp7lbblkgtfg4k6f5h/-FJPG/106102-036_DET_2.jpg</t>
  </si>
  <si>
    <t>https://dd3ka9h4chfr8.cloudfront.net/image/725136000567/image_emcs5qfmc93nvdhan68pju2947/-FJPG/106102-036_BCK_1.jpg</t>
  </si>
  <si>
    <t>https://dd3ka9h4chfr8.cloudfront.net/image/725136000567/image_nqi7fs1vrt2kt38jdje9c3pp19/-FJPG/106102-036_DET_1.jpg</t>
  </si>
  <si>
    <t>https://dd3ka9h4chfr8.cloudfront.net/image/725136000567/image_mrao8205ch5v14o9e099htrq2i/-FJPG/106102-036_DET_3.jpg</t>
  </si>
  <si>
    <t>https://dd3ka9h4chfr8.cloudfront.net/image/725136000567/image_vp19hm8gqh3rl7t8faqlvoii0i/-FJPG/106102-036_DET_4.jpg</t>
  </si>
  <si>
    <t>https://dd3ka9h4chfr8.cloudfront.net/image/725136000567/image_5pe2lhkgi55o3fuui8upiclf70/-FJPG/106102-036_DET_5.jpg</t>
  </si>
  <si>
    <t>https://dd3ka9h4chfr8.cloudfront.net/image/725136000567/image_ns4fo5kafh48va61cgg2s0sn1n/-FJPG/106102-036_DET_6.jpg</t>
  </si>
  <si>
    <t>https://dd3ka9h4chfr8.cloudfront.net/image/725136000567/image_4g8qd8001p32fe8ouv23sg7u6r/-FJPG/106102-036_PRM_2.jpg</t>
  </si>
  <si>
    <t>106102-037</t>
  </si>
  <si>
    <t>Aurora Swivel Chair - Balkan Ochre</t>
  </si>
  <si>
    <t>Intriguing and inviting, this drum-style, 360-degee swivel chair is coveredÂ in an abstract, Tibetan-inspired landscape motif, woven from soft chenille yarns with subtle texture for added depth, dimension and drama.</t>
  </si>
  <si>
    <t>https://dd3ka9h4chfr8.cloudfront.net/image/725136000567/image_gvc73emqk565fd7rni98vo2s2r/-S150x150-FJPG/106102-037_PRM_1.JPG</t>
  </si>
  <si>
    <t>https://dd3ka9h4chfr8.cloudfront.net/image/725136000567/image_rk56d7gsud7b94p6o9m8bt7a24/-FJPG/106102-037_FRT_1.JPG</t>
  </si>
  <si>
    <t>https://dd3ka9h4chfr8.cloudfront.net/image/725136000567/image_gvc73emqk565fd7rni98vo2s2r/-FJPG/106102-037_PRM_1.JPG</t>
  </si>
  <si>
    <t>https://dd3ka9h4chfr8.cloudfront.net/image/725136000567/image_uqbbnci69p1gt5659c26ppti2c/-FJPG/106102-037_SID_1.JPG</t>
  </si>
  <si>
    <t>https://dd3ka9h4chfr8.cloudfront.net/image/725136000567/image_m4qb78ljeh32raogbntmcnco11/-FJPG/106102-037_ESS.tif</t>
  </si>
  <si>
    <t>https://dd3ka9h4chfr8.cloudfront.net/image/725136000567/image_8rebgcng993q91c3q8a34jk05r/-FJPG/106102-037_DET_2.JPG</t>
  </si>
  <si>
    <t>https://dd3ka9h4chfr8.cloudfront.net/image/725136000567/image_bi63hs04e55a7be1iedcbqvm12/-FJPG/106102-037_BCK_1.JPG</t>
  </si>
  <si>
    <t>https://dd3ka9h4chfr8.cloudfront.net/image/725136000567/image_127at9a91p1gre90r8f0619j34/-FJPG/106102-037_DET_1.JPG</t>
  </si>
  <si>
    <t>https://dd3ka9h4chfr8.cloudfront.net/image/725136000567/image_385vi2et1l1hdbmopnvnvim33n/-FJPG/106102-037_DET_3.JPG</t>
  </si>
  <si>
    <t>https://dd3ka9h4chfr8.cloudfront.net/image/725136000567/image_i6ecorcujd10lc58f2eeos665h/-FJPG/106102-037_DET_4.JPG</t>
  </si>
  <si>
    <t>https://dd3ka9h4chfr8.cloudfront.net/image/725136000567/image_ba5s897bnd3f5blhoj1bk2ro2v/-FJPG/106102-037_DET_5.JPG</t>
  </si>
  <si>
    <t>https://dd3ka9h4chfr8.cloudfront.net/image/725136000567/image_258p5audop29deeou5ug8u0c1l/-FJPG/FHMPRJ-018_SCENE-5.tif</t>
  </si>
  <si>
    <t>106103-005</t>
  </si>
  <si>
    <t>Diana Chair - Heirloom Black</t>
  </si>
  <si>
    <t>Effortlessly cool. Upholstered in black heirloom leather, angular track arms complement supple cushioning, with exposed wood framing for contrast and effect. Sourced from one of the oldest family-owned tanneries in Italyâ€™s Bassano del Grappa, heirloom leather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</si>
  <si>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https://dd3ka9h4chfr8.cloudfront.net/image/725136000567/image_khq32l25113lf43sags68a0v74/-S150x150-FJPG/106103-005_PRM_1.JPG</t>
  </si>
  <si>
    <t>https://dd3ka9h4chfr8.cloudfront.net/image/725136000567/image_s150prom354rt0s4ios8a7bo50/-FJPG/106103-005_FRT_1.JPG</t>
  </si>
  <si>
    <t>https://dd3ka9h4chfr8.cloudfront.net/image/725136000567/image_khq32l25113lf43sags68a0v74/-FJPG/106103-005_PRM_1.JPG</t>
  </si>
  <si>
    <t>https://dd3ka9h4chfr8.cloudfront.net/image/725136000567/image_kms8d34tbd2r1659uhfb3lk67h/-FJPG/106103-005_SID_1.JPG</t>
  </si>
  <si>
    <t>https://dd3ka9h4chfr8.cloudfront.net/image/725136000567/image_4qe4643n017ltamvo7n6dfpg15/-FJPG/106103-005_ESS_1.jpg</t>
  </si>
  <si>
    <t>https://dd3ka9h4chfr8.cloudfront.net/image/725136000567/image_cv7ndtal15157dmn0p7pko4i37/-FJPG/106103-005_DET_2.JPG</t>
  </si>
  <si>
    <t>https://dd3ka9h4chfr8.cloudfront.net/image/725136000567/image_s3as21kopd3f54vge1g1digv2i/-FJPG/106103-005_BCK_1.JPG</t>
  </si>
  <si>
    <t>https://dd3ka9h4chfr8.cloudfront.net/image/725136000567/image_nlqfpeqoed0at0605uigsrd069/-FJPG/106103-005_DET_1.JPG</t>
  </si>
  <si>
    <t>https://dd3ka9h4chfr8.cloudfront.net/image/725136000567/image_6fu2sptq1h2m9ch7ala1o6o343/-FJPG/106103-005_DET_3.JPG</t>
  </si>
  <si>
    <t>https://dd3ka9h4chfr8.cloudfront.net/image/725136000567/image_1hfs43rnt92vh73cm86mk34n6e/-FJPG/106103-005_DET_4.JPG</t>
  </si>
  <si>
    <t>https://dd3ka9h4chfr8.cloudfront.net/image/725136000567/image_ma5d3cb4od0lt8h8du9ov6432r/-FJPG/106103-005_DET_5.JPG</t>
  </si>
  <si>
    <t>https://dd3ka9h4chfr8.cloudfront.net/image/725136000567/image_kl7ulk4b7h2t51qjimc7e80o26/-FJPG/106103-005_PRM_2.JPG</t>
  </si>
  <si>
    <t>Diana</t>
  </si>
  <si>
    <t>29.50"</t>
  </si>
  <si>
    <t>106113-011</t>
  </si>
  <si>
    <t>Newhall Bed - 55" - Vintage Tobacco</t>
  </si>
  <si>
    <t>Subtle, modern elegance. A low, tufted headboard in a vintage tobacco-finished faux leather pairs with a simple gunmetal iron base.</t>
  </si>
  <si>
    <t>https://dd3ka9h4chfr8.cloudfront.net/image/725136000567/image_vdbjcj58gl7b13cr1qfc5up30p/-S150x150-FJPG/106113-011_PRM_1.jpg</t>
  </si>
  <si>
    <t>https://dd3ka9h4chfr8.cloudfront.net/image/725136000567/image_7m80lmj0qd6kja0dshju47h44q/-FJPG/106113-011_FRT_1.jpg</t>
  </si>
  <si>
    <t>https://dd3ka9h4chfr8.cloudfront.net/image/725136000567/image_vdbjcj58gl7b13cr1qfc5up30p/-FJPG/106113-011_PRM_1.jpg</t>
  </si>
  <si>
    <t>https://dd3ka9h4chfr8.cloudfront.net/image/725136000567/image_dclueeophh1jb7ivs428hu2q0u/-FJPG/106113-011_SID_1.jpg</t>
  </si>
  <si>
    <t>https://dd3ka9h4chfr8.cloudfront.net/image/725136000567/image_bsjv7j4bch26t3f33f1o22e11q/-FJPG/106113-011_DET_2.jpg</t>
  </si>
  <si>
    <t>https://dd3ka9h4chfr8.cloudfront.net/image/725136000567/image_dtmgrp07hd7bfd6ojpfv6kvk2t/-FJPG/106113-011_BCK_1.jpg</t>
  </si>
  <si>
    <t>https://dd3ka9h4chfr8.cloudfront.net/image/725136000567/image_kqmp46fk090o78ml5u2vr27h3o/-FJPG/106113-011_DET_1.jpg</t>
  </si>
  <si>
    <t>https://dd3ka9h4chfr8.cloudfront.net/image/725136000567/image_t23boab3350q3be6rogfhbag69/-FJPG/106113-011_DET_3.jpg</t>
  </si>
  <si>
    <t>https://dd3ka9h4chfr8.cloudfront.net/image/725136000567/image_o32kta9psp56hc2gtje43k083o/-FJPG/106113-011_DET_4.jpg</t>
  </si>
  <si>
    <t>https://dd3ka9h4chfr8.cloudfront.net/image/725136000567/image_vp7mlcfj71587c55duafhd6p6g/-FJPG/106113-011_DET_5.jpg</t>
  </si>
  <si>
    <t>Footboard &amp; Slats</t>
  </si>
  <si>
    <t>55.00"</t>
  </si>
  <si>
    <t>106113-012</t>
  </si>
  <si>
    <t>https://dd3ka9h4chfr8.cloudfront.net/image/725136000567/image_g0etemlosp7uj81jtid4s6cg09/-S150x150-FJPG/106113-012_PRM_1.jpg</t>
  </si>
  <si>
    <t>https://dd3ka9h4chfr8.cloudfront.net/image/725136000567/image_7pnqp2l1kh0i31peb9a3gpqn79/-FJPG/106113-012_FRT_1.jpg</t>
  </si>
  <si>
    <t>https://dd3ka9h4chfr8.cloudfront.net/image/725136000567/image_g0etemlosp7uj81jtid4s6cg09/-FJPG/106113-012_PRM_1.jpg</t>
  </si>
  <si>
    <t>https://dd3ka9h4chfr8.cloudfront.net/image/725136000567/image_04l20gnech6nv9n47i84g6c97s/-FJPG/106113-012_SID_1.jpg</t>
  </si>
  <si>
    <t>https://dd3ka9h4chfr8.cloudfront.net/image/725136000567/image_67kc2ddn9l28j5tg6bflu1dn31/-FJPG/106113-012_DET_2.jpg</t>
  </si>
  <si>
    <t>https://dd3ka9h4chfr8.cloudfront.net/image/725136000567/image_n7bm57nu9t0dddnalsj21v543s/-FJPG/106113-012_BCK_1.jpg</t>
  </si>
  <si>
    <t>https://dd3ka9h4chfr8.cloudfront.net/image/725136000567/image_0a7cmjds25429c4klh8jl7jt2o/-FJPG/106113-012_DET_1.jpg</t>
  </si>
  <si>
    <t>https://dd3ka9h4chfr8.cloudfront.net/image/725136000567/image_sgme0sp8b90l15uujcja3ad21n/-FJPG/106113-012_DET_3.jpg</t>
  </si>
  <si>
    <t>https://dd3ka9h4chfr8.cloudfront.net/image/725136000567/image_c6qp4jfcc10sf7vt11o6kllo0o/-FJPG/106113-012_DET_4.jpg</t>
  </si>
  <si>
    <t>https://dd3ka9h4chfr8.cloudfront.net/image/725136000567/image_f615ernqlp42t6fpvqctqa6o70/-FJPG/106113-012_DET_5.jpg</t>
  </si>
  <si>
    <t>106119-005</t>
  </si>
  <si>
    <t>Sinclair Large Round Ottoman - Harness Burlap</t>
  </si>
  <si>
    <t>Upholstered in light top-grain leather and paired with a solid ash base, this wide, round ottoman can be placed just about anywhere â€“ bringing with it a retro vibe. Style with a tray as a design-forward coffee table.</t>
  </si>
  <si>
    <t>https://dd3ka9h4chfr8.cloudfront.net/image/725136000567/image_0l5h76u7qh0mh3mrjakhk2bj33/-S150x150-FJPG/106119-005_PRM_1.jpg</t>
  </si>
  <si>
    <t>https://dd3ka9h4chfr8.cloudfront.net/image/725136000567/image_eol0m8k6ql6v7fjgab0236tm0u/-FJPG/106119-005_FRT_1.jpg</t>
  </si>
  <si>
    <t>https://dd3ka9h4chfr8.cloudfront.net/image/725136000567/image_0l5h76u7qh0mh3mrjakhk2bj33/-FJPG/106119-005_PRM_1.jpg</t>
  </si>
  <si>
    <t>https://dd3ka9h4chfr8.cloudfront.net/image/725136000567/image_gfj0oi057t4cdd5h1ghmqm930q/-FJPG/106119-005_SID_1.jpg</t>
  </si>
  <si>
    <t>https://dd3ka9h4chfr8.cloudfront.net/image/725136000567/image_g9cpk9rc5t2f32kfcnmqrhmi0h/-FJPG/106119-005_ESS_1.jpg</t>
  </si>
  <si>
    <t>https://dd3ka9h4chfr8.cloudfront.net/image/725136000567/image_ag7fjg27k51h562k2fe8r2if4f/-FJPG/106119-005_DET_2.jpg</t>
  </si>
  <si>
    <t>https://dd3ka9h4chfr8.cloudfront.net/image/725136000567/image_rli5pgmnc54l17oc5n4t8hs955/-FJPG/106119-005_DET_1.jpg</t>
  </si>
  <si>
    <t>https://dd3ka9h4chfr8.cloudfront.net/image/725136000567/image_jqpg6vduad40ldqh15vov03d46/-FJPG/106119-005_DET_3.jpg</t>
  </si>
  <si>
    <t>https://dd3ka9h4chfr8.cloudfront.net/image/725136000567/image_thkpu2r4rt3d179q0i1a9p0s6h/-FJPG/106119-005_DET_4.jpg</t>
  </si>
  <si>
    <t>106119-019</t>
  </si>
  <si>
    <t>Sinclair Large Round Ottoman - Surrey Olive</t>
  </si>
  <si>
    <t>Surrey Olive</t>
  </si>
  <si>
    <t>Upholstered in a deep olive velvet and paired with a  rich brown base, this wide, round ottoman can be placed just about anywhere â€“ bringing with it a luxe vibe. Style with a tray as a design-forward coffee table.</t>
  </si>
  <si>
    <t>https://dd3ka9h4chfr8.cloudfront.net/image/725136000567/image_rjn1d2ci7120vbompkv3ktm11t/-S150x150-FJPG/106119-019_PRM_1.jpg</t>
  </si>
  <si>
    <t>https://dd3ka9h4chfr8.cloudfront.net/image/725136000567/image_stomi39kv91lt0kkh0kgr00r0l/-FJPG/106119-019_FRT_1.jpg</t>
  </si>
  <si>
    <t>https://dd3ka9h4chfr8.cloudfront.net/image/725136000567/image_rjn1d2ci7120vbompkv3ktm11t/-FJPG/106119-019_PRM_1.jpg</t>
  </si>
  <si>
    <t>https://dd3ka9h4chfr8.cloudfront.net/image/725136000567/image_8uselct89d3hl6aa7bl7dtkl58/-FJPG/106119-019_SID_1.jpg</t>
  </si>
  <si>
    <t>https://dd3ka9h4chfr8.cloudfront.net/image/725136000567/image_cl6vk525891318a6c9lfnqde1h/-FJPG/106119-019_DET_2.jpg</t>
  </si>
  <si>
    <t>https://dd3ka9h4chfr8.cloudfront.net/image/725136000567/image_go2oausfbt7gj187mtdqcffo26/-FJPG/106119-019_DET_1.jpg</t>
  </si>
  <si>
    <t>https://dd3ka9h4chfr8.cloudfront.net/image/725136000567/image_h58hkekfh94f99odmsge22m248/-FJPG/106119-019_DET_3.jpg</t>
  </si>
  <si>
    <t>106119-020</t>
  </si>
  <si>
    <t>Sinclair Large Round Ottoman - Manchester Flint</t>
  </si>
  <si>
    <t>Upholstered in a classic cream-and-grey striped flax/linen blend and paired with a solid brown wood base, this  large, round ottoman can be placed just about anywhere, bringing with it a traditional vibe. Style with a tray as a design-forward coffee table.</t>
  </si>
  <si>
    <t>https://dd3ka9h4chfr8.cloudfront.net/image/725136000567/image_jupoptdt0h0gl0crpecrmmnu25/-S150x150-FJPG/106119-020_PRM_1.jpg</t>
  </si>
  <si>
    <t>https://dd3ka9h4chfr8.cloudfront.net/image/725136000567/image_k3v5ignabp35r2sp1dna496800/-FJPG/106119-020_FRT_1.jpg</t>
  </si>
  <si>
    <t>https://dd3ka9h4chfr8.cloudfront.net/image/725136000567/image_jupoptdt0h0gl0crpecrmmnu25/-FJPG/106119-020_PRM_1.jpg</t>
  </si>
  <si>
    <t>https://dd3ka9h4chfr8.cloudfront.net/image/725136000567/image_j1d9h8jnkp3ff87j7pfbj4h22b/-FJPG/106119-020_SID_1.jpg</t>
  </si>
  <si>
    <t>https://dd3ka9h4chfr8.cloudfront.net/image/725136000567/image_058ts8fa916vp9ukuabgu1pb17/-FJPG/106119-020_DET_2.jpg</t>
  </si>
  <si>
    <t>https://dd3ka9h4chfr8.cloudfront.net/image/725136000567/image_pab4890ebh3nj7k99h7bgrb75n/-FJPG/106119-020_DET_1.jpg</t>
  </si>
  <si>
    <t>https://dd3ka9h4chfr8.cloudfront.net/image/725136000567/image_ppold7p8cd7333qdst8n8o5r7q/-FJPG/106119-020_DET_3.jpg</t>
  </si>
  <si>
    <t>https://dd3ka9h4chfr8.cloudfront.net/image/725136000567/image_lp76cmroo90r9bh97up8fpi033/-FJPG/106119-020_DET_4.jpg</t>
  </si>
  <si>
    <t>https://dd3ka9h4chfr8.cloudfront.net/image/725136000567/image_dlno01gp7t2k51kqcjmovpph6q/-FJPG/106119-020_DET_5.jpg</t>
  </si>
  <si>
    <t>106119-021</t>
  </si>
  <si>
    <t>Sinclair Large Round Ottoman - Balkan Ochre</t>
  </si>
  <si>
    <t>Upholstered in an abstract, Tibetan-inspired landscape motif, woven from soft chenille yarns with subtle texture for added depth, dimension and drama. This large, round ottoman can be placed just about anywhere. Style with a tray as a design-forward coffee table.</t>
  </si>
  <si>
    <t>https://dd3ka9h4chfr8.cloudfront.net/image/725136000567/image_a0l6eisi5l65n8474q13omcs7n/-S150x150-FJPG/106119-021_PRM_1.jpg</t>
  </si>
  <si>
    <t>https://dd3ka9h4chfr8.cloudfront.net/image/725136000567/image_24j3b7a14p3g78snrfubj4rh2m/-FJPG/106119-021_FRT_1.jpg</t>
  </si>
  <si>
    <t>https://dd3ka9h4chfr8.cloudfront.net/image/725136000567/image_a0l6eisi5l65n8474q13omcs7n/-FJPG/106119-021_PRM_1.jpg</t>
  </si>
  <si>
    <t>https://dd3ka9h4chfr8.cloudfront.net/image/725136000567/image_epn0edihll1a71tjg92t1qki7e/-FJPG/106119-021_SID_1.jpg</t>
  </si>
  <si>
    <t>https://dd3ka9h4chfr8.cloudfront.net/image/725136000567/image_jh62p0hf494kl609l4d8g0604u/-FJPG/106119-021_ESS.tif</t>
  </si>
  <si>
    <t>https://dd3ka9h4chfr8.cloudfront.net/image/725136000567/image_4et67eu41974n5qs02v54k3e51/-FJPG/106119-021_BCK_1.jpg</t>
  </si>
  <si>
    <t>https://dd3ka9h4chfr8.cloudfront.net/image/725136000567/image_ce1fp9tt4d2p5baedm1vh49g27/-FJPG/106119-021_DET_1.jpg</t>
  </si>
  <si>
    <t>https://dd3ka9h4chfr8.cloudfront.net/image/725136000567/image_1uuvk3lrdp4b99olg8jlqhm600/-FJPG/106119-021_DET_9.tif</t>
  </si>
  <si>
    <t>https://dd3ka9h4chfr8.cloudfront.net/image/725136000567/image_dfdlgfn40p3n54mhkci8bqhb05/-FJPG/106119-021_DET_10.tif</t>
  </si>
  <si>
    <t>https://dd3ka9h4chfr8.cloudfront.net/image/725136000567/image_1bdn9lqdo10lp3t7evst45h00c/-FJPG/106119-021_FRT_2.jpg</t>
  </si>
  <si>
    <t>https://dd3ka9h4chfr8.cloudfront.net/image/725136000567/image_ca41ps5mpd3mv1qb2pah10a53h/-FJPG/106119-021_FRT_3.jpg</t>
  </si>
  <si>
    <t>https://dd3ka9h4chfr8.cloudfront.net/image/725136000567/image_qihkn7p2e92fv7ohqo1n3rn43l/-FJPG/106119-021_FRT_4.jpg</t>
  </si>
  <si>
    <t>https://dd3ka9h4chfr8.cloudfront.net/image/725136000567/image_s0ktm37n6l7epegu3pbtu5bp1f/-FJPG/106119-021_FRT_5.jpg</t>
  </si>
  <si>
    <t>106119-022</t>
  </si>
  <si>
    <t>Sinclair Large Round Ottoman - Sheffield Ivory</t>
  </si>
  <si>
    <t>This large, round ottoman upholstered in traditional ivory fabric with a classic box print can be placed just about anywhere, bringing with it a polished vibe. Style with a tray as a design-forward coffee table.</t>
  </si>
  <si>
    <t>https://dd3ka9h4chfr8.cloudfront.net/image/725136000567/image_jpli5fclc17jve61cc7sla5417/-S150x150-FJPG/106119-022_PRM_1.jpg</t>
  </si>
  <si>
    <t>https://dd3ka9h4chfr8.cloudfront.net/image/725136000567/image_rsvc68ar910259uqmgaesik828/-FJPG/106119-022_FRT_1.jpg</t>
  </si>
  <si>
    <t>https://dd3ka9h4chfr8.cloudfront.net/image/725136000567/image_jpli5fclc17jve61cc7sla5417/-FJPG/106119-022_PRM_1.jpg</t>
  </si>
  <si>
    <t>https://dd3ka9h4chfr8.cloudfront.net/image/725136000567/image_1nrk3mg15t52v8nkqv9bqp3e7v/-FJPG/106119-022_SID_1.jpg</t>
  </si>
  <si>
    <t>https://dd3ka9h4chfr8.cloudfront.net/image/725136000567/image_jajihr7ch16op3ng0ogl1vbo1u/-FJPG/106119-022_DET_2.jpg</t>
  </si>
  <si>
    <t>https://dd3ka9h4chfr8.cloudfront.net/image/725136000567/image_13pl9kd8hh67r9i25m0d7tv909/-FJPG/106119-022_BCK_1.jpg</t>
  </si>
  <si>
    <t>https://dd3ka9h4chfr8.cloudfront.net/image/725136000567/image_gqqumtb7b159l0vj6evk7pvn78/-FJPG/106119-022_DET_1.jpg</t>
  </si>
  <si>
    <t>https://dd3ka9h4chfr8.cloudfront.net/image/725136000567/image_5hokjhuo110qfd73svf0qd4t2j/-FJPG/106119-022_DET_3.jpg</t>
  </si>
  <si>
    <t>https://dd3ka9h4chfr8.cloudfront.net/image/725136000567/image_ouf0pdj9gh7vv7nh3kqem8ua0n/-FJPG/106119-022_DET_4.jpg</t>
  </si>
  <si>
    <t>https://dd3ka9h4chfr8.cloudfront.net/image/725136000567/image_j89q07khvd66p6lm8vqbt90v2k/-FJPG/106119-022_DET_5.jpg</t>
  </si>
  <si>
    <t>106124-009</t>
  </si>
  <si>
    <t>Potter Bed - Dover Crescent</t>
  </si>
  <si>
    <t>Light, livable luxury. Upholstered in a cream linen-blend, a tapered headboard features fixed overscale pillows, for a calming look with great depth. Wire-brushed parawood legs lend a warm, natural finishing touch.</t>
  </si>
  <si>
    <t>https://dd3ka9h4chfr8.cloudfront.net/image/725136000567/image_7sl4d08o7d5t9d24qvan4c2t2a/-S150x150-FJPG/106124-009_PRM_1.jpg</t>
  </si>
  <si>
    <t>https://dd3ka9h4chfr8.cloudfront.net/image/725136000567/image_9u7fv1nkqh4gfaevp3bt9b393t/-FJPG/106124-009_FRT_1.jpg</t>
  </si>
  <si>
    <t>https://dd3ka9h4chfr8.cloudfront.net/image/725136000567/image_7sl4d08o7d5t9d24qvan4c2t2a/-FJPG/106124-009_PRM_1.jpg</t>
  </si>
  <si>
    <t>https://dd3ka9h4chfr8.cloudfront.net/image/725136000567/image_lv0n76h2td2vl1p8hdb9jfvs5i/-FJPG/106124-009_SID_1.jpg</t>
  </si>
  <si>
    <t>https://dd3ka9h4chfr8.cloudfront.net/image/725136000567/image_6s6fjbvqi94l71133d8ahi3g4i/-FJPG/236963-010_ESS.tif</t>
  </si>
  <si>
    <t>https://dd3ka9h4chfr8.cloudfront.net/image/725136000567/image_p4q7kgq2pl4pj4326bjk51g27d/-FJPG/106124-009_DET_2.jpg</t>
  </si>
  <si>
    <t>https://dd3ka9h4chfr8.cloudfront.net/image/725136000567/image_08uno22juh72n5nn394c7pe648/-FJPG/106124-009_BCK_1.jpg</t>
  </si>
  <si>
    <t>https://dd3ka9h4chfr8.cloudfront.net/image/725136000567/image_6bk4hma0od32t33q0gv40f114l/-FJPG/106124-009_INF_1.jpg</t>
  </si>
  <si>
    <t>https://dd3ka9h4chfr8.cloudfront.net/image/725136000567/image_hp3o5sd92t61n6tv7cvgf58d68/-FJPG/106124-009_DET_1.jpg</t>
  </si>
  <si>
    <t>https://dd3ka9h4chfr8.cloudfront.net/image/725136000567/image_56q15ddc9h6nn55n8ksbl0a855/-FJPG/106124-009_DET_3.jpg</t>
  </si>
  <si>
    <t>https://dd3ka9h4chfr8.cloudfront.net/image/725136000567/image_ui9tga87ap3u39tcb63g972b7f/-FJPG/106124-009_DET_4.jpg</t>
  </si>
  <si>
    <t>https://dd3ka9h4chfr8.cloudfront.net/image/725136000567/image_uev1fs5uut66net6ipshpthm54/-FJPG/106124-009_DET_5.jpg</t>
  </si>
  <si>
    <t>https://dd3ka9h4chfr8.cloudfront.net/image/725136000567/image_2prr1uul3131hamm6rbmk0bg2b/-FJPG/106124-009_DET_6.jpg</t>
  </si>
  <si>
    <t>https://dd3ka9h4chfr8.cloudfront.net/image/725136000567/image_finio7q7o92sl51ioh73d4el4i/-FJPG/106124-009_DET_7.jpg</t>
  </si>
  <si>
    <t>https://dd3ka9h4chfr8.cloudfront.net/image/725136000567/image_9ut8kk6apl2tt8pfk2dgvqnv7u/-FJPG/106124-009_DET_8.jpg</t>
  </si>
  <si>
    <t>Siderail</t>
  </si>
  <si>
    <t>Slats</t>
  </si>
  <si>
    <t>Potter</t>
  </si>
  <si>
    <t>87% Polyurethane Foam Pad, 13% Polyester Fiber</t>
  </si>
  <si>
    <t>82.50"</t>
  </si>
  <si>
    <t>80.50"</t>
  </si>
  <si>
    <t>77.50"</t>
  </si>
  <si>
    <t>11.00"</t>
  </si>
  <si>
    <t>75.50"</t>
  </si>
  <si>
    <t>106124-010</t>
  </si>
  <si>
    <t>https://dd3ka9h4chfr8.cloudfront.net/image/725136000567/image_e4edt3lun158d20t695j5ggk7j/-S150x150-FJPG/106124-010_PRM_1.jpg</t>
  </si>
  <si>
    <t>https://dd3ka9h4chfr8.cloudfront.net/image/725136000567/image_dn90e927cp5e1ek2pr8c2fd17d/-FJPG/106124-010_FRT_1.jpg</t>
  </si>
  <si>
    <t>https://dd3ka9h4chfr8.cloudfront.net/image/725136000567/image_e4edt3lun158d20t695j5ggk7j/-FJPG/106124-010_PRM_1.jpg</t>
  </si>
  <si>
    <t>https://dd3ka9h4chfr8.cloudfront.net/image/725136000567/image_1nfjklq86l16hblp8ccidk2s00/-FJPG/106124-010_SID_1.jpg</t>
  </si>
  <si>
    <t>https://dd3ka9h4chfr8.cloudfront.net/image/725136000567/image_khn6rjvug52i95nvh0qat9ac2a/-FJPG/106124-010_DET_2.jpg</t>
  </si>
  <si>
    <t>https://dd3ka9h4chfr8.cloudfront.net/image/725136000567/image_tcef38a7kh22d1vvsh928hfv64/-FJPG/106124-010_BCK_1.jpg</t>
  </si>
  <si>
    <t>https://dd3ka9h4chfr8.cloudfront.net/image/725136000567/image_1ppkjo9eep2ufd8ogtrrilnd47/-FJPG/106124-010_INF_1.jpg</t>
  </si>
  <si>
    <t>https://dd3ka9h4chfr8.cloudfront.net/image/725136000567/image_9c840vddl93vr6035bp0opp97p/-FJPG/106124-010_DET_1.jpg</t>
  </si>
  <si>
    <t>https://dd3ka9h4chfr8.cloudfront.net/image/725136000567/image_e3nt0hrckl6pf0on4n9179cj43/-FJPG/106124-010_DET_3.jpg</t>
  </si>
  <si>
    <t>https://dd3ka9h4chfr8.cloudfront.net/image/725136000567/image_dnaar982vp14ncdinhi55u5860/-FJPG/106124-010_DET_4.jpg</t>
  </si>
  <si>
    <t>https://dd3ka9h4chfr8.cloudfront.net/image/725136000567/image_n0opk7ocr9035291u12rt2pm5k/-FJPG/106124-010_DET_5.jpg</t>
  </si>
  <si>
    <t>https://dd3ka9h4chfr8.cloudfront.net/image/725136000567/image_5a1d03n9id3hb65m7j5rnq5u4l/-FJPG/106124-010_DET_6.jpg</t>
  </si>
  <si>
    <t>https://dd3ka9h4chfr8.cloudfront.net/image/725136000567/image_9m981dtckd2f95j7dnssv2qq4b/-FJPG/106124-010_DET_7.jpg</t>
  </si>
  <si>
    <t>https://dd3ka9h4chfr8.cloudfront.net/image/725136000567/image_48gmrg6tdt2vj4fvq8ngp5ah6n/-FJPG/106124-010_DET_8.jpg</t>
  </si>
  <si>
    <t>Hd/Fb</t>
  </si>
  <si>
    <t>66.00"</t>
  </si>
  <si>
    <t>61.00"</t>
  </si>
  <si>
    <t>59.00"</t>
  </si>
  <si>
    <t>106124-011</t>
  </si>
  <si>
    <t>Potter Bed - Manor Grey</t>
  </si>
  <si>
    <t>Manor Grey</t>
  </si>
  <si>
    <t>Light, livable luxury. Upholstered in a grey synthetic-blend, a tapered headboard features fixed overscale pillows, for a calming look with great depth. Wire-brushed parawood legs lend a warm, natural finishing touch. Performance fabrics are specially created to withstand spills, stains, high traffic and wear, ensuring long-term comfort and unmatched durability.</t>
  </si>
  <si>
    <t>https://dd3ka9h4chfr8.cloudfront.net/image/725136000567/image_n44n7duv1l7n11rhtb4mtsbn1v/-S150x150-FJPG/106124-011_PRM_1.jpg</t>
  </si>
  <si>
    <t>https://dd3ka9h4chfr8.cloudfront.net/image/725136000567/image_j30f5soka50erck99aaim3sn7v/-FJPG/106124-011_FRT_1.jpg</t>
  </si>
  <si>
    <t>https://dd3ka9h4chfr8.cloudfront.net/image/725136000567/image_n44n7duv1l7n11rhtb4mtsbn1v/-FJPG/106124-011_PRM_1.jpg</t>
  </si>
  <si>
    <t>https://dd3ka9h4chfr8.cloudfront.net/image/725136000567/image_tfvh5p1idh60d3jiptlv16b367/-FJPG/106124-011_SID_1.jpg</t>
  </si>
  <si>
    <t>https://dd3ka9h4chfr8.cloudfront.net/image/725136000567/image_9qg2di0r0p71n1g68dcmu9mr74/-FJPG/106124-011_ESS_1.jpg</t>
  </si>
  <si>
    <t>https://dd3ka9h4chfr8.cloudfront.net/image/725136000567/image_fs01n5r2lp6853n0rve1q3hl3n/-FJPG/106124-011_DET_2.jpg</t>
  </si>
  <si>
    <t>https://dd3ka9h4chfr8.cloudfront.net/image/725136000567/image_meirinoan12ud6m9u8he4o0465/-FJPG/106124-011_BCK_1.jpg</t>
  </si>
  <si>
    <t>https://dd3ka9h4chfr8.cloudfront.net/image/725136000567/image_far55iqu2p1j5d7stitu784i5q/-FJPG/106124-011_DET_1.jpg</t>
  </si>
  <si>
    <t>https://dd3ka9h4chfr8.cloudfront.net/image/725136000567/image_vcbde5dail41n9d0fc51fj626k/-FJPG/106124-011_DET_3.jpg</t>
  </si>
  <si>
    <t>https://dd3ka9h4chfr8.cloudfront.net/image/725136000567/image_2un8v4ekip1ideher2fpf1io51/-FJPG/106124-011_DET_4.jpg</t>
  </si>
  <si>
    <t>https://dd3ka9h4chfr8.cloudfront.net/image/725136000567/image_pn3tof4ue53ndfs6u93p14nq38/-FJPG/106124-011_DET_5.jpg</t>
  </si>
  <si>
    <t>https://dd3ka9h4chfr8.cloudfront.net/image/725136000567/image_im75dnk1193hr8p7ajtj9pu522/-FJPG/106124-011_ROM_1.jpg</t>
  </si>
  <si>
    <t>106124-012</t>
  </si>
  <si>
    <t>https://dd3ka9h4chfr8.cloudfront.net/image/725136000567/image_sj7p6dm12p0rd2fa4p1m5ieq3d/-S150x150-FJPG/106124-012_PRM_1.jpg</t>
  </si>
  <si>
    <t>https://dd3ka9h4chfr8.cloudfront.net/image/725136000567/image_rh2on2tvhp63vaf0s66se0o93e/-FJPG/106124-012_FRT_1.jpg</t>
  </si>
  <si>
    <t>https://dd3ka9h4chfr8.cloudfront.net/image/725136000567/image_sj7p6dm12p0rd2fa4p1m5ieq3d/-FJPG/106124-012_PRM_1.jpg</t>
  </si>
  <si>
    <t>https://dd3ka9h4chfr8.cloudfront.net/image/725136000567/image_v4nv1uohi9347a2c7p2136ia09/-FJPG/106124-012_SID_1.jpg</t>
  </si>
  <si>
    <t>https://dd3ka9h4chfr8.cloudfront.net/image/725136000567/image_e1kccpdqqh42767kng7gled31a/-FJPG/106124-012_DET_2.jpg</t>
  </si>
  <si>
    <t>https://dd3ka9h4chfr8.cloudfront.net/image/725136000567/image_2lm3kgntfd4gpad40nqo6fgb2r/-FJPG/106124-012_BCK_1.jpg</t>
  </si>
  <si>
    <t>https://dd3ka9h4chfr8.cloudfront.net/image/725136000567/image_e4k1hqk4sp6a96ganijsfe7q7b/-FJPG/106124-012_DET_1.jpg</t>
  </si>
  <si>
    <t>https://dd3ka9h4chfr8.cloudfront.net/image/725136000567/image_7dd2o5rnl15pl8j9jn93kf3r2f/-FJPG/106124-012_DET_3.jpg</t>
  </si>
  <si>
    <t>https://dd3ka9h4chfr8.cloudfront.net/image/725136000567/image_sobbp46gh17mdfa4g53h348a4j/-FJPG/106124-012_DET_4.jpg</t>
  </si>
  <si>
    <t>https://dd3ka9h4chfr8.cloudfront.net/image/725136000567/image_4bnfivuldt4b5a2h91pnaat75k/-FJPG/106124-012_DET_5.jpg</t>
  </si>
  <si>
    <t>https://dd3ka9h4chfr8.cloudfront.net/image/725136000567/image_6grhoq77ql5lp8oaonornm0c58/-FJPG/106124-012_ROM_1.jpg</t>
  </si>
  <si>
    <t>https://dd3ka9h4chfr8.cloudfront.net/image/725136000567/image_d1nca5t4cl4u7f8chotr8e857q/-FJPG/106124-012_VIG_1.jpg</t>
  </si>
  <si>
    <t>106124-019</t>
  </si>
  <si>
    <t>Potter Bed - Surrey Olive</t>
  </si>
  <si>
    <t>Burnt Oak</t>
  </si>
  <si>
    <t>Upholstered in a velvety olive with subtle highs and lows that change in appearance depending on the direction of the fabric's nap. Fixed headboard cushioning for adds texture and comfort, while tapered oak legs lend a low-profile look.</t>
  </si>
  <si>
    <t>https://dd3ka9h4chfr8.cloudfront.net/image/725136000567/image_t7nnvvpun97hjd3aq63c0fit76/-S150x150-FJPG/106124-019_PRM_1.jpg</t>
  </si>
  <si>
    <t>https://dd3ka9h4chfr8.cloudfront.net/image/725136000567/image_otvkn52pu170b4ivcvehqhq620/-FJPG/106124-019_FRT_1.jpg</t>
  </si>
  <si>
    <t>https://dd3ka9h4chfr8.cloudfront.net/image/725136000567/image_t7nnvvpun97hjd3aq63c0fit76/-FJPG/106124-019_PRM_1.jpg</t>
  </si>
  <si>
    <t>https://dd3ka9h4chfr8.cloudfront.net/image/725136000567/image_h7h7h0tpht611buf7mb2f2nj64/-FJPG/106124-019_SID_1.jpg</t>
  </si>
  <si>
    <t>https://dd3ka9h4chfr8.cloudfront.net/image/725136000567/image_93q6mnda652ij4d1klpnllh903/-FJPG/106124-019_DET_2.jpg</t>
  </si>
  <si>
    <t>https://dd3ka9h4chfr8.cloudfront.net/image/725136000567/image_44n8omdm1h5khbjmson66tjm4s/-FJPG/106124-019_BCK_1.jpg</t>
  </si>
  <si>
    <t>https://dd3ka9h4chfr8.cloudfront.net/image/725136000567/image_6b24vdh4213ujf06q79fdpdh0n/-FJPG/106124-019_DET_1.jpg</t>
  </si>
  <si>
    <t>https://dd3ka9h4chfr8.cloudfront.net/image/725136000567/image_e995oqc6016hfbeq05s8qaeg2o/-FJPG/106124-019_DET_3.jpg</t>
  </si>
  <si>
    <t>106124-020</t>
  </si>
  <si>
    <t>https://dd3ka9h4chfr8.cloudfront.net/image/725136000567/image_3bv0qlh5qd6f79a835aquva910/-S150x150-FJPG/106124-020_PRM_1.jpg</t>
  </si>
  <si>
    <t>https://dd3ka9h4chfr8.cloudfront.net/image/725136000567/image_q29plujfp92h90igafgivnmq16/-FJPG/106124-020_FRT_1.jpg</t>
  </si>
  <si>
    <t>https://dd3ka9h4chfr8.cloudfront.net/image/725136000567/image_3bv0qlh5qd6f79a835aquva910/-FJPG/106124-020_PRM_1.jpg</t>
  </si>
  <si>
    <t>https://dd3ka9h4chfr8.cloudfront.net/image/725136000567/image_4oqe63p04l1576f6pkk4nhao42/-FJPG/106124-020_SID_1.jpg</t>
  </si>
  <si>
    <t>https://dd3ka9h4chfr8.cloudfront.net/image/725136000567/image_te7nitjt0p1g52qu497uog6n5o/-FJPG/106124-020_ESS_1.jpg</t>
  </si>
  <si>
    <t>https://dd3ka9h4chfr8.cloudfront.net/image/725136000567/image_6ut4hgd8od3dpa6djvu26bt259/-FJPG/106124-020_DET_2.jpg</t>
  </si>
  <si>
    <t>https://dd3ka9h4chfr8.cloudfront.net/image/725136000567/image_fepi085p6p7llao8154ftf6o5l/-FJPG/106124-020_BCK_1.jpg</t>
  </si>
  <si>
    <t>https://dd3ka9h4chfr8.cloudfront.net/image/725136000567/image_odb2bcdjgh79d24irhjvne1d3j/-FJPG/106124-020_DET_1.jpg</t>
  </si>
  <si>
    <t>https://dd3ka9h4chfr8.cloudfront.net/image/725136000567/image_21291ae9sd205c0mmfr7otfl20/-FJPG/106124-020_DET_3.jpg</t>
  </si>
  <si>
    <t>106124-024</t>
  </si>
  <si>
    <t>Twin</t>
  </si>
  <si>
    <t>Welcome light, livable luxury into your bedroom with a fully upholstered bed. A tapered headboard features a fixed oversized cushion of high-performance fabric, creating a soft, layered look.  Understated wooden legs complete the design. Performance fabrics are specially created to withstand spills, stains, high traffic and wear, ensuring long-term comfort and unmatched durability.</t>
  </si>
  <si>
    <t>https://dd3ka9h4chfr8.cloudfront.net/image/725136000567/image_atj4ufqbo93lnenef9iv6vbi2c/-S150x150-FJPG/106124-024_PRM_1.JPG</t>
  </si>
  <si>
    <t>https://dd3ka9h4chfr8.cloudfront.net/image/725136000567/image_ojtgti58f50pb6ojqr24lb8g70/-FJPG/106124-024_FRT_1.JPG</t>
  </si>
  <si>
    <t>https://dd3ka9h4chfr8.cloudfront.net/image/725136000567/image_atj4ufqbo93lnenef9iv6vbi2c/-FJPG/106124-024_PRM_1.JPG</t>
  </si>
  <si>
    <t>https://dd3ka9h4chfr8.cloudfront.net/image/725136000567/image_jf5rscphj97hb689b1jqs81k4k/-FJPG/106124-024_SID_1.JPG</t>
  </si>
  <si>
    <t>https://dd3ka9h4chfr8.cloudfront.net/image/725136000567/image_jkbjmpv6kl38na0mabbsfgbc0u/-FJPG/106124-024_ESS.tif</t>
  </si>
  <si>
    <t>https://dd3ka9h4chfr8.cloudfront.net/image/725136000567/image_5ghqnn94ph4bdc849jagojv138/-FJPG/106124-024_DET_2.JPG</t>
  </si>
  <si>
    <t>https://dd3ka9h4chfr8.cloudfront.net/image/725136000567/image_djgge70g3t7rhddv5ldlunag4l/-FJPG/106124-024_BCK_1.JPG</t>
  </si>
  <si>
    <t>https://dd3ka9h4chfr8.cloudfront.net/image/725136000567/image_ge286ju00d5a3dcrv3frfv2241/-FJPG/106124-024_DET_1.JPG</t>
  </si>
  <si>
    <t>https://dd3ka9h4chfr8.cloudfront.net/image/725136000567/image_53piq7mr6d4atatbu7e6vt997j/-FJPG/106124-024_DET_3.JPG</t>
  </si>
  <si>
    <t>https://dd3ka9h4chfr8.cloudfront.net/image/725136000567/image_jg8aril8hl42d8lmaldgkgnh4t/-FJPG/106124-024_DET_4.JPG</t>
  </si>
  <si>
    <t>https://dd3ka9h4chfr8.cloudfront.net/image/725136000567/image_ajj1n6d91h7b96vmr65ia2vs49/-FJPG/106124-024_DET_5.JPG</t>
  </si>
  <si>
    <t>https://dd3ka9h4chfr8.cloudfront.net/image/725136000567/image_nakqbq2lh96bh1m2vtornanp7h/-FJPG/106124-024_DET_9.tif</t>
  </si>
  <si>
    <t>https://dd3ka9h4chfr8.cloudfront.net/image/725136000567/image_9ombmf9vo11k711eo18e6rc050/-FJPG/106124-024_PRM_2.JPG</t>
  </si>
  <si>
    <t>39.00"</t>
  </si>
  <si>
    <t>106134-006</t>
  </si>
  <si>
    <t>Westwood Sofa - Bennett Charcoal</t>
  </si>
  <si>
    <t>Bennett Charcoal</t>
  </si>
  <si>
    <t>Espresso</t>
  </si>
  <si>
    <t>Solid Banak</t>
  </si>
  <si>
    <t>Everyday lounging, refreshed. Clean lines and charcoal upholstery meet a low, wooden base to keep things classy while casual.</t>
  </si>
  <si>
    <t>https://dd3ka9h4chfr8.cloudfront.net/image/725136000567/image_luacjbl5j90u16mfc5gqkhv12b/-S150x150-FJPG/106134-006_PRM_1.jpg</t>
  </si>
  <si>
    <t>https://dd3ka9h4chfr8.cloudfront.net/image/725136000567/image_l0kdmnpq8t5ataaidnu49c695g/-FJPG/106134-006_FRT_1.jpg</t>
  </si>
  <si>
    <t>https://dd3ka9h4chfr8.cloudfront.net/image/725136000567/image_luacjbl5j90u16mfc5gqkhv12b/-FJPG/106134-006_PRM_1.jpg</t>
  </si>
  <si>
    <t>https://dd3ka9h4chfr8.cloudfront.net/image/725136000567/image_ppjio75vf17tt75o6ld0p0542f/-FJPG/106134-006_SID_1.jpg</t>
  </si>
  <si>
    <t>https://dd3ka9h4chfr8.cloudfront.net/image/725136000567/image_7n72970r4p0rj78r1jankhqk6t/-FJPG/106134-006_ESS_1.jpg</t>
  </si>
  <si>
    <t>https://dd3ka9h4chfr8.cloudfront.net/image/725136000567/image_1qgq59c31l0ghbd5gs38f5h301/-FJPG/106134-006_DET_2.jpg</t>
  </si>
  <si>
    <t>https://dd3ka9h4chfr8.cloudfront.net/image/725136000567/image_jj6vsle8395dtfe6dm0ulq5p1e/-FJPG/106134-006_BCK_1.jpg</t>
  </si>
  <si>
    <t>https://dd3ka9h4chfr8.cloudfront.net/image/725136000567/image_65bkqva6m5275fmaausc4rd16p/-FJPG/106134-006_DET_1.jpg</t>
  </si>
  <si>
    <t>https://dd3ka9h4chfr8.cloudfront.net/image/725136000567/image_u4rktjup255hteml9o696v7g6q/-FJPG/106134-006_DET_3.jpg</t>
  </si>
  <si>
    <t>https://dd3ka9h4chfr8.cloudfront.net/image/725136000567/image_agt73099rh04hei7a4vk164i7q/-FJPG/106134-006_DET_4.jpg</t>
  </si>
  <si>
    <t>https://dd3ka9h4chfr8.cloudfront.net/image/725136000567/image_uk66god3610hte0s8evc5cce0b/-FJPG/106134-006_DET_5.jpg</t>
  </si>
  <si>
    <t>https://dd3ka9h4chfr8.cloudfront.net/image/725136000567/image_ct3l92rpph175ehqmmutsuui0q/-FJPG/106134-006_DET_6.jpg</t>
  </si>
  <si>
    <t>https://dd3ka9h4chfr8.cloudfront.net/image/725136000567/image_5jncmlseh509f08ojlgs5f546g/-FJPG/106134-006_DET_7.jpg</t>
  </si>
  <si>
    <t>https://dd3ka9h4chfr8.cloudfront.net/image/725136000567/image_ciktcjuh410q9dih0armak2t54/-FJPG/106134-006_DET_8.jpg</t>
  </si>
  <si>
    <t>https://dd3ka9h4chfr8.cloudfront.net/image/725136000567/image_pnr8n0p8v1027cradvt93rj85a/-FJPG/106134-006_DET_9.jpg</t>
  </si>
  <si>
    <t>34.50"</t>
  </si>
  <si>
    <t>28.25"</t>
  </si>
  <si>
    <t>17.75"</t>
  </si>
  <si>
    <t>67.75"</t>
  </si>
  <si>
    <t>Westwood</t>
  </si>
  <si>
    <t>40.00"</t>
  </si>
  <si>
    <t>38.50"</t>
  </si>
  <si>
    <t>5.50"</t>
  </si>
  <si>
    <t>106134-007</t>
  </si>
  <si>
    <t>Westwood Sofa - Bennett Moon</t>
  </si>
  <si>
    <t>Bennett Moon</t>
  </si>
  <si>
    <t>Everyday lounging gets a luxurious update. Clean-lined and simply styled, neutral upholstery and a low, wooden base keep things classy while casual.</t>
  </si>
  <si>
    <t>https://dd3ka9h4chfr8.cloudfront.net/image/725136000567/image_o1o1hl3rah05n5litlrol8iu5h/-S150x150-FJPG/106134-007_PRM_1.jpg</t>
  </si>
  <si>
    <t>https://dd3ka9h4chfr8.cloudfront.net/image/725136000567/image_fr6g015k5h7nlb3kj8v33efg51/-FJPG/106134-007_FRT_1.jpg</t>
  </si>
  <si>
    <t>https://dd3ka9h4chfr8.cloudfront.net/image/725136000567/image_o1o1hl3rah05n5litlrol8iu5h/-FJPG/106134-007_PRM_1.jpg</t>
  </si>
  <si>
    <t>https://dd3ka9h4chfr8.cloudfront.net/image/725136000567/image_dom85hkae170bef5p5u9ogr21o/-FJPG/106134-007_SID_1.jpg</t>
  </si>
  <si>
    <t>https://dd3ka9h4chfr8.cloudfront.net/image/725136000567/image_unf9s0ohe96qh1k7lsvtcbrf42/-FJPG/106134-007_ESS_1.jpg</t>
  </si>
  <si>
    <t>https://dd3ka9h4chfr8.cloudfront.net/image/725136000567/image_4cfmhhh4jt21h69dh0r2ecga4a/-FJPG/106134-007_DET_2.jpg</t>
  </si>
  <si>
    <t>https://dd3ka9h4chfr8.cloudfront.net/image/725136000567/image_akj388jcid5tl4q1uvmllim93e/-FJPG/106134-007_BCK_1.jpg</t>
  </si>
  <si>
    <t>https://dd3ka9h4chfr8.cloudfront.net/image/725136000567/image_i33dsi972953takq5ta3qcgn1j/-FJPG/106134-007_DET_1.jpg</t>
  </si>
  <si>
    <t>https://dd3ka9h4chfr8.cloudfront.net/image/725136000567/image_4b3h2ldumd3o1d0c8l1sn3dk4v/-FJPG/106134-007_DET_3.jpg</t>
  </si>
  <si>
    <t>https://dd3ka9h4chfr8.cloudfront.net/image/725136000567/image_jsn5iua2r55mtaie20s7640e2e/-FJPG/106134-007_DET_4.jpg</t>
  </si>
  <si>
    <t>https://dd3ka9h4chfr8.cloudfront.net/image/725136000567/image_3f0f2bjfep7277bt9ke0da643o/-FJPG/106134-007_DET_5.jpg</t>
  </si>
  <si>
    <t>https://dd3ka9h4chfr8.cloudfront.net/image/725136000567/image_tu8nguog6t7j31js6idetot92a/-FJPG/106134-007_DET_6.jpg</t>
  </si>
  <si>
    <t>106139-009</t>
  </si>
  <si>
    <t>Dylan Chair - Palermo Drift</t>
  </si>
  <si>
    <t>https://dd3ka9h4chfr8.cloudfront.net/image/725136000567/image_sb03uk21r53id7ptsqnnmsn33e/-S150x150-FJPG/106139-009_PRM_1.jpg</t>
  </si>
  <si>
    <t>https://dd3ka9h4chfr8.cloudfront.net/image/725136000567/image_6mfhcphg9532rc8taorf9is36e/-FJPG/106139-009_FRT_1.jpg</t>
  </si>
  <si>
    <t>https://dd3ka9h4chfr8.cloudfront.net/image/725136000567/image_sb03uk21r53id7ptsqnnmsn33e/-FJPG/106139-009_PRM_1.jpg</t>
  </si>
  <si>
    <t>https://dd3ka9h4chfr8.cloudfront.net/image/725136000567/image_64oniof8094sd5foh4l2qpan64/-FJPG/106139-009_SID_1.jpg</t>
  </si>
  <si>
    <t>https://dd3ka9h4chfr8.cloudfront.net/image/725136000567/image_jsb2rnru3906lcp3p26skqna09/-FJPG/106139-009_DET_2.jpg</t>
  </si>
  <si>
    <t>https://dd3ka9h4chfr8.cloudfront.net/image/725136000567/image_ru1jvbs43d5e5es8bgvabpm34a/-FJPG/106139-009_BCK_1.jpg</t>
  </si>
  <si>
    <t>https://dd3ka9h4chfr8.cloudfront.net/image/725136000567/image_cigs7neqph06veba2k0ffpm16o/-FJPG/106139-009_DET_1.jpg</t>
  </si>
  <si>
    <t>https://dd3ka9h4chfr8.cloudfront.net/image/725136000567/image_b30n4ub645589cj8tja7opul5b/-FJPG/106139-009_DET_3.jpg</t>
  </si>
  <si>
    <t>https://dd3ka9h4chfr8.cloudfront.net/image/725136000567/image_dpt3rl98017272v4i6unugvt40/-FJPG/106139-009_DET_4.jpg</t>
  </si>
  <si>
    <t>https://dd3ka9h4chfr8.cloudfront.net/image/725136000567/image_v5ce6d65cl25b5ti4lr74i051d/-FJPG/106139-009_DET_5.jpg</t>
  </si>
  <si>
    <t>https://dd3ka9h4chfr8.cloudfront.net/image/725136000567/image_cmp5d5mp2d4vtce12n3f3lb652/-FJPG/106139-009_DET_6.jpg</t>
  </si>
  <si>
    <t>26.57"</t>
  </si>
  <si>
    <t>31.12"</t>
  </si>
  <si>
    <t>30.91"</t>
  </si>
  <si>
    <t>24.80"</t>
  </si>
  <si>
    <t>34.75"</t>
  </si>
  <si>
    <t>106152-007</t>
  </si>
  <si>
    <t>Swivel Wing Chair - Jette Linen</t>
  </si>
  <si>
    <t>Jette Linen</t>
  </si>
  <si>
    <t>46% Viscose (Rayon)</t>
  </si>
  <si>
    <t>34% Polyester</t>
  </si>
  <si>
    <t>20% Flax/Linen</t>
  </si>
  <si>
    <t>A hidden 360-degree swivel places a modern spin on slipcovered seating. A wingback shape and herringbone pattern update the look of traditional linen.</t>
  </si>
  <si>
    <t>https://dd3ka9h4chfr8.cloudfront.net/image/725136000567/image_k5nk5f94mp4hh0046pmsm27d15/-S150x150-FJPG/106152-007_PRM_1.jpg</t>
  </si>
  <si>
    <t>https://dd3ka9h4chfr8.cloudfront.net/image/725136000567/image_07hd9qsnup7qb4nnkuq3pop37l/-FJPG/106152-007_FRT_1.jpg</t>
  </si>
  <si>
    <t>https://dd3ka9h4chfr8.cloudfront.net/image/725136000567/image_k5nk5f94mp4hh0046pmsm27d15/-FJPG/106152-007_PRM_1.jpg</t>
  </si>
  <si>
    <t>https://dd3ka9h4chfr8.cloudfront.net/image/725136000567/image_2gh3im46ip0ijct643hr0slj2p/-FJPG/106152-007_SID_1.jpg</t>
  </si>
  <si>
    <t>https://dd3ka9h4chfr8.cloudfront.net/image/725136000567/image_dp0c4p5k710il3tandrb1pq40f/-FJPG/106152-007_DET_2.jpg</t>
  </si>
  <si>
    <t>https://dd3ka9h4chfr8.cloudfront.net/image/725136000567/image_2chagpikvh15tcr69909dv7f7v/-FJPG/106152-007_BCK_1.jpg</t>
  </si>
  <si>
    <t>https://dd3ka9h4chfr8.cloudfront.net/image/725136000567/image_6r8ecaq2eh5dn44t8h2qi8vp0s/-FJPG/106152-007_DET_1.jpg</t>
  </si>
  <si>
    <t>https://dd3ka9h4chfr8.cloudfront.net/image/725136000567/image_vp58k97ti914vcb6civ77knk2h/-FJPG/106152-007_ROM_1.jpg</t>
  </si>
  <si>
    <t>https://dd3ka9h4chfr8.cloudfront.net/image/725136000567/image_r5ch5ioedh69dfg0cu57lie92b/-FJPG/106152-007_FRT_3.jpg</t>
  </si>
  <si>
    <t>23.03"</t>
  </si>
  <si>
    <t>21.06"</t>
  </si>
  <si>
    <t>26.89"</t>
  </si>
  <si>
    <t>5.98"</t>
  </si>
  <si>
    <t>11.22"</t>
  </si>
  <si>
    <t>106172-012</t>
  </si>
  <si>
    <t>Dylan Sofa - Sapphire Navy</t>
  </si>
  <si>
    <t>Sapphire Navy</t>
  </si>
  <si>
    <t>5% Cotton</t>
  </si>
  <si>
    <t>https://dd3ka9h4chfr8.cloudfront.net/image/725136000567/image_mh8sic351t1a7dfm5riomj1g3c/-S150x150-FJPG/106172-012_PRM_1.jpg</t>
  </si>
  <si>
    <t>https://dd3ka9h4chfr8.cloudfront.net/image/725136000567/image_k4c27l5jvd0hrfk9qu2kjet16k/-FJPG/106172-012_FRT_1.jpg</t>
  </si>
  <si>
    <t>https://dd3ka9h4chfr8.cloudfront.net/image/725136000567/image_mh8sic351t1a7dfm5riomj1g3c/-FJPG/106172-012_PRM_1.jpg</t>
  </si>
  <si>
    <t>https://dd3ka9h4chfr8.cloudfront.net/image/725136000567/image_4iante16p57p18bm9u3e6i427q/-FJPG/106172-012_SID_1.jpg</t>
  </si>
  <si>
    <t>https://dd3ka9h4chfr8.cloudfront.net/image/725136000567/image_ts4g29q1414637cuh92joqd507/-FJPG/106172-012_DET_2.jpg</t>
  </si>
  <si>
    <t>https://dd3ka9h4chfr8.cloudfront.net/image/725136000567/image_up2fr4ds7t7h7f0neaunkk0s6u/-FJPG/106172-012_BCK_1.jpg</t>
  </si>
  <si>
    <t>https://dd3ka9h4chfr8.cloudfront.net/image/725136000567/image_cs8mvr5ib932t4satjsnk1no1q/-FJPG/106172-012_DET_1.jpg</t>
  </si>
  <si>
    <t>https://dd3ka9h4chfr8.cloudfront.net/image/725136000567/image_gos110rdpt5b97tig4qggnab6k/-FJPG/106172-012_DET_3.jpg</t>
  </si>
  <si>
    <t>https://dd3ka9h4chfr8.cloudfront.net/image/725136000567/image_514k2l04490i3abbr3s7g0bs1s/-FJPG/106172-012_DET_4.jpg</t>
  </si>
  <si>
    <t>https://dd3ka9h4chfr8.cloudfront.net/image/725136000567/image_8nhtt2iqr94dvbssi3tjta6k60/-FJPG/106172-012_DET_5.jpg</t>
  </si>
  <si>
    <t>https://dd3ka9h4chfr8.cloudfront.net/image/725136000567/image_mjfbjsjdfh0v9e51eua47hmp3h/-FJPG/106172-012_DET_6.jpg</t>
  </si>
  <si>
    <t>31.00"</t>
  </si>
  <si>
    <t>86.25"</t>
  </si>
  <si>
    <t>78.75"</t>
  </si>
  <si>
    <t>91.25"</t>
  </si>
  <si>
    <t>106172-017</t>
  </si>
  <si>
    <t>Dylan Sofa - Palermo Drift</t>
  </si>
  <si>
    <t>https://dd3ka9h4chfr8.cloudfront.net/image/725136000567/image_c0cjla3g15771et9ab6pudkh6j/-S150x150-FJPG/106172-017_PRM_1.jpg</t>
  </si>
  <si>
    <t>https://dd3ka9h4chfr8.cloudfront.net/image/725136000567/image_3m9ju1fnnh50h8kksbbdg0bv61/-FJPG/106172-017_FRT_1.jpg</t>
  </si>
  <si>
    <t>https://dd3ka9h4chfr8.cloudfront.net/image/725136000567/image_c0cjla3g15771et9ab6pudkh6j/-FJPG/106172-017_PRM_1.jpg</t>
  </si>
  <si>
    <t>https://dd3ka9h4chfr8.cloudfront.net/image/725136000567/image_e99j57fdit2mh9iscnbjdme04l/-FJPG/106172-017_SID_1.jpg</t>
  </si>
  <si>
    <t>https://dd3ka9h4chfr8.cloudfront.net/image/725136000567/image_6jm5b3on3114f7drrlsvnb0b3r/-FJPG/106172-017_DET_2.jpg</t>
  </si>
  <si>
    <t>https://dd3ka9h4chfr8.cloudfront.net/image/725136000567/image_eeafj1k84h5bldi94tevn5922r/-FJPG/106172-017_BCK_1.jpg</t>
  </si>
  <si>
    <t>https://dd3ka9h4chfr8.cloudfront.net/image/725136000567/image_mmv57bjujt75j0nh06boe0a73t/-FJPG/106172-017_DET_1.jpg</t>
  </si>
  <si>
    <t>https://dd3ka9h4chfr8.cloudfront.net/image/725136000567/image_u8f30bakih2o38c4j0jmnv8e1u/-FJPG/106172-017_DET_3.jpg</t>
  </si>
  <si>
    <t>https://dd3ka9h4chfr8.cloudfront.net/image/725136000567/image_6c1pnqcms96pd3igcmdm0eef2b/-FJPG/106172-017_DET_4.jpg</t>
  </si>
  <si>
    <t>https://dd3ka9h4chfr8.cloudfront.net/image/725136000567/image_2muvv7nrf965j9afilv7du6o3h/-FJPG/106172-017_DET_5.jpg</t>
  </si>
  <si>
    <t>https://dd3ka9h4chfr8.cloudfront.net/image/725136000567/image_devcl9jjs17p9fbcrlmdqe520r/-FJPG/106172-017_DET_6.jpg</t>
  </si>
  <si>
    <t>https://dd3ka9h4chfr8.cloudfront.net/image/725136000567/image_pj04p3vut51bnfmscnd6ae1d2f/-FJPG/106172-017_DET_7.jpg</t>
  </si>
  <si>
    <t>https://dd3ka9h4chfr8.cloudfront.net/image/725136000567/image_knqjqpa0pl2g1dne9t4kpjv60i/-FJPG/106172-017_DET_8.jpg</t>
  </si>
  <si>
    <t>https://dd3ka9h4chfr8.cloudfront.net/image/725136000567/image_bkfskj7gu53lfehrnduo709c7g/-FJPG/106172-017_DET_9.tif</t>
  </si>
  <si>
    <t>https://dd3ka9h4chfr8.cloudfront.net/image/725136000567/image_pk7esnaa7172f5pci69qantd4s/-FJPG/106172-017_DET_9.jpg</t>
  </si>
  <si>
    <t>https://dd3ka9h4chfr8.cloudfront.net/image/725136000567/image_saa973b3e5359fp8soukh0tb23/-FJPG/106172-017_DET_10.tif</t>
  </si>
  <si>
    <t>https://dd3ka9h4chfr8.cloudfront.net/image/725136000567/image_sbrhqcf2k907f727bo6vj57n5u/-FJPG/106172-017_ESS.tif</t>
  </si>
  <si>
    <t>106172-018</t>
  </si>
  <si>
    <t>Dylan Sofa - Kerbey Taupe</t>
  </si>
  <si>
    <t>Kerbey Taupe</t>
  </si>
  <si>
    <t>Aspen Grey</t>
  </si>
  <si>
    <t>https://dd3ka9h4chfr8.cloudfront.net/image/725136000567/image_bdnsi3sto90qtcocoevdhctl5s/-S150x150-FJPG/106172-018_PRM_1.jpg</t>
  </si>
  <si>
    <t>https://dd3ka9h4chfr8.cloudfront.net/image/725136000567/image_tp51mq0j1l4s74e4hmnbf7291s/-FJPG/106172-018_FRT_1.jpg</t>
  </si>
  <si>
    <t>https://dd3ka9h4chfr8.cloudfront.net/image/725136000567/image_bdnsi3sto90qtcocoevdhctl5s/-FJPG/106172-018_PRM_1.jpg</t>
  </si>
  <si>
    <t>https://dd3ka9h4chfr8.cloudfront.net/image/725136000567/image_f3trvfuucd4q13dvf9h4m3ol0s/-FJPG/106172-018_SID_1.jpg</t>
  </si>
  <si>
    <t>https://dd3ka9h4chfr8.cloudfront.net/image/725136000567/image_5jblr05s4d1rp7p6urpmqedv7b/-FJPG/106172-018_DET_2.jpg</t>
  </si>
  <si>
    <t>https://dd3ka9h4chfr8.cloudfront.net/image/725136000567/image_lqkno9kgg15lffi7q6tve3lu14/-FJPG/106172-018_BCK_1.jpg</t>
  </si>
  <si>
    <t>https://dd3ka9h4chfr8.cloudfront.net/image/725136000567/image_lj3thftb1d2pf341ebl0bjmn60/-FJPG/106172-018_DET_1.jpg</t>
  </si>
  <si>
    <t>https://dd3ka9h4chfr8.cloudfront.net/image/725136000567/image_1e2j3064d94th84t506i34h53h/-FJPG/106172-018_DET_3.jpg</t>
  </si>
  <si>
    <t>https://dd3ka9h4chfr8.cloudfront.net/image/725136000567/image_7t4rl2f8q90fd9bd0qq9kt9p0r/-FJPG/106172-018_DET_4.jpg</t>
  </si>
  <si>
    <t>https://dd3ka9h4chfr8.cloudfront.net/image/725136000567/image_khaung3t8d0955f27ial0pbs1g/-FJPG/106172-018_DET_5.jpg</t>
  </si>
  <si>
    <t>https://dd3ka9h4chfr8.cloudfront.net/image/725136000567/image_eqfajl7f194c92bqeq2ie0sg0j/-FJPG/106172-018_DET_6.jpg</t>
  </si>
  <si>
    <t>https://dd3ka9h4chfr8.cloudfront.net/image/725136000567/image_r2knld1o9l3rj6s19obm31rn77/-FJPG/106172-018_DET_7.jpg</t>
  </si>
  <si>
    <t>https://dd3ka9h4chfr8.cloudfront.net/image/725136000567/image_14v1rlq6fp4b1f964o2ssno052/-FJPG/106172-018_DET_8.jpg</t>
  </si>
  <si>
    <t>106176-098</t>
  </si>
  <si>
    <t>Maxx Swivel Chair - Heirloom Sienna</t>
  </si>
  <si>
    <t>Aged Bronze Nailhead</t>
  </si>
  <si>
    <t>This modern take on the classic library chair is covered in upcycled leather and mounted on a smooth swivel base of solid wood. Sourced from one of the oldest family-owned tanneries in Italyâ€™s Bassano del Grappa, our heirloom leather covering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</si>
  <si>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https://dd3ka9h4chfr8.cloudfront.net/image/725136000567/image_nap54sr4b165bdvr329u6pbg40/-S150x150-FJPG/106176-098_PRM_1.JPG</t>
  </si>
  <si>
    <t>https://dd3ka9h4chfr8.cloudfront.net/image/725136000567/image_ajltbvfiv90ofcockqb9tm2910/-FJPG/106176-098_FRT_1.JPG</t>
  </si>
  <si>
    <t>https://dd3ka9h4chfr8.cloudfront.net/image/725136000567/image_nap54sr4b165bdvr329u6pbg40/-FJPG/106176-098_PRM_1.JPG</t>
  </si>
  <si>
    <t>https://dd3ka9h4chfr8.cloudfront.net/image/725136000567/image_lh5mprmj8t5evf2orv3euls536/-FJPG/106176-098_SID_1.JPG</t>
  </si>
  <si>
    <t>https://dd3ka9h4chfr8.cloudfront.net/image/725136000567/image_9t0i2cn8qd2apdmih94ua1n81t/-FJPG/106176-098_ESS_1.jpg</t>
  </si>
  <si>
    <t>https://dd3ka9h4chfr8.cloudfront.net/image/725136000567/image_8q1tct7b0d22p227tp7qlgru0r/-FJPG/106176-098_DET_2.JPG</t>
  </si>
  <si>
    <t>https://dd3ka9h4chfr8.cloudfront.net/image/725136000567/image_4c5vc3fd6p5o1cf642g9v9ib7m/-FJPG/106176-098_BCK_1.JPG</t>
  </si>
  <si>
    <t>https://dd3ka9h4chfr8.cloudfront.net/image/725136000567/image_benfrb9a1h5l921k9n9be2ii40/-FJPG/106176-098_DET_1.JPG</t>
  </si>
  <si>
    <t>https://dd3ka9h4chfr8.cloudfront.net/image/725136000567/image_nc4lb8928h49t0gkashv8n6t04/-FJPG/106176-098_DET_3.JPG</t>
  </si>
  <si>
    <t>https://dd3ka9h4chfr8.cloudfront.net/image/725136000567/image_3itf53tjo534hfl6pt4lp4hp0d/-FJPG/106176-098_DET_4.JPG</t>
  </si>
  <si>
    <t>https://dd3ka9h4chfr8.cloudfront.net/image/725136000567/image_pohn1udhnd7ar8tiuejg4iqc39/-FJPG/106176-098_DET_5.JPG</t>
  </si>
  <si>
    <t>https://dd3ka9h4chfr8.cloudfront.net/image/725136000567/image_r2050lso453737k4f1l78pu97q/-FJPG/106176-098_ROM_1.jpg</t>
  </si>
  <si>
    <t>https://dd3ka9h4chfr8.cloudfront.net/image/725136000567/image_ql071lgqe91mna7ne86dparg6k/-FJPG/106176-098_PRM_2.JPG</t>
  </si>
  <si>
    <t>Maxx</t>
  </si>
  <si>
    <t>33.75"</t>
  </si>
  <si>
    <t>106176-100</t>
  </si>
  <si>
    <t>Maxx Swivel Chair - Heirloom Black</t>
  </si>
  <si>
    <t>https://dd3ka9h4chfr8.cloudfront.net/image/725136000567/image_02koul8lld18he52858i9j163f/-S150x150-FJPG/106176-100_PRM_1.jpg</t>
  </si>
  <si>
    <t>https://dd3ka9h4chfr8.cloudfront.net/image/725136000567/image_heegloj1pp0st18g5pbqrtac3f/-FJPG/106176-100_FRT_1.jpg</t>
  </si>
  <si>
    <t>https://dd3ka9h4chfr8.cloudfront.net/image/725136000567/image_02koul8lld18he52858i9j163f/-FJPG/106176-100_PRM_1.jpg</t>
  </si>
  <si>
    <t>https://dd3ka9h4chfr8.cloudfront.net/image/725136000567/image_flpobistvt54te1dlj9oser56k/-FJPG/106176-100_SID_1.jpg</t>
  </si>
  <si>
    <t>https://dd3ka9h4chfr8.cloudfront.net/image/725136000567/image_s8ls8sledp153dqcndml32au68/-FJPG/106176-100_ESS_1.jpg</t>
  </si>
  <si>
    <t>https://dd3ka9h4chfr8.cloudfront.net/image/725136000567/image_tqflhkcidp1uj49e4kdnmui24m/-FJPG/106176-100_DET_2.jpg</t>
  </si>
  <si>
    <t>https://dd3ka9h4chfr8.cloudfront.net/image/725136000567/image_hmsds6a41d4nt1o50obalcf56d/-FJPG/106176-100_BCK_1.jpg</t>
  </si>
  <si>
    <t>https://dd3ka9h4chfr8.cloudfront.net/image/725136000567/image_n8nj6dnep11qv523imbtk04g28/-FJPG/106176-100_DET_1.jpg</t>
  </si>
  <si>
    <t>https://dd3ka9h4chfr8.cloudfront.net/image/725136000567/image_olg6vo05ot10h23765h2m5hm1g/-FJPG/106176-100_DET_3.jpg</t>
  </si>
  <si>
    <t>https://dd3ka9h4chfr8.cloudfront.net/image/725136000567/image_qfv5frqhcd05vad729rg8m6i50/-FJPG/106176-100_DET_4.jpg</t>
  </si>
  <si>
    <t>https://dd3ka9h4chfr8.cloudfront.net/image/725136000567/image_q2leghcsrt21301ep90enc4l7i/-FJPG/106176-100_DET_5.jpg</t>
  </si>
  <si>
    <t>106182-087</t>
  </si>
  <si>
    <t>Banks Slipcover Swivel Chair - Cambric Ivory</t>
  </si>
  <si>
    <t>A new take on the 360-degree swivel chair is small in scale and big in comfort. A performance slipcover of linen-blend ivory meets high style with clever practicality. Performance fabrics are specially created to withstand spills, stains, high traffic and wear, ensuring long-term comfort and unmatched durability.</t>
  </si>
  <si>
    <t>https://dd3ka9h4chfr8.cloudfront.net/image/725136000567/image_458bno6qa53btag42grpoend1b/-S150x150-FJPG/106182-087_PRM_1.jpg</t>
  </si>
  <si>
    <t>https://dd3ka9h4chfr8.cloudfront.net/image/725136000567/image_k6fun3kdnl5bb744addcfgnb1m/-FJPG/106182-087_FRT_1.jpg</t>
  </si>
  <si>
    <t>https://dd3ka9h4chfr8.cloudfront.net/image/725136000567/image_458bno6qa53btag42grpoend1b/-FJPG/106182-087_PRM_1.jpg</t>
  </si>
  <si>
    <t>https://dd3ka9h4chfr8.cloudfront.net/image/725136000567/image_0743iqn0ll5rp0q7498mno7n5s/-FJPG/106182-087_SID_1.jpg</t>
  </si>
  <si>
    <t>https://dd3ka9h4chfr8.cloudfront.net/image/725136000567/image_rj5r2rh7bl5r1ecrcmrb0hbr1p/-FJPG/106182-087_DET_2.jpg</t>
  </si>
  <si>
    <t>https://dd3ka9h4chfr8.cloudfront.net/image/725136000567/image_t5lr43lcmd4a7c9cn2gqedue0n/-FJPG/106182-087_BCK_1.jpg</t>
  </si>
  <si>
    <t>https://dd3ka9h4chfr8.cloudfront.net/image/725136000567/image_c3dqpfdq0t2b5cp2d4ogc2eh7r/-FJPG/106182-087_INF_1.jpg</t>
  </si>
  <si>
    <t>https://dd3ka9h4chfr8.cloudfront.net/image/725136000567/image_ujbrmcggu52vjbk3fvn9n19859/-FJPG/106182-087_DET_1.jpg</t>
  </si>
  <si>
    <t>https://dd3ka9h4chfr8.cloudfront.net/image/725136000567/image_au5ntd37jl6kh3kaeluqj7bu1u/-FJPG/106182-087_DET_3.jpg</t>
  </si>
  <si>
    <t>https://dd3ka9h4chfr8.cloudfront.net/image/725136000567/image_fquqhipjhh5iff0v93l9a4es3u/-FJPG/106182-087_DET_4.jpg</t>
  </si>
  <si>
    <t>https://dd3ka9h4chfr8.cloudfront.net/image/725136000567/image_vvqan0nc3t5o9bbtgsfmppg501/-FJPG/106182-087_DET_5.jpg</t>
  </si>
  <si>
    <t>https://dd3ka9h4chfr8.cloudfront.net/image/725136000567/image_gnpv37ols51dpcc38haeuekj2o/-FJPG/106182-087_DET_6.jpg</t>
  </si>
  <si>
    <t>https://dd3ka9h4chfr8.cloudfront.net/image/725136000567/image_14juoco69h7m13kqpopngml20f/-FJPG/106182-087_DET_7.jpg</t>
  </si>
  <si>
    <t>https://dd3ka9h4chfr8.cloudfront.net/image/725136000567/image_3lkh92l289279d5u50hb8l1b17/-FJPG/106182-087_ROM_1.jpg</t>
  </si>
  <si>
    <t>https://dd3ka9h4chfr8.cloudfront.net/image/725136000567/image_usbg125vtd5vvd7prm54mac13c/-FJPG/106182-087_ROM_2.jpg</t>
  </si>
  <si>
    <t>Complete Item, L Shaped Box</t>
  </si>
  <si>
    <t>27.36"</t>
  </si>
  <si>
    <t>7.99"</t>
  </si>
  <si>
    <t>20.35"</t>
  </si>
  <si>
    <t>80% Polyurethane Foam, 10% Fiber, 10% Waterfowl Feather</t>
  </si>
  <si>
    <t>Banks</t>
  </si>
  <si>
    <t>23.98"</t>
  </si>
  <si>
    <t>18.70"</t>
  </si>
  <si>
    <t>11.10"</t>
  </si>
  <si>
    <t>60% Polyester Fiber Batting, 40% Waterfowl Feather</t>
  </si>
  <si>
    <t>Slipcovered</t>
  </si>
  <si>
    <t>106182-091</t>
  </si>
  <si>
    <t>Banks Slipcover Swivel Chair - Palermo Drift</t>
  </si>
  <si>
    <t>A modern take on the 360-degree swivel chair is small in scale and big in comfort. Luxuriously slipcovered in tan top-grain leather with a plump, pronounced grain.</t>
  </si>
  <si>
    <t>https://dd3ka9h4chfr8.cloudfront.net/image/725136000567/image_1bimrq4n7543f931msci7qo53t/-S150x150-FJPG/106182-091_PRM_1.jpg</t>
  </si>
  <si>
    <t>https://dd3ka9h4chfr8.cloudfront.net/image/725136000567/image_8b2npb5g550gl08uf8c70d1t5n/-FJPG/106182-091_FRT_1.jpg</t>
  </si>
  <si>
    <t>https://dd3ka9h4chfr8.cloudfront.net/image/725136000567/image_1bimrq4n7543f931msci7qo53t/-FJPG/106182-091_PRM_1.jpg</t>
  </si>
  <si>
    <t>https://dd3ka9h4chfr8.cloudfront.net/image/725136000567/image_v8ih993g8l421ejfkricngcf7o/-FJPG/106182-091_SID_1.jpg</t>
  </si>
  <si>
    <t>https://dd3ka9h4chfr8.cloudfront.net/image/725136000567/image_v36a9hnc497gn15rai5tpie53r/-FJPG/106182-091_DET_2.jpg</t>
  </si>
  <si>
    <t>https://dd3ka9h4chfr8.cloudfront.net/image/725136000567/image_dgi0ugsq351qh3bu3katuv761g/-FJPG/106182-091_BCK_1.jpg</t>
  </si>
  <si>
    <t>https://dd3ka9h4chfr8.cloudfront.net/image/725136000567/image_0qdfjiajl94616j2qi55aahj1e/-FJPG/106182-091_DET_1.jpg</t>
  </si>
  <si>
    <t>https://dd3ka9h4chfr8.cloudfront.net/image/725136000567/image_s56avjqgh95j36is98td8fck66/-FJPG/106182-091_DET_3.jpg</t>
  </si>
  <si>
    <t>https://dd3ka9h4chfr8.cloudfront.net/image/725136000567/image_tcbgpretld7k177o9vl11bbv3e/-FJPG/106182-091_DET_4.jpg</t>
  </si>
  <si>
    <t>https://dd3ka9h4chfr8.cloudfront.net/image/725136000567/image_8vhagsr3lt1nr59qqchb7dm55t/-FJPG/106182-091_DET_5.jpg</t>
  </si>
  <si>
    <t>https://dd3ka9h4chfr8.cloudfront.net/image/725136000567/image_l17ujsr5i15u15qoqbkqtnrb7h/-FJPG/106182-091_DET_6.jpg</t>
  </si>
  <si>
    <t>https://dd3ka9h4chfr8.cloudfront.net/image/725136000567/image_i2ib07t35d0epb1ko7s6hm2p23/-FJPG/106182-091_ESS.tif</t>
  </si>
  <si>
    <t>106182-096</t>
  </si>
  <si>
    <t>Banks Slipcover Swivel Chair - Alcala Taupe</t>
  </si>
  <si>
    <t>Alcala Taupe</t>
  </si>
  <si>
    <t>A modern take on the 360-degree swivel chair is small in scale and big in comfort. A durable taupe slipcover of high-performance fabric is created to withstand spills, stains and high traffic wear.</t>
  </si>
  <si>
    <t>https://dd3ka9h4chfr8.cloudfront.net/image/725136000567/image_dtfcsq7vml1813qlblfs65997t/-S150x150-FJPG/106182-096_PRM_1.jpg</t>
  </si>
  <si>
    <t>https://dd3ka9h4chfr8.cloudfront.net/image/725136000567/image_b6hnpp5s7h4abaoei3m2241s3c/-FJPG/106182-096_FRT_1.jpg</t>
  </si>
  <si>
    <t>https://dd3ka9h4chfr8.cloudfront.net/image/725136000567/image_dtfcsq7vml1813qlblfs65997t/-FJPG/106182-096_PRM_1.jpg</t>
  </si>
  <si>
    <t>https://dd3ka9h4chfr8.cloudfront.net/image/725136000567/image_3aqkt3ch5p0t512s74902f8k3a/-FJPG/106182-096_SID_1.jpg</t>
  </si>
  <si>
    <t>https://dd3ka9h4chfr8.cloudfront.net/image/725136000567/image_g2r5ls5ivl1sba8952s2jvig2m/-FJPG/106182-096_ESS_1.jpg</t>
  </si>
  <si>
    <t>https://dd3ka9h4chfr8.cloudfront.net/image/725136000567/image_3abbutfp1p3h50s6gmsri0ra5c/-FJPG/106182-096_DET_2.jpg</t>
  </si>
  <si>
    <t>https://dd3ka9h4chfr8.cloudfront.net/image/725136000567/image_pvv5m5nq152n10fnqpgbug6s2d/-FJPG/106182-096_BCK_1.jpg</t>
  </si>
  <si>
    <t>https://dd3ka9h4chfr8.cloudfront.net/image/725136000567/image_0kk7uskm5h6c7adqavdtd5vr5c/-FJPG/106182-096_DET_1.jpg</t>
  </si>
  <si>
    <t>https://dd3ka9h4chfr8.cloudfront.net/image/725136000567/image_l66s4ko7td7490aai0ispe5e1f/-FJPG/106182-096_DET_3.jpg</t>
  </si>
  <si>
    <t>https://dd3ka9h4chfr8.cloudfront.net/image/725136000567/image_vg7ausalkd4qr6r9eqe7eiat65/-FJPG/106182-096_DET_4.jpg</t>
  </si>
  <si>
    <t>https://dd3ka9h4chfr8.cloudfront.net/image/725136000567/image_pb4nafcevh42lbu1o409318i7u/-FJPG/106182-096_DET_5.jpg</t>
  </si>
  <si>
    <t>https://dd3ka9h4chfr8.cloudfront.net/image/725136000567/image_hcgrq0uhud3j56gpojg1avit4e/-FJPG/106182-096_DET_6.jpg</t>
  </si>
  <si>
    <t>https://dd3ka9h4chfr8.cloudfront.net/image/725136000567/image_e9g48sugd91ib5e5vt9pksf629/-FJPG/106182-096_DET_7.jpg</t>
  </si>
  <si>
    <t>L Shape Box, Complete Item</t>
  </si>
  <si>
    <t>106185-045</t>
  </si>
  <si>
    <t>Aidan Bed - Plushtone Linen</t>
  </si>
  <si>
    <t>Low-profile luxury. Modern Italian design inspires this textural, chenille-like upholstered bed that feels both substantial and plush, with clean lines for a dramatically comfortable statement.</t>
  </si>
  <si>
    <t>https://dd3ka9h4chfr8.cloudfront.net/image/725136000567/image_7s2e2nkbp53rv7c9bgdp86fm0a/-S150x150-FJPG/106185-045_PRM_1.jpg</t>
  </si>
  <si>
    <t>https://dd3ka9h4chfr8.cloudfront.net/image/725136000567/image_i3pg1on15955v59v07ouo0an52/-FJPG/106185-045_FRT_1.jpg</t>
  </si>
  <si>
    <t>https://dd3ka9h4chfr8.cloudfront.net/image/725136000567/image_7s2e2nkbp53rv7c9bgdp86fm0a/-FJPG/106185-045_PRM_1.jpg</t>
  </si>
  <si>
    <t>https://dd3ka9h4chfr8.cloudfront.net/image/725136000567/image_5m15qe5t713cnbkmgm5a7jes4g/-FJPG/106185-045_SID_1.jpg</t>
  </si>
  <si>
    <t>https://dd3ka9h4chfr8.cloudfront.net/image/725136000567/image_b85b7fpio52096d5h52gr4l142/-FJPG/106185-045_DET_2.jpg</t>
  </si>
  <si>
    <t>https://dd3ka9h4chfr8.cloudfront.net/image/725136000567/image_sl2us64bkh66t3531taf1g6h74/-FJPG/106185-045_BCK_1.jpg</t>
  </si>
  <si>
    <t>https://dd3ka9h4chfr8.cloudfront.net/image/725136000567/image_tr7bcjqgj92fl6g7hllret2b0p/-FJPG/106185-045_DET_1.jpg</t>
  </si>
  <si>
    <t>https://dd3ka9h4chfr8.cloudfront.net/image/725136000567/image_qhlvk6glbl4el4cnqo6uk7dm1c/-FJPG/106185-045_DET_3.jpg</t>
  </si>
  <si>
    <t>https://dd3ka9h4chfr8.cloudfront.net/image/725136000567/image_i6h57vs1mh123fgh93lbcsuq6e/-FJPG/106185-045_DET_4.jpg</t>
  </si>
  <si>
    <t>https://dd3ka9h4chfr8.cloudfront.net/image/725136000567/image_j68idnini520v1dk7boimof16a/-FJPG/106185-045_DET_5.jpg</t>
  </si>
  <si>
    <t>https://dd3ka9h4chfr8.cloudfront.net/image/725136000567/image_flerdvl5bh6odd40nfsfaugv5c/-FJPG/106185-045_DET_6.jpg</t>
  </si>
  <si>
    <t>https://dd3ka9h4chfr8.cloudfront.net/image/725136000567/image_cue1bed7ed7av5c50b1m3d670e/-FJPG/106185-045_DET_7.jpg</t>
  </si>
  <si>
    <t>Footboard</t>
  </si>
  <si>
    <t>Siderails/ Center Rails</t>
  </si>
  <si>
    <t>Aidan</t>
  </si>
  <si>
    <t>1.89"</t>
  </si>
  <si>
    <t>2.87"</t>
  </si>
  <si>
    <t>82.76"</t>
  </si>
  <si>
    <t>35.24"</t>
  </si>
  <si>
    <t>12.01"</t>
  </si>
  <si>
    <t>81.50"</t>
  </si>
  <si>
    <t>2.60"</t>
  </si>
  <si>
    <t>77.01"</t>
  </si>
  <si>
    <t>8.86"</t>
  </si>
  <si>
    <t>8.23"</t>
  </si>
  <si>
    <t>106185-046</t>
  </si>
  <si>
    <t>https://dd3ka9h4chfr8.cloudfront.net/image/725136000567/image_333vedbg9h5h38mf6asoiar71k/-S150x150-FJPG/106185-046_PRM_1.jpg</t>
  </si>
  <si>
    <t>https://dd3ka9h4chfr8.cloudfront.net/image/725136000567/image_3heur320a14jn4rhtvqvvcup62/-FJPG/106185-046_FRT_1.jpg</t>
  </si>
  <si>
    <t>https://dd3ka9h4chfr8.cloudfront.net/image/725136000567/image_333vedbg9h5h38mf6asoiar71k/-FJPG/106185-046_PRM_1.jpg</t>
  </si>
  <si>
    <t>https://dd3ka9h4chfr8.cloudfront.net/image/725136000567/image_hav36bdtrl18h889acu9uarp5n/-FJPG/106185-046_SID_1.jpg</t>
  </si>
  <si>
    <t>https://dd3ka9h4chfr8.cloudfront.net/image/725136000567/image_iu5o1e7a9d4f96pp7e9lv88b75/-FJPG/106185-046_DET_2.jpg</t>
  </si>
  <si>
    <t>https://dd3ka9h4chfr8.cloudfront.net/image/725136000567/image_idehekkajd3q1dnd84ar07qc6n/-FJPG/106185-046_BCK_1.jpg</t>
  </si>
  <si>
    <t>https://dd3ka9h4chfr8.cloudfront.net/image/725136000567/image_t88crfvfm51p5e3gevvi0d7f4t/-FJPG/106185-046_DET_1.jpg</t>
  </si>
  <si>
    <t>https://dd3ka9h4chfr8.cloudfront.net/image/725136000567/image_gl34eajbmd3itckb6sjbosvg0g/-FJPG/106185-046_DET_3.jpg</t>
  </si>
  <si>
    <t>https://dd3ka9h4chfr8.cloudfront.net/image/725136000567/image_0eft9qf4kt4o76vnda55e8m02c/-FJPG/106185-046_DET_4.jpg</t>
  </si>
  <si>
    <t>https://dd3ka9h4chfr8.cloudfront.net/image/725136000567/image_n7va2isml14nv1c56hs57l1d4m/-FJPG/106185-046_DET_5.jpg</t>
  </si>
  <si>
    <t>https://dd3ka9h4chfr8.cloudfront.net/image/725136000567/image_ifmobsgplh643froc7a53rs34e/-FJPG/106185-046_DET_6.jpg</t>
  </si>
  <si>
    <t>https://dd3ka9h4chfr8.cloudfront.net/image/725136000567/image_muipqbhfmd77d38rp7bldgtu7k/-FJPG/106185-046_DET_7.jpg</t>
  </si>
  <si>
    <t>Siderails/ Center Rail</t>
  </si>
  <si>
    <t>66.61"</t>
  </si>
  <si>
    <t>60.87"</t>
  </si>
  <si>
    <t>106185-047</t>
  </si>
  <si>
    <t>Aidan Bed - Vintage Tobacco</t>
  </si>
  <si>
    <t>Low-profile luxury. With plush clean lines, tobacco-colored faux leather meets modern Italian styling with subtle masculine undertones to make a dramatically comfortable statement.</t>
  </si>
  <si>
    <t>https://dd3ka9h4chfr8.cloudfront.net/image/725136000567/image_kbks11d69p4r94gkuo48s8m85i/-S150x150-FJPG/106185-047_PRM_1.jpg</t>
  </si>
  <si>
    <t>https://dd3ka9h4chfr8.cloudfront.net/image/725136000567/image_d3ka6j74l922565rqfuvbrfi1i/-FJPG/106185-047_FRT_1.jpg</t>
  </si>
  <si>
    <t>https://dd3ka9h4chfr8.cloudfront.net/image/725136000567/image_kbks11d69p4r94gkuo48s8m85i/-FJPG/106185-047_PRM_1.jpg</t>
  </si>
  <si>
    <t>https://dd3ka9h4chfr8.cloudfront.net/image/725136000567/image_es5976jtst4hp8ndgogjr3en4k/-FJPG/106185-047_SID_1.jpg</t>
  </si>
  <si>
    <t>https://dd3ka9h4chfr8.cloudfront.net/image/725136000567/image_s9710ult1d4hl4o4uehbpo097o/-FJPG/106185-047_DET_2.jpg</t>
  </si>
  <si>
    <t>https://dd3ka9h4chfr8.cloudfront.net/image/725136000567/image_9u6ip5332h1g1e0ndo7aq65g7q/-FJPG/106185-047_DET_1.jpg</t>
  </si>
  <si>
    <t>https://dd3ka9h4chfr8.cloudfront.net/image/725136000567/image_un2qs62vut0ah9qdo5osv1082j/-FJPG/106185-047_DET_3.jpg</t>
  </si>
  <si>
    <t>https://dd3ka9h4chfr8.cloudfront.net/image/725136000567/image_0e0jd0ikv540j1955p4quuo67v/-FJPG/106185-047_DET_4.jpg</t>
  </si>
  <si>
    <t>https://dd3ka9h4chfr8.cloudfront.net/image/725136000567/image_uc53vjhk7l20h7f6ts2ges2508/-FJPG/106185-047_DET_5.jpg</t>
  </si>
  <si>
    <t>https://dd3ka9h4chfr8.cloudfront.net/image/725136000567/image_j46r3nmuk16uh4ai5tbfjvu67n/-FJPG/106185-047_DET_6.jpg</t>
  </si>
  <si>
    <t>106185-048</t>
  </si>
  <si>
    <t>https://dd3ka9h4chfr8.cloudfront.net/image/725136000567/image_vnmdbdjt6d5s30n3122ktq7730/-S150x150-FJPG/106185-048_PRM_1.jpg</t>
  </si>
  <si>
    <t>https://dd3ka9h4chfr8.cloudfront.net/image/725136000567/image_rmp23tqaal0spbunh6a1649p1k/-FJPG/106185-048_FRT_1.jpg</t>
  </si>
  <si>
    <t>https://dd3ka9h4chfr8.cloudfront.net/image/725136000567/image_vnmdbdjt6d5s30n3122ktq7730/-FJPG/106185-048_PRM_1.jpg</t>
  </si>
  <si>
    <t>https://dd3ka9h4chfr8.cloudfront.net/image/725136000567/image_2vqdd6d1jp3b7drc41mhn84h73/-FJPG/106185-048_SID_1.jpg</t>
  </si>
  <si>
    <t>https://dd3ka9h4chfr8.cloudfront.net/image/725136000567/image_5e4dfb040511def8ds1tuotl28/-FJPG/106185-048_DET_2.jpg</t>
  </si>
  <si>
    <t>https://dd3ka9h4chfr8.cloudfront.net/image/725136000567/image_j5q3arlfgd4k3ekbvk74e0bk5e/-FJPG/106185-048_BCK_1.jpg</t>
  </si>
  <si>
    <t>https://dd3ka9h4chfr8.cloudfront.net/image/725136000567/image_jeg9mj1rhd139eh13a43sfbi6p/-FJPG/106185-048_DET_1.jpg</t>
  </si>
  <si>
    <t>https://dd3ka9h4chfr8.cloudfront.net/image/725136000567/image_99qr3t30dh6tj6qnak31b0si5q/-FJPG/106185-048_DET_3.jpg</t>
  </si>
  <si>
    <t>https://dd3ka9h4chfr8.cloudfront.net/image/725136000567/image_0ucfrvbl896hp2om37ll0fkc4j/-FJPG/106185-048_DET_4.jpg</t>
  </si>
  <si>
    <t>https://dd3ka9h4chfr8.cloudfront.net/image/725136000567/image_s9t9vntovp2mf1cbp4sbopin6j/-FJPG/106185-048_DET_5.jpg</t>
  </si>
  <si>
    <t>https://dd3ka9h4chfr8.cloudfront.net/image/725136000567/image_9akjrj0go13cbchnu00bai9j44/-FJPG/106185-048_DET_6.jpg</t>
  </si>
  <si>
    <t>https://dd3ka9h4chfr8.cloudfront.net/image/725136000567/image_jg1165ces50c14cohggpbumh24/-FJPG/106185-048_DET_7.jpg</t>
  </si>
  <si>
    <t>106189-009</t>
  </si>
  <si>
    <t>Darrow Bench - Palermo Cognac</t>
  </si>
  <si>
    <t>The time-honored bench, reinvented. With fresh, clever shaping, angular gunmetal-finished iron supports spare-yet-comfortable top-grain leather cushioning in a rich cognac.</t>
  </si>
  <si>
    <t>https://dd3ka9h4chfr8.cloudfront.net/image/725136000567/image_nuc3g4j46p5f71i25004g57d65/-S150x150-FJPG/106189-009_PRM_1.jpg</t>
  </si>
  <si>
    <t>https://dd3ka9h4chfr8.cloudfront.net/image/725136000567/image_vm61ma5cth5j7ek7vhj2b5ar4c/-FJPG/106189-009_FRT_1.jpg</t>
  </si>
  <si>
    <t>https://dd3ka9h4chfr8.cloudfront.net/image/725136000567/image_nuc3g4j46p5f71i25004g57d65/-FJPG/106189-009_PRM_1.jpg</t>
  </si>
  <si>
    <t>https://dd3ka9h4chfr8.cloudfront.net/image/725136000567/image_r8lv7e53f54fn7tm7e6vsmhb21/-FJPG/106189-009_SID_1.jpg</t>
  </si>
  <si>
    <t>https://dd3ka9h4chfr8.cloudfront.net/image/725136000567/image_pcr0m83je15470t3v2ei716c3o/-FJPG/106189-009_ESS.tif</t>
  </si>
  <si>
    <t>https://dd3ka9h4chfr8.cloudfront.net/image/725136000567/image_brdjkv003l7qt18v0ge0etuk7s/-FJPG/106189-009_DET_2.jpg</t>
  </si>
  <si>
    <t>https://dd3ka9h4chfr8.cloudfront.net/image/725136000567/image_v15rjkn25t4t16svke8gikbh3c/-FJPG/106189-009_DET_1.jpg</t>
  </si>
  <si>
    <t>https://dd3ka9h4chfr8.cloudfront.net/image/725136000567/image_gq8rogobhl3f7d2t0nu9t2t40g/-FJPG/106189-009_DET_3.jpg</t>
  </si>
  <si>
    <t>https://dd3ka9h4chfr8.cloudfront.net/image/725136000567/image_l222jacv8p5ilccts0g1tusc19/-FJPG/106189-009_DET_4.jpg</t>
  </si>
  <si>
    <t>https://dd3ka9h4chfr8.cloudfront.net/image/725136000567/image_53g0g7gdvd3v71ff5de4m52o0l/-FJPG/106189-009_DET_5.jpg</t>
  </si>
  <si>
    <t>17.60"</t>
  </si>
  <si>
    <t>63.46"</t>
  </si>
  <si>
    <t>17.83"</t>
  </si>
  <si>
    <t>60% Polyurethane Foam Pad, 20% Waterfowl Feather, 20% Polyester Fiber</t>
  </si>
  <si>
    <t>Metal Platform</t>
  </si>
  <si>
    <t>Darrow</t>
  </si>
  <si>
    <t>14.17"</t>
  </si>
  <si>
    <t>37.01"</t>
  </si>
  <si>
    <t>106190-012</t>
  </si>
  <si>
    <t>Maxx Sofa - Heirloom Sienna</t>
  </si>
  <si>
    <t>This creative take on the classic library sofa is covered in a slightly distressed top-grain leather in warm brown tones and is mounted on a solid wood base. Aged bronze nailheads add modernity. Finished with a specially designed formula that creates intentional cracking and distressing for a naturally aged look.</t>
  </si>
  <si>
    <t>https://dd3ka9h4chfr8.cloudfront.net/image/725136000567/image_6vftauf2rl4p9b2phtl11hgk0u/-S150x150-FJPG/106190-012_PRM_1.JPG</t>
  </si>
  <si>
    <t>https://dd3ka9h4chfr8.cloudfront.net/image/725136000567/image_coukvo23nl0rnese21n75g5c28/-FJPG/106190-012_FRT_1.JPG</t>
  </si>
  <si>
    <t>https://dd3ka9h4chfr8.cloudfront.net/image/725136000567/image_6vftauf2rl4p9b2phtl11hgk0u/-FJPG/106190-012_PRM_1.JPG</t>
  </si>
  <si>
    <t>https://dd3ka9h4chfr8.cloudfront.net/image/725136000567/image_olvplel4jt6b15gbuj9elsl97e/-FJPG/106190-012_SID_1.JPG</t>
  </si>
  <si>
    <t>https://dd3ka9h4chfr8.cloudfront.net/image/725136000567/image_fkivnmrphd0fn7uje4lbitsf64/-FJPG/106190-012_ESS_1.jpg</t>
  </si>
  <si>
    <t>https://dd3ka9h4chfr8.cloudfront.net/image/725136000567/image_nb0t2effet71r7jtb4dm4qg14h/-FJPG/106190-012_DET_2.JPG</t>
  </si>
  <si>
    <t>https://dd3ka9h4chfr8.cloudfront.net/image/725136000567/image_4noa0nq67552t7daci20c8nd6p/-FJPG/106190-012_BCK_1.JPG</t>
  </si>
  <si>
    <t>https://dd3ka9h4chfr8.cloudfront.net/image/725136000567/image_n5bacm4qf54cde56kvnlig115j/-FJPG/106190-012_DET_1.JPG</t>
  </si>
  <si>
    <t>https://dd3ka9h4chfr8.cloudfront.net/image/725136000567/image_b99qn330jh1h1edhl6nh1ofv7t/-FJPG/106190-012_DET_3.JPG</t>
  </si>
  <si>
    <t>https://dd3ka9h4chfr8.cloudfront.net/image/725136000567/image_smv9v7eubl70ldev4sjaf9uk4b/-FJPG/106190-012_DET_4.JPG</t>
  </si>
  <si>
    <t>https://dd3ka9h4chfr8.cloudfront.net/image/725136000567/image_bggggtq16d029fe4bd42rf867q/-FJPG/106190-012_DET_5.JPG</t>
  </si>
  <si>
    <t>https://dd3ka9h4chfr8.cloudfront.net/image/725136000567/image_58i4pf8uo52bd2upoc51hi0i6i/-FJPG/106190-012_PRM_2.JPG</t>
  </si>
  <si>
    <t>85.50"</t>
  </si>
  <si>
    <t>106190-013</t>
  </si>
  <si>
    <t>Maxx Sofa - Heirloom Black</t>
  </si>
  <si>
    <t>This creative take on the classic library sofa is covered in a slightly distressed top-grain leather in black and mounted on a solid wood base. Aged bronze nailheads add modernity. Finished with a specially designed formula that creates intentional cracking and distressing for a naturally aged look.</t>
  </si>
  <si>
    <t>https://dd3ka9h4chfr8.cloudfront.net/image/725136000567/image_96ihgbj6hp3qt16g0vkh963l5c/-S150x150-FJPG/106190-013_PRM_1.JPG</t>
  </si>
  <si>
    <t>https://dd3ka9h4chfr8.cloudfront.net/image/725136000567/image_to6bckigbd0id50dh3eih81e68/-FJPG/106190-013_FRT_1.JPG</t>
  </si>
  <si>
    <t>https://dd3ka9h4chfr8.cloudfront.net/image/725136000567/image_96ihgbj6hp3qt16g0vkh963l5c/-FJPG/106190-013_PRM_1.JPG</t>
  </si>
  <si>
    <t>https://dd3ka9h4chfr8.cloudfront.net/image/725136000567/image_3mobclo3op00td50rjmnk1th52/-FJPG/106190-013_SID_1.JPG</t>
  </si>
  <si>
    <t>https://dd3ka9h4chfr8.cloudfront.net/image/725136000567/image_u4k1h73rh56fnd8hrigpitt26r/-FJPG/106190-013_ESS_1.jpg</t>
  </si>
  <si>
    <t>https://dd3ka9h4chfr8.cloudfront.net/image/725136000567/image_mt66ja79vp6r38ou87fohttl5o/-FJPG/106190-013_DET_2.JPG</t>
  </si>
  <si>
    <t>https://dd3ka9h4chfr8.cloudfront.net/image/725136000567/image_285kmnpkth5c12tc7rclscri7h/-FJPG/106190-013_BCK_1.JPG</t>
  </si>
  <si>
    <t>https://dd3ka9h4chfr8.cloudfront.net/image/725136000567/image_j6ivkrkopp4pvbrh81vh4v7038/-FJPG/106190-013_DET_1.JPG</t>
  </si>
  <si>
    <t>https://dd3ka9h4chfr8.cloudfront.net/image/725136000567/image_3l97lijdfd79p2rq16agropo5k/-FJPG/106190-013_DET_3.JPG</t>
  </si>
  <si>
    <t>https://dd3ka9h4chfr8.cloudfront.net/image/725136000567/image_jv7bnjsj256av587l48eljlf3r/-FJPG/106190-013_DET_4.JPG</t>
  </si>
  <si>
    <t>https://dd3ka9h4chfr8.cloudfront.net/image/725136000567/image_gkuqsaljh55id0bukvbbntv64e/-FJPG/106190-013_DET_5.JPG</t>
  </si>
  <si>
    <t>https://dd3ka9h4chfr8.cloudfront.net/image/725136000567/image_vfibsdolsd4ir6d6c9k5vilf64/-FJPG/106190-013_DET_6.JPG</t>
  </si>
  <si>
    <t>https://dd3ka9h4chfr8.cloudfront.net/image/725136000567/image_o11ucrus997f3ag409na0g6m13/-FJPG/106190-013_PRM_2.JPG</t>
  </si>
  <si>
    <t>106310-005</t>
  </si>
  <si>
    <t>Cameron End Table - Ombre Antique Brass</t>
  </si>
  <si>
    <t>Asher</t>
  </si>
  <si>
    <t>Ombre Antique Brass</t>
  </si>
  <si>
    <t>An antique brass finish highlights iron's gradual blending of hues, delivering a distinctive ombre effect to the cylindrical end table. Great solo or in pairs.</t>
  </si>
  <si>
    <t>https://dd3ka9h4chfr8.cloudfront.net/image/725136000567/image_tnusv6ajlh0av1230vlvthi104/-S150x150-FJPG/106310-005_PRM_1.jpg</t>
  </si>
  <si>
    <t>https://dd3ka9h4chfr8.cloudfront.net/image/725136000567/image_tnusv6ajlh0av1230vlvthi104/-FJPG/106310-005_PRM_1.jpg</t>
  </si>
  <si>
    <t>https://dd3ka9h4chfr8.cloudfront.net/image/725136000567/image_qdm0jie5753njdcl265aq8ds0e/-FJPG/106310-005_DET_2.jpg</t>
  </si>
  <si>
    <t>https://dd3ka9h4chfr8.cloudfront.net/image/725136000567/image_vf4na11bg92t5ad7emv2870p3j/-FJPG/106310-005_DET_1.jpg</t>
  </si>
  <si>
    <t>https://dd3ka9h4chfr8.cloudfront.net/image/725136000567/image_mq0vp7stbp255d3621q95coq7r/-FJPG/106310-005_DET_4.jpg</t>
  </si>
  <si>
    <t>https://dd3ka9h4chfr8.cloudfront.net/image/725136000567/image_7816a81rl15hv1fddt0r8goh7f/-FJPG/106310-005_ROM_1.jpg</t>
  </si>
  <si>
    <t>Cameron</t>
  </si>
  <si>
    <t>106411-003</t>
  </si>
  <si>
    <t>Erie Bar + Counter Table - Dark Smoked Oak</t>
  </si>
  <si>
    <t>Bar Tables</t>
  </si>
  <si>
    <t>Dark-smoked oak forms clean, structured lines, crafting the finest of bar tables with rustic, ombre-evocative undertones. Streak-like highlights are common, and speak to woods which have been specially selected for their unique natural patterns and graining. A subtle variance in color and pattern is to be expected from piece to piece, and is reflective of materialsâ€™ organic sourcing.</t>
  </si>
  <si>
    <t>https://dd3ka9h4chfr8.cloudfront.net/image/725136000567/image_qi38toc1097hha3490sdn3c130/-S150x150-FJPG/106411-003_PRM_1.jpg</t>
  </si>
  <si>
    <t>https://dd3ka9h4chfr8.cloudfront.net/image/725136000567/image_vtat3qhie54hb6sej1ovn38m2n/-FJPG/106411-003_FRT_1.jpg</t>
  </si>
  <si>
    <t>https://dd3ka9h4chfr8.cloudfront.net/image/725136000567/image_qi38toc1097hha3490sdn3c130/-FJPG/106411-003_PRM_1.jpg</t>
  </si>
  <si>
    <t>https://dd3ka9h4chfr8.cloudfront.net/image/725136000567/image_d1an08hng93336rn1kh2vvlp5u/-FJPG/106411-003_SID_1.jpg</t>
  </si>
  <si>
    <t>https://dd3ka9h4chfr8.cloudfront.net/image/725136000567/image_r7p0b8dj6971fb4uittgbhmb5t/-FJPG/106411-003_DET_2.jpg</t>
  </si>
  <si>
    <t>https://dd3ka9h4chfr8.cloudfront.net/image/725136000567/image_qj8qht8o7l1h99a0ltl6jtb26e/-FJPG/106411-003_DET_1.jpg</t>
  </si>
  <si>
    <t>https://dd3ka9h4chfr8.cloudfront.net/image/725136000567/image_k25u9oie192r7fnav5ogh0aj1i/-FJPG/106411-003_DET_3.jpg</t>
  </si>
  <si>
    <t>https://dd3ka9h4chfr8.cloudfront.net/image/725136000567/image_g30r1eu24l2fr50ieq2u8rb86u/-FJPG/106411-003_DET_4.jpg</t>
  </si>
  <si>
    <t>https://dd3ka9h4chfr8.cloudfront.net/image/725136000567/image_a6bcm2srl956pcmvog43ot4s4d/-FJPG/106411-003_DET_5.jpg</t>
  </si>
  <si>
    <t>https://dd3ka9h4chfr8.cloudfront.net/image/725136000567/image_5lm521k3795ula0bg3ioi7ak2u/-FJPG/106411-003_DET_6.jpg</t>
  </si>
  <si>
    <t>https://dd3ka9h4chfr8.cloudfront.net/image/725136000567/image_fgcm5s562d5f102d1cc1dvbp48/-FJPG/106411-003_DET_7.jpg</t>
  </si>
  <si>
    <t>https://dd3ka9h4chfr8.cloudfront.net/image/725136000567/image_qchvhrj9rt2959ojqbnd042u01/-FJPG/106411-003_DET_8.jpg</t>
  </si>
  <si>
    <t>https://dd3ka9h4chfr8.cloudfront.net/image/725136000567/image_0trb9gcq2h7ib3247pk471ls5q/-FJPG/106411-003_DET_9.jpg</t>
  </si>
  <si>
    <t>https://dd3ka9h4chfr8.cloudfront.net/image/725136000567/image_tq81espsnl5kbf7tqr4g8mrc57/-FJPG/106411-003_VIG_1.jpg</t>
  </si>
  <si>
    <t>18.63"</t>
  </si>
  <si>
    <t>45.25"</t>
  </si>
  <si>
    <t>19.63"</t>
  </si>
  <si>
    <t>40.38"</t>
  </si>
  <si>
    <t>Bar</t>
  </si>
  <si>
    <t>106411-004</t>
  </si>
  <si>
    <t>Dark-smoked oak forms clean, structured lines, crafting the finest of counter tables with beautiful rustic undertones.</t>
  </si>
  <si>
    <t>https://dd3ka9h4chfr8.cloudfront.net/image/725136000567/image_6kn1tfv3kd18p70mg6mhrhth1d/-S150x150-FJPG/106411-004_PRM_1.jpg</t>
  </si>
  <si>
    <t>https://dd3ka9h4chfr8.cloudfront.net/image/725136000567/image_186liroetd05bfpps2bu5opn4c/-FJPG/106411-004_FRT_1.jpg</t>
  </si>
  <si>
    <t>https://dd3ka9h4chfr8.cloudfront.net/image/725136000567/image_6kn1tfv3kd18p70mg6mhrhth1d/-FJPG/106411-004_PRM_1.jpg</t>
  </si>
  <si>
    <t>https://dd3ka9h4chfr8.cloudfront.net/image/725136000567/image_q6a77r8cd505rea8iapvchba6p/-FJPG/106411-004_SID_1.jpg</t>
  </si>
  <si>
    <t>https://dd3ka9h4chfr8.cloudfront.net/image/725136000567/image_deeqgs84rt2s98mn3qr9v1010r/-FJPG/106411-004_DET_2.jpg</t>
  </si>
  <si>
    <t>https://dd3ka9h4chfr8.cloudfront.net/image/725136000567/image_atdpnl82t55ip96bson6bmct5t/-FJPG/106411-004_DET_1.jpg</t>
  </si>
  <si>
    <t>https://dd3ka9h4chfr8.cloudfront.net/image/725136000567/image_cujsqbi56949569novakidfm2a/-FJPG/106411-004_DET_3.jpg</t>
  </si>
  <si>
    <t>https://dd3ka9h4chfr8.cloudfront.net/image/725136000567/image_svfvf2l1rl40v4vdfn434g4t5f/-FJPG/106411-004_TOP_1.jpg</t>
  </si>
  <si>
    <t>https://dd3ka9h4chfr8.cloudfront.net/image/725136000567/image_a1nidhnett239afo0vs1ov861n/-FJPG/106411-004_DET_4.jpg</t>
  </si>
  <si>
    <t>https://dd3ka9h4chfr8.cloudfront.net/image/725136000567/image_1pva39m9st74v1c9t2enfusr5u/-FJPG/106411-004_DET_5.jpg</t>
  </si>
  <si>
    <t>https://dd3ka9h4chfr8.cloudfront.net/image/725136000567/image_v34ah28an54v127b9caik0jc38/-FJPG/106411-004_DET_6.jpg</t>
  </si>
  <si>
    <t>https://dd3ka9h4chfr8.cloudfront.net/image/725136000567/image_eapam42iah1db483si1djust64/-FJPG/106411-004_DET_7.jpg</t>
  </si>
  <si>
    <t>https://dd3ka9h4chfr8.cloudfront.net/image/725136000567/image_jfsrjaspfd3s95rbe0u1a6pr7p/-FJPG/106411-004_DET_8.jpg</t>
  </si>
  <si>
    <t>https://dd3ka9h4chfr8.cloudfront.net/image/725136000567/image_lv1q381nt16ob9i6jt6ghjdl5j/-FJPG/106411-004_VIG_1.jpg</t>
  </si>
  <si>
    <t>106414-006</t>
  </si>
  <si>
    <t>Raffael Bar Cabinet - Carved Stonewash Grey Mango</t>
  </si>
  <si>
    <t>Fallon</t>
  </si>
  <si>
    <t>Bar &amp; Wine Storage</t>
  </si>
  <si>
    <t>Carved Stonewash Grey Mango</t>
  </si>
  <si>
    <t>Fit for dinner parties or at-home lounging, this mango bar cabinet is finished in a stonewashed grey and intricately carved for a unique, textured look. Doors open to spacious interior shelving for storage of bottles and stemware.</t>
  </si>
  <si>
    <t>https://dd3ka9h4chfr8.cloudfront.net/image/725136000567/image_hnt1s591v97sh6g1luaiq1na42/-S150x150-FJPG/106414-006_PRM_1.jpg</t>
  </si>
  <si>
    <t>https://dd3ka9h4chfr8.cloudfront.net/image/725136000567/image_b61avt79gh19fdrs7166f2me11/-FJPG/106414-006_FRT_1.jpg</t>
  </si>
  <si>
    <t>https://dd3ka9h4chfr8.cloudfront.net/image/725136000567/image_hnt1s591v97sh6g1luaiq1na42/-FJPG/106414-006_PRM_1.jpg</t>
  </si>
  <si>
    <t>https://dd3ka9h4chfr8.cloudfront.net/image/725136000567/image_6n7umbavah6832l96b61paev4d/-FJPG/106414-006_SID_1.jpg</t>
  </si>
  <si>
    <t>https://dd3ka9h4chfr8.cloudfront.net/image/725136000567/image_3q23s9sk3l0h721vuoj8v6fs23/-FJPG/106414-006_ESS_1.jpg</t>
  </si>
  <si>
    <t>https://dd3ka9h4chfr8.cloudfront.net/image/725136000567/image_r9crkuf3u17018ap9ro26hqv6u/-FJPG/106414-006_DET_2.jpg</t>
  </si>
  <si>
    <t>https://dd3ka9h4chfr8.cloudfront.net/image/725136000567/image_2u9p68r90p7ahci8o06ms53b1v/-FJPG/106414-006_BCK_1.jpg</t>
  </si>
  <si>
    <t>https://dd3ka9h4chfr8.cloudfront.net/image/725136000567/image_7hgj4367d51r30kvnfeuh71265/-FJPG/106414-006_DET_1.jpg</t>
  </si>
  <si>
    <t>https://dd3ka9h4chfr8.cloudfront.net/image/725136000567/image_u2lbl4a9b16sp9l23lbj5ahr0m/-FJPG/106414-006_DET_3.jpg</t>
  </si>
  <si>
    <t>https://dd3ka9h4chfr8.cloudfront.net/image/725136000567/image_a4r6llilo52sld16a5kfdkt07e/-FJPG/106414-006_OPN_1.jpg</t>
  </si>
  <si>
    <t>https://dd3ka9h4chfr8.cloudfront.net/image/725136000567/image_9asvgubql137l2chdv1l79cu5j/-FJPG/106414-006_DET_4.jpg</t>
  </si>
  <si>
    <t>https://dd3ka9h4chfr8.cloudfront.net/image/725136000567/image_5mrs6iepet7m9f02e9h0abnq65/-FJPG/106414-006_ESS_2.jpg</t>
  </si>
  <si>
    <t>Bar Functionality</t>
  </si>
  <si>
    <t>Raffael</t>
  </si>
  <si>
    <t>106438-010</t>
  </si>
  <si>
    <t>Duncan End Table - Reclaimed Fruitwood</t>
  </si>
  <si>
    <t>Reclaimed Fruitwood</t>
  </si>
  <si>
    <t>Rich, reclaimed woods deliver depth beyond simple shaping. Warm brown tones reveal natural knots and graining for a distinctively found feel.</t>
  </si>
  <si>
    <t>https://dd3ka9h4chfr8.cloudfront.net/image/725136000567/image_0ajjhr8gt56md2a0v9gcjft015/-S150x150-FJPG/106438-010_PRM_1.jpg</t>
  </si>
  <si>
    <t>https://dd3ka9h4chfr8.cloudfront.net/image/725136000567/image_g36mqk5g0122b8b64i3l6avr5c/-FJPG/106438-010_FRT_1.jpg</t>
  </si>
  <si>
    <t>https://dd3ka9h4chfr8.cloudfront.net/image/725136000567/image_0ajjhr8gt56md2a0v9gcjft015/-FJPG/106438-010_PRM_1.jpg</t>
  </si>
  <si>
    <t>https://dd3ka9h4chfr8.cloudfront.net/image/725136000567/image_c3gumeg27t33r0tmrv6qun4s4l/-FJPG/106438-010_DET_2.jpg</t>
  </si>
  <si>
    <t>https://dd3ka9h4chfr8.cloudfront.net/image/725136000567/image_6rhqabitft1if71c3lqkvfjt1n/-FJPG/106438-010_DET_1.jpg</t>
  </si>
  <si>
    <t>https://dd3ka9h4chfr8.cloudfront.net/image/725136000567/image_vq6ajis8ft7u5cp4afiq9eug4m/-FJPG/106438-010_DET_3.jpg</t>
  </si>
  <si>
    <t>https://dd3ka9h4chfr8.cloudfront.net/image/725136000567/image_gnd4fhgh251td7f3khf0cl4a6c/-FJPG/106438-010_DET_4.jpg</t>
  </si>
  <si>
    <t>https://dd3ka9h4chfr8.cloudfront.net/image/725136000567/image_cpjp580ik125dd614hctr0n612/-FJPG/106438-010_ROM_1.jpg</t>
  </si>
  <si>
    <t>https://dd3ka9h4chfr8.cloudfront.net/image/725136000567/image_0tpcavb74t6vn8a1q198h4fg1v/-FJPG/106438-010_VIG_1.jpg</t>
  </si>
  <si>
    <t>Duncan</t>
  </si>
  <si>
    <t>106516-003</t>
  </si>
  <si>
    <t>Cruz End Table - Antique Rust</t>
  </si>
  <si>
    <t>Antique Rust</t>
  </si>
  <si>
    <t>Precise curves add up to modern presence, indoors or out. Swirls of color add depth to the antique rust finish. Safe for outdoor spaces â€” cover or store indoors during inclement weather and when not in use.</t>
  </si>
  <si>
    <t>https://dd3ka9h4chfr8.cloudfront.net/image/725136000567/image_053n7mbpgt4ir1g38su0tctg6q/-S150x150-FJPG/106516-003_PRM_1.jpg</t>
  </si>
  <si>
    <t>https://dd3ka9h4chfr8.cloudfront.net/image/725136000567/image_053n7mbpgt4ir1g38su0tctg6q/-FJPG/106516-003_PRM_1.jpg</t>
  </si>
  <si>
    <t>https://dd3ka9h4chfr8.cloudfront.net/image/725136000567/image_01hlcms4ed7t146e9666fgsj38/-FJPG/106516-003_DET_2.jpg</t>
  </si>
  <si>
    <t>https://dd3ka9h4chfr8.cloudfront.net/image/725136000567/image_nsgvfaq9qh1c37086mislqk259/-FJPG/106516-003_DET_1.jpg</t>
  </si>
  <si>
    <t>https://dd3ka9h4chfr8.cloudfront.net/image/725136000567/image_5nq1hhl4rp769eetcb2e8nbg3b/-FJPG/106516-003_DET_3.jpg</t>
  </si>
  <si>
    <t>https://dd3ka9h4chfr8.cloudfront.net/image/725136000567/image_5g4sd2p8b503t215t8e3i6e52p/-FJPG/106516-003_DET_4.jpg</t>
  </si>
  <si>
    <t>https://dd3ka9h4chfr8.cloudfront.net/image/725136000567/image_bvuu1pig056ut6kc8vu4cdt544/-FJPG/106516-003_ROM_1.jpg</t>
  </si>
  <si>
    <t>https://dd3ka9h4chfr8.cloudfront.net/image/725136000567/image_q7sed0dkad51jd6jpu4dpo457d/-FJPG/106516-003_VIG_1.jpg</t>
  </si>
  <si>
    <t>https://dd3ka9h4chfr8.cloudfront.net/image/725136000567/image_f6to9olk5l4jt6okqnvf74h27q/-FJPG/106516-003_ROM_3.jpg</t>
  </si>
  <si>
    <t>https://dd3ka9h4chfr8.cloudfront.net/image/725136000567/image_cr7oeh7vkd47n9tk9ogagkr078/-FJPG/106516-003_ROM_4.jpg</t>
  </si>
  <si>
    <t>Cruz</t>
  </si>
  <si>
    <t>106580-005</t>
  </si>
  <si>
    <t>Tulip Side Table - Antique Rust</t>
  </si>
  <si>
    <t>Classic tulip shaping in textural cast-aluminum makes for a modern side table. Finished in antique rust to bring out alluring highs and lows. Indoors or out; cover or store inside during inclement weather and when not in use.</t>
  </si>
  <si>
    <t>https://dd3ka9h4chfr8.cloudfront.net/image/725136000567/image_lfvbnjfict42v2ialff8q5lq4a/-S150x150-FJPG/106580-005_PRM_1.jpg</t>
  </si>
  <si>
    <t>https://dd3ka9h4chfr8.cloudfront.net/image/725136000567/image_lfvbnjfict42v2ialff8q5lq4a/-FJPG/106580-005_PRM_1.jpg</t>
  </si>
  <si>
    <t>https://dd3ka9h4chfr8.cloudfront.net/image/725136000567/image_1k8v5juugl65fbobodincs1b0o/-FJPG/106580-005_DET_2.jpg</t>
  </si>
  <si>
    <t>https://dd3ka9h4chfr8.cloudfront.net/image/725136000567/image_1lrceg93mt53f6tgjr80c97f7g/-FJPG/106580-005_DET_1.jpg</t>
  </si>
  <si>
    <t>https://dd3ka9h4chfr8.cloudfront.net/image/725136000567/image_sbs6p71e9167l80d3kbcs2h93i/-FJPG/106580-005_ROM_1.jpg</t>
  </si>
  <si>
    <t>https://dd3ka9h4chfr8.cloudfront.net/image/725136000567/image_m2imajbo0d53pa64igi428jq5n/-FJPG/106580-005_ROM_2.jpg</t>
  </si>
  <si>
    <t>https://dd3ka9h4chfr8.cloudfront.net/image/725136000567/image_e6it4k5k7l5eh78t6msaaiel3e/-FJPG/106580-005_ROM_3.jpg</t>
  </si>
  <si>
    <t>https://dd3ka9h4chfr8.cloudfront.net/image/725136000567/image_3g1eaepbjl07dbrq2o3vjv3e0o/-FJPG/106580-005_ROM_4.jpg</t>
  </si>
  <si>
    <t>https://dd3ka9h4chfr8.cloudfront.net/image/725136000567/image_en020bto510lf22eh4kpf29q7d/-FJPG/106580-005_ROM_5.jpg</t>
  </si>
  <si>
    <t>Tulip</t>
  </si>
  <si>
    <t>0.25"</t>
  </si>
  <si>
    <t>106601-005</t>
  </si>
  <si>
    <t>Simone Bistro Table - Antique Rust</t>
  </si>
  <si>
    <t>Classic tulip shaping in textural cast-aluminum makes for a modern bistro table. Finished in antique rust to bring out alluring highs and lows. Great indoors or out â€” cover or store indoors during inclement weather and when not in use.</t>
  </si>
  <si>
    <t>https://dd3ka9h4chfr8.cloudfront.net/image/725136000567/image_bb4fgblaed62v6dhceekjgtg3q/-S150x150-FJPG/106601-005_PRM_1.jpg</t>
  </si>
  <si>
    <t>https://dd3ka9h4chfr8.cloudfront.net/image/725136000567/image_bb4fgblaed62v6dhceekjgtg3q/-FJPG/106601-005_PRM_1.jpg</t>
  </si>
  <si>
    <t>https://dd3ka9h4chfr8.cloudfront.net/image/725136000567/image_a9adr0hqrl2p70d5ohesphvb0f/-FJPG/106601-005_DET_2.jpg</t>
  </si>
  <si>
    <t>https://dd3ka9h4chfr8.cloudfront.net/image/725136000567/image_bdgpjccn290h9b7bjl9mhk8k51/-FJPG/106601-005_DET_1.jpg</t>
  </si>
  <si>
    <t>https://dd3ka9h4chfr8.cloudfront.net/image/725136000567/image_24jsl640e9287adep6srpcm40n/-FJPG/106601-005_DET_3.jpg</t>
  </si>
  <si>
    <t>https://dd3ka9h4chfr8.cloudfront.net/image/725136000567/image_sveccso6ft6e50blpujofhj564/-FJPG/106601-005_TOP_1.jpg</t>
  </si>
  <si>
    <t>https://dd3ka9h4chfr8.cloudfront.net/image/725136000567/image_psqaknm09p6fhc6ej4o933gm2c/-FJPG/106601-005_DET_4.jpg</t>
  </si>
  <si>
    <t>https://dd3ka9h4chfr8.cloudfront.net/image/725136000567/image_1krmn4s2i54797eu6g7iktc40l/-FJPG/106601-005_ROM_1.jpg</t>
  </si>
  <si>
    <t>https://dd3ka9h4chfr8.cloudfront.net/image/725136000567/image_duqb5ubsvd7tldqfk53vk0tt66/-FJPG/106601-005_ROM_2.jpg</t>
  </si>
  <si>
    <t>https://dd3ka9h4chfr8.cloudfront.net/image/725136000567/image_7fg4oslrg106l84udn8c69jq7c/-FJPG/106601-005_ROM_3.jpg</t>
  </si>
  <si>
    <t>https://dd3ka9h4chfr8.cloudfront.net/image/725136000567/image_b5bhrbbud16qtav95hj255un3u/-FJPG/106601-005_ROM_4.jpg</t>
  </si>
  <si>
    <t>Simone</t>
  </si>
  <si>
    <t>30.50"</t>
  </si>
  <si>
    <t>0.50"</t>
  </si>
  <si>
    <t>10.25"</t>
  </si>
  <si>
    <t>106686-009</t>
  </si>
  <si>
    <t>Sydney Bed - Brown Wash</t>
  </si>
  <si>
    <t>Prescott</t>
  </si>
  <si>
    <t>Brown Wash</t>
  </si>
  <si>
    <t>Brown Cane</t>
  </si>
  <si>
    <t>Cane</t>
  </si>
  <si>
    <t>Brown-washed mango frames woven cane, for a light, textural look with monochromatic vibes. Three-panel head and foot boards add a detail-driven touch.</t>
  </si>
  <si>
    <t>https://dd3ka9h4chfr8.cloudfront.net/image/725136000567/image_1jtg8ant4h33fc1pvm6382r87g/-S150x150-FJPG/106686-009_PRM_1.jpg</t>
  </si>
  <si>
    <t>https://dd3ka9h4chfr8.cloudfront.net/image/725136000567/image_bebdhogbhh6fr9ft97rclhn83o/-FJPG/106686-009_FRT_1.jpg</t>
  </si>
  <si>
    <t>https://dd3ka9h4chfr8.cloudfront.net/image/725136000567/image_1jtg8ant4h33fc1pvm6382r87g/-FJPG/106686-009_PRM_1.jpg</t>
  </si>
  <si>
    <t>https://dd3ka9h4chfr8.cloudfront.net/image/725136000567/image_hfgg0ut4dh5evbb8nf0ivsuc3v/-FJPG/106686-009_SID_1.jpg</t>
  </si>
  <si>
    <t>https://dd3ka9h4chfr8.cloudfront.net/image/725136000567/image_thjl368bd10qt8sqeo36q6q87l/-FJPG/106686-009_ESS_1.jpg</t>
  </si>
  <si>
    <t>https://dd3ka9h4chfr8.cloudfront.net/image/725136000567/image_5te3oct7el00tfu07ruv3avu6k/-FJPG/106686-009_DET_2.jpg</t>
  </si>
  <si>
    <t>https://dd3ka9h4chfr8.cloudfront.net/image/725136000567/image_8bmvrt1hvt4u7abqu4h08kl70j/-FJPG/106686-009_BCK_1.jpg</t>
  </si>
  <si>
    <t>https://dd3ka9h4chfr8.cloudfront.net/image/725136000567/image_kjgiv8ismh4ptfo4lhbef1cq7g/-FJPG/106686-009_DET_1.jpg</t>
  </si>
  <si>
    <t>https://dd3ka9h4chfr8.cloudfront.net/image/725136000567/image_qgq1qe5p092dv8bqk6ot254k67/-FJPG/106686-009_DET_3.jpg</t>
  </si>
  <si>
    <t>https://dd3ka9h4chfr8.cloudfront.net/image/725136000567/image_0s96vacu9l7md55bjo3tp16b7r/-FJPG/106686-009_DET_4.jpg</t>
  </si>
  <si>
    <t>https://dd3ka9h4chfr8.cloudfront.net/image/725136000567/image_tf3ksad1ot76bd0jp4pcgu602e/-FJPG/106686-009_DET_5.jpg</t>
  </si>
  <si>
    <t>https://dd3ka9h4chfr8.cloudfront.net/image/725136000567/image_l9qpu68ipd6a509gm8bovovd0o/-FJPG/106686-009_DET_6.jpg</t>
  </si>
  <si>
    <t>https://dd3ka9h4chfr8.cloudfront.net/image/725136000567/image_pehil1o0794853r30hv2hvar78/-FJPG/106686-009_SID_2.jpg</t>
  </si>
  <si>
    <t>https://dd3ka9h4chfr8.cloudfront.net/image/725136000567/image_3f2tfpcsc56ef7bp04e0u8l17r/-FJPG/106686-009_BCK_2.jpg</t>
  </si>
  <si>
    <t>https://dd3ka9h4chfr8.cloudfront.net/image/725136000567/image_gcifcs98c117fa8cfr6ll0bf7i/-FJPG/106686-009_FRT_2.jpg</t>
  </si>
  <si>
    <t>https://dd3ka9h4chfr8.cloudfront.net/image/725136000567/image_ug391c8lud4sp64efcqtpa8g4r/-FJPG/106686-009_PRM_2.jpg</t>
  </si>
  <si>
    <t>Headboard &amp; Footboard</t>
  </si>
  <si>
    <t>Siderails /Slats &amp; Legs</t>
  </si>
  <si>
    <t>Sydney</t>
  </si>
  <si>
    <t>6.10"</t>
  </si>
  <si>
    <t>19.38"</t>
  </si>
  <si>
    <t>42.52"</t>
  </si>
  <si>
    <t>46.50"</t>
  </si>
  <si>
    <t>75.98"</t>
  </si>
  <si>
    <t>40.16"</t>
  </si>
  <si>
    <t>72.99"</t>
  </si>
  <si>
    <t>0.98"</t>
  </si>
  <si>
    <t>Sealant/Stain (Canâ€™t be floated)</t>
  </si>
  <si>
    <t>Woven</t>
  </si>
  <si>
    <t>5.83"</t>
  </si>
  <si>
    <t>Slat Roll</t>
  </si>
  <si>
    <t>106686-015</t>
  </si>
  <si>
    <t>Sydney Bed - Black Wash</t>
  </si>
  <si>
    <t>Black Cane</t>
  </si>
  <si>
    <t>Black-washed mango frames an inset of black woven cane, for a textural, monochromatic look.</t>
  </si>
  <si>
    <t>https://dd3ka9h4chfr8.cloudfront.net/image/725136000567/image_cl0lm3b9vd72p3t6fl7qavbf76/-S150x150-FJPG/106686-015_PRM_1.jpg</t>
  </si>
  <si>
    <t>https://dd3ka9h4chfr8.cloudfront.net/image/725136000567/image_cl0lm3b9vd72p3t6fl7qavbf76/-FJPG/106686-015_PRM_1.jpg</t>
  </si>
  <si>
    <t>https://dd3ka9h4chfr8.cloudfront.net/image/725136000567/image_uu9jh0s3kh435ei1a47ls62h2a/-FJPG/106686-015_ESS.tif</t>
  </si>
  <si>
    <t>https://dd3ka9h4chfr8.cloudfront.net/image/725136000567/image_73em6pdhdd22p9khqc3gobh90r/-FJPG/106686-015_DET_2.jpg</t>
  </si>
  <si>
    <t>https://dd3ka9h4chfr8.cloudfront.net/image/725136000567/image_5cd9hlsotp65n0ev2bonqdd04t/-FJPG/106686-015_DET_1.jpg</t>
  </si>
  <si>
    <t>https://dd3ka9h4chfr8.cloudfront.net/image/725136000567/image_dk3f2brunt75hfrmm2i5tmu13s/-FJPG/106686-015_DET_3.jpg</t>
  </si>
  <si>
    <t>https://dd3ka9h4chfr8.cloudfront.net/image/725136000567/image_lc8ds71vj53hte47d9h3l9ti3j/-FJPG/106686-015_DET_4.jpg</t>
  </si>
  <si>
    <t>https://dd3ka9h4chfr8.cloudfront.net/image/725136000567/image_pjptpjovr90at5bdcrm4ak6v0u/-FJPG/106686-015_DET_5.jpg</t>
  </si>
  <si>
    <t>https://dd3ka9h4chfr8.cloudfront.net/image/725136000567/image_dds0ojdsg10mrf5qiilb1iko6h/-FJPG/106686-015_DET_6.jpg</t>
  </si>
  <si>
    <t>https://dd3ka9h4chfr8.cloudfront.net/image/725136000567/image_2ebsafh1l173f6tn5o2oib7p27/-FJPG/106686-015_DET_7.jpg</t>
  </si>
  <si>
    <t>https://dd3ka9h4chfr8.cloudfront.net/image/725136000567/image_101kp302396ft5idq6547s3717/-FJPG/106686-015_BCK_2.jpg</t>
  </si>
  <si>
    <t>https://dd3ka9h4chfr8.cloudfront.net/image/725136000567/image_bidj0ralqh38je4oh6qjm6pk1e/-FJPG/106686-015_PRM_2.jpg</t>
  </si>
  <si>
    <t>https://dd3ka9h4chfr8.cloudfront.net/image/725136000567/image_id61dicid97kh5sn83adgjqd5e/-FJPG/106686-015_FRT_2.jpg</t>
  </si>
  <si>
    <t>https://dd3ka9h4chfr8.cloudfront.net/image/725136000567/image_v4bf8bhc7139ldfu9lpgkcfn6u/-FJPG/106686-015_SID_2.jpg</t>
  </si>
  <si>
    <t>Headboard And Footboard</t>
  </si>
  <si>
    <t>Siderails - Center Rail = Hardware</t>
  </si>
  <si>
    <t>62.36"</t>
  </si>
  <si>
    <t>80.00"</t>
  </si>
  <si>
    <t>60.00"</t>
  </si>
  <si>
    <t>106686-016</t>
  </si>
  <si>
    <t>https://dd3ka9h4chfr8.cloudfront.net/image/725136000567/image_homretvfet1fn774tib6te2p39/-S150x150-FJPG/106686-016_PRM_1.jpg</t>
  </si>
  <si>
    <t>https://dd3ka9h4chfr8.cloudfront.net/image/725136000567/image_j2fqb57u8d4fj164hig24e9846/-FJPG/106686-016_FRT_1.jpg</t>
  </si>
  <si>
    <t>https://dd3ka9h4chfr8.cloudfront.net/image/725136000567/image_homretvfet1fn774tib6te2p39/-FJPG/106686-016_PRM_1.jpg</t>
  </si>
  <si>
    <t>https://dd3ka9h4chfr8.cloudfront.net/image/725136000567/image_c6k433d46p42heenjbnhi86b4o/-FJPG/106686-016_SID_1.jpg</t>
  </si>
  <si>
    <t>https://dd3ka9h4chfr8.cloudfront.net/image/725136000567/image_0vi7619ek94qf6gm5d6rihkg5t/-FJPG/106686-016_BCK_1.jpg</t>
  </si>
  <si>
    <t>https://dd3ka9h4chfr8.cloudfront.net/image/725136000567/image_t12pt3a30h3dpeo9ujf7vsc82b/-FJPG/106686-016_DET_1.jpg</t>
  </si>
  <si>
    <t>https://dd3ka9h4chfr8.cloudfront.net/image/725136000567/image_e10jnqmvhh2u58n5ncstt2rl21/-FJPG/106686-016_DET_3.jpg</t>
  </si>
  <si>
    <t>https://dd3ka9h4chfr8.cloudfront.net/image/725136000567/image_vj89jv0r1d3274pjvdp0hcop3i/-FJPG/106686-016_DET_4.jpg</t>
  </si>
  <si>
    <t>https://dd3ka9h4chfr8.cloudfront.net/image/725136000567/image_0abcasbb014lfbp5gphpk42a7c/-FJPG/106686-016_DET_5.jpg</t>
  </si>
  <si>
    <t>https://dd3ka9h4chfr8.cloudfront.net/image/725136000567/image_lujv3aoall0rj5vhs1dmqjkj35/-FJPG/106686-016_DET_6.jpg</t>
  </si>
  <si>
    <t>https://dd3ka9h4chfr8.cloudfront.net/image/725136000567/image_celk58khlp1h53thmd9isq7d6d/-FJPG/106686-016_DET_7.jpg</t>
  </si>
  <si>
    <t>https://dd3ka9h4chfr8.cloudfront.net/image/725136000567/image_1487lc94095b92l8gdmsm9tm75/-FJPG/106686-016_BCK_2.jpg</t>
  </si>
  <si>
    <t>https://dd3ka9h4chfr8.cloudfront.net/image/725136000567/image_hll7fstc0d083d1416hequgi63/-FJPG/106686-016_PRM_2.jpg</t>
  </si>
  <si>
    <t>https://dd3ka9h4chfr8.cloudfront.net/image/725136000567/image_03n2m4aodt75729didbbnirm3c/-FJPG/106686-016_SID_2.jpg</t>
  </si>
  <si>
    <t>https://dd3ka9h4chfr8.cloudfront.net/image/725136000567/image_57thro0rdd2679l80mbg66mu7h/-FJPG/106686-016_FRT_2.jpg</t>
  </si>
  <si>
    <t>78.35"</t>
  </si>
  <si>
    <t>79.92"</t>
  </si>
  <si>
    <t>106686-017</t>
  </si>
  <si>
    <t>https://dd3ka9h4chfr8.cloudfront.net/image/725136000567/image_n4nuo5gk7d2vl4kfqrktduoq3i/-S150x150-FJPG/106686-017_DET_2.jpg</t>
  </si>
  <si>
    <t>https://dd3ka9h4chfr8.cloudfront.net/image/725136000567/image_n4nuo5gk7d2vl4kfqrktduoq3i/-FJPG/106686-017_DET_2.jpg</t>
  </si>
  <si>
    <t>https://dd3ka9h4chfr8.cloudfront.net/image/725136000567/image_0sfck5h79t24ldunkm7tnbon7n/-FJPG/106686-017_DET_1.jpg</t>
  </si>
  <si>
    <t>https://dd3ka9h4chfr8.cloudfront.net/image/725136000567/image_6jlc6cgv512pj1rptocltf1f58/-FJPG/106686-017_DET_3.jpg</t>
  </si>
  <si>
    <t>https://dd3ka9h4chfr8.cloudfront.net/image/725136000567/image_qmo07p5n3t1jjdlilkivc6o12h/-FJPG/106686-017_DET_4.jpg</t>
  </si>
  <si>
    <t>https://dd3ka9h4chfr8.cloudfront.net/image/725136000567/image_idsi61gu6t5mb47o93cieu5s1f/-FJPG/106686-017_DET_5.jpg</t>
  </si>
  <si>
    <t>https://dd3ka9h4chfr8.cloudfront.net/image/725136000567/image_lec8r4kood28ffpgo9vocj6h1t/-FJPG/106686-017_DET_6.jpg</t>
  </si>
  <si>
    <t>https://dd3ka9h4chfr8.cloudfront.net/image/725136000567/image_bdn1rshf0h13d4b8dvglrilq59/-FJPG/106686-017_DET_7.jpg</t>
  </si>
  <si>
    <t>https://dd3ka9h4chfr8.cloudfront.net/image/725136000567/image_se46rbao8l4e1e232qmhosfn2c/-FJPG/106686-017_FRT_2.jpg</t>
  </si>
  <si>
    <t>https://dd3ka9h4chfr8.cloudfront.net/image/725136000567/image_sfurpakfuh3sv9aoh032noqd3a/-FJPG/106686-017_BCK_2.jpg</t>
  </si>
  <si>
    <t>https://dd3ka9h4chfr8.cloudfront.net/image/725136000567/image_hvaqv3mb6h18v0tjvopaoef223/-FJPG/106686-017_SID_2.jpg</t>
  </si>
  <si>
    <t>https://dd3ka9h4chfr8.cloudfront.net/image/725136000567/image_p0oe4qiuqp2ub1mcualg75ag7r/-FJPG/106686-017_PRM_2.jpg</t>
  </si>
  <si>
    <t>106692-003</t>
  </si>
  <si>
    <t>Carmel Small Cabinet - Brown Wash</t>
  </si>
  <si>
    <t>Charcoal Grey</t>
  </si>
  <si>
    <t>Surrounded by solid mango casing, brown cane door fronts place a textural twist on midcentury-inspired styling. Airy and angular, charcoal-finished iron legs bring just-right balance to the whole look.</t>
  </si>
  <si>
    <t>https://dd3ka9h4chfr8.cloudfront.net/image/725136000567/image_lfu3l7v9rl6ppe7t2ld7a3a00e/-S150x150-FJPG/106692-003_PRM_1.jpg</t>
  </si>
  <si>
    <t>https://dd3ka9h4chfr8.cloudfront.net/image/725136000567/image_drabiliss1731c77sdgl4a6d2m/-FJPG/106692-003_FRT_1.jpg</t>
  </si>
  <si>
    <t>https://dd3ka9h4chfr8.cloudfront.net/image/725136000567/image_lfu3l7v9rl6ppe7t2ld7a3a00e/-FJPG/106692-003_PRM_1.jpg</t>
  </si>
  <si>
    <t>https://dd3ka9h4chfr8.cloudfront.net/image/725136000567/image_jn84fl5sgt2070313jkhg4gd0q/-FJPG/106692-003_SID_1.jpg</t>
  </si>
  <si>
    <t>https://dd3ka9h4chfr8.cloudfront.net/image/725136000567/image_ukg7r7juap5gleru7ck5ta7560/-FJPG/106692-003_ESS_1.jpg</t>
  </si>
  <si>
    <t>https://dd3ka9h4chfr8.cloudfront.net/image/725136000567/image_7740mf136t5v12edf1kqb85b4p/-FJPG/106692-003_DET_2.jpg</t>
  </si>
  <si>
    <t>https://dd3ka9h4chfr8.cloudfront.net/image/725136000567/image_flju30rvb52r32r8ilugrstd4j/-FJPG/106692-003_BCK_1.jpg</t>
  </si>
  <si>
    <t>https://dd3ka9h4chfr8.cloudfront.net/image/725136000567/image_fj808vfo2t5ppe8ks5orp63664/-FJPG/106692-003_DET_1.jpg</t>
  </si>
  <si>
    <t>https://dd3ka9h4chfr8.cloudfront.net/image/725136000567/image_5vlhgbfro907pbns0bovcppv2h/-FJPG/106692-003_DET_3.jpg</t>
  </si>
  <si>
    <t>https://dd3ka9h4chfr8.cloudfront.net/image/725136000567/image_03o31kcetp2pd52uj8ielk903q/-FJPG/106692-003_OPN_1.jpg</t>
  </si>
  <si>
    <t>https://dd3ka9h4chfr8.cloudfront.net/image/725136000567/image_4m9m9cp3o92rn01apahhfuen41/-FJPG/106692-003_DET_4.jpg</t>
  </si>
  <si>
    <t>https://dd3ka9h4chfr8.cloudfront.net/image/725136000567/image_jelvm66it527pbb9kmarru005l/-FJPG/106692-003_DET_5.jpg</t>
  </si>
  <si>
    <t>https://dd3ka9h4chfr8.cloudfront.net/image/725136000567/image_nnr9qedqo1303faoa2s6pe9l4o/-FJPG/106692-003_DET_6.jpg</t>
  </si>
  <si>
    <t>https://dd3ka9h4chfr8.cloudfront.net/image/725136000567/image_qj0ple1d994459uttoc1a3ln3k/-FJPG/106692-003_DET_7.jpg</t>
  </si>
  <si>
    <t>https://dd3ka9h4chfr8.cloudfront.net/image/725136000567/image_mrrirgv2up11nbdh6jt97pos7s/-FJPG/106692-003_DET_8.jpg</t>
  </si>
  <si>
    <t>11.70"</t>
  </si>
  <si>
    <t>16.90"</t>
  </si>
  <si>
    <t>Carmel</t>
  </si>
  <si>
    <t>0.63"</t>
  </si>
  <si>
    <t>16.38"</t>
  </si>
  <si>
    <t>Filing</t>
  </si>
  <si>
    <t>106692-004</t>
  </si>
  <si>
    <t>Carmel Small Cabinet - Black Wash</t>
  </si>
  <si>
    <t>Surrounded by solid, black-finished mango casing, black woven cane door fronts place a textural twist on midcentury-inspired styling. Airy and angular, charcoal-finished iron legs bring just-right balance to the whole look.</t>
  </si>
  <si>
    <t>https://dd3ka9h4chfr8.cloudfront.net/image/725136000567/image_01qkvvrchp1p1e1ccrqg71v806/-S150x150-FJPG/106692-004_PRM_1.jpg</t>
  </si>
  <si>
    <t>https://dd3ka9h4chfr8.cloudfront.net/image/725136000567/image_rn54emrom16e5bdm3abfnghl07/-FJPG/106692-004_FRT_1.jpg</t>
  </si>
  <si>
    <t>https://dd3ka9h4chfr8.cloudfront.net/image/725136000567/image_01qkvvrchp1p1e1ccrqg71v806/-FJPG/106692-004_PRM_1.jpg</t>
  </si>
  <si>
    <t>https://dd3ka9h4chfr8.cloudfront.net/image/725136000567/image_48mr935ho50nffqpkup1ppid2q/-FJPG/106692-004_SID_1.jpg</t>
  </si>
  <si>
    <t>https://dd3ka9h4chfr8.cloudfront.net/image/725136000567/image_8lhvbf6m1l47p0vrh3aodv7j3b/-FJPG/106692-004_ESS.tif</t>
  </si>
  <si>
    <t>https://dd3ka9h4chfr8.cloudfront.net/image/725136000567/image_jau9rvlasp6gtefk2foj6g1128/-FJPG/106692-004_DET_2.jpg</t>
  </si>
  <si>
    <t>https://dd3ka9h4chfr8.cloudfront.net/image/725136000567/image_4hpbss6m0h7dt591bjofu6uo6c/-FJPG/106692-004_BCK_1.jpg</t>
  </si>
  <si>
    <t>https://dd3ka9h4chfr8.cloudfront.net/image/725136000567/image_g22ksh9tkh30rf3qbqimmse55b/-FJPG/106692-004_DET_1.jpg</t>
  </si>
  <si>
    <t>https://dd3ka9h4chfr8.cloudfront.net/image/725136000567/image_q3kb3npsml0gr59bp1fverq67v/-FJPG/106692-004_DET_3.jpg</t>
  </si>
  <si>
    <t>https://dd3ka9h4chfr8.cloudfront.net/image/725136000567/image_ipdo0nuie531b1rdb9vu3hsr1q/-FJPG/106692-004_OPN_1.jpg</t>
  </si>
  <si>
    <t>https://dd3ka9h4chfr8.cloudfront.net/image/725136000567/image_ohl7ebs9ll6gl6s87s36nfij46/-FJPG/106692-004_DET_4.jpg</t>
  </si>
  <si>
    <t>https://dd3ka9h4chfr8.cloudfront.net/image/725136000567/image_6jm0atimj94qf2mej2fbcqsk0q/-FJPG/106692-004_DET_5.jpg</t>
  </si>
  <si>
    <t>https://dd3ka9h4chfr8.cloudfront.net/image/725136000567/image_iqdh2tnhk56d13ho668bs8i159/-FJPG/106692-004_DET_6.jpg</t>
  </si>
  <si>
    <t>https://dd3ka9h4chfr8.cloudfront.net/image/725136000567/image_r4oqh1s26h2kt1aulo94hlqf71/-FJPG/106692-004_DET_7.jpg</t>
  </si>
  <si>
    <t>107188-004</t>
  </si>
  <si>
    <t>Habitat Slipcover Chaise - Bennett Moon</t>
  </si>
  <si>
    <t>https://dd3ka9h4chfr8.cloudfront.net/image/725136000567/image_j3lem205el5a354k1uq4va2j0a/-S150x150-FJPG/107188-004_PRM_1.jpg</t>
  </si>
  <si>
    <t>https://dd3ka9h4chfr8.cloudfront.net/image/725136000567/image_3uajp5g41103h9bmdg63dr1h52/-FJPG/107188-004_FRT_1.jpg</t>
  </si>
  <si>
    <t>https://dd3ka9h4chfr8.cloudfront.net/image/725136000567/image_j3lem205el5a354k1uq4va2j0a/-FJPG/107188-004_PRM_1.jpg</t>
  </si>
  <si>
    <t>https://dd3ka9h4chfr8.cloudfront.net/image/725136000567/image_c1s743hfml5ur6118itp948e4r/-FJPG/107188-004_SID_1.jpg</t>
  </si>
  <si>
    <t>https://dd3ka9h4chfr8.cloudfront.net/image/725136000567/image_60ad80mcmp06h51qd8rkg2132p/-FJPG/107188-004_ESS_1.jpg</t>
  </si>
  <si>
    <t>https://dd3ka9h4chfr8.cloudfront.net/image/725136000567/image_pgr1anrdih2hl2anhlqq6v5q2k/-FJPG/107188-004_DET_2.jpg</t>
  </si>
  <si>
    <t>https://dd3ka9h4chfr8.cloudfront.net/image/725136000567/image_3vpdqnj4hd19f67ik463kprs29/-FJPG/107188-004_BCK_1.jpg</t>
  </si>
  <si>
    <t>https://dd3ka9h4chfr8.cloudfront.net/image/725136000567/image_3m6k6s93j90rde2700k59kb534/-FJPG/107188-004_DET_1.jpg</t>
  </si>
  <si>
    <t>https://dd3ka9h4chfr8.cloudfront.net/image/725136000567/image_pqda8al0i14aba7mbqcddppj4n/-FJPG/107188-004_DET_3.jpg</t>
  </si>
  <si>
    <t>https://dd3ka9h4chfr8.cloudfront.net/image/725136000567/image_dt06rshn8h0e3fota122dvb92l/-FJPG/107188-004_DET_4.jpg</t>
  </si>
  <si>
    <t>https://dd3ka9h4chfr8.cloudfront.net/image/725136000567/image_ov84q4i2v9185avb7jfm72n76l/-FJPG/107188-004_DET_5.jpg</t>
  </si>
  <si>
    <t>https://dd3ka9h4chfr8.cloudfront.net/image/725136000567/image_p5vh7ms4a903d6p0b73ucuek3n/-FJPG/107188-004_DET_6.jpg</t>
  </si>
  <si>
    <t>40.50"</t>
  </si>
  <si>
    <t>70.50"</t>
  </si>
  <si>
    <t>63% Polyurethane Foam, 30% Fiber, 7% Down</t>
  </si>
  <si>
    <t>Habitat</t>
  </si>
  <si>
    <t>13.14"</t>
  </si>
  <si>
    <t>2.36"</t>
  </si>
  <si>
    <t>75.20"</t>
  </si>
  <si>
    <t>107197-011</t>
  </si>
  <si>
    <t>Wickham Sleeper Sofa - Alameda Snow</t>
  </si>
  <si>
    <t>Montclair</t>
  </si>
  <si>
    <t>Alameda Snow</t>
  </si>
  <si>
    <t>Ronan Linen</t>
  </si>
  <si>
    <t>Ebony</t>
  </si>
  <si>
    <t>88% Olefin</t>
  </si>
  <si>
    <t>11% Polyester (UV)</t>
  </si>
  <si>
    <t>1% Polyester</t>
  </si>
  <si>
    <t>Solid Maple</t>
  </si>
  <si>
    <t>A simple, stylish silhouette redefines the classic sofa bed. With knife-edge pillows and high-performance upholstery, a discreetly concealed sleeper mechanism allows for one-step pullout with ultimate ease. Unfolded, sofa cushions form a comfortable Queen-size bed, ready to welcome overnight guests or make movie nights a little comfier. Best yet, no extra mattress necessary.</t>
  </si>
  <si>
    <t>https://dd3ka9h4chfr8.cloudfront.net/image/725136000567/image_8uqbmm5n497eh1lbhrdilami0q/-S150x150-FJPG/107197-011_PRM_1.jpg</t>
  </si>
  <si>
    <t>https://dd3ka9h4chfr8.cloudfront.net/image/725136000567/image_2iq0bemtsp6f54qsj4uf5o7a2p/-FJPG/107197-011_FRT_1.jpg</t>
  </si>
  <si>
    <t>https://dd3ka9h4chfr8.cloudfront.net/image/725136000567/image_8uqbmm5n497eh1lbhrdilami0q/-FJPG/107197-011_PRM_1.jpg</t>
  </si>
  <si>
    <t>https://dd3ka9h4chfr8.cloudfront.net/image/725136000567/image_i1a2c2rcvl58b0tjd0fdii0j34/-FJPG/107197-011_SID_1.jpg</t>
  </si>
  <si>
    <t>https://dd3ka9h4chfr8.cloudfront.net/image/725136000567/image_q8m0eli13p6795edsf1o77jh7h/-FJPG/107197-011_ESS_1.jpg</t>
  </si>
  <si>
    <t>https://dd3ka9h4chfr8.cloudfront.net/image/725136000567/image_ak3dm9fs515fvfe2so934nq141/-FJPG/107197-011_DET_2.jpg</t>
  </si>
  <si>
    <t>https://dd3ka9h4chfr8.cloudfront.net/image/725136000567/image_8q75lputvd2pr8n71s1pq9g467/-FJPG/107197-011_BCK_1.jpg</t>
  </si>
  <si>
    <t>https://dd3ka9h4chfr8.cloudfront.net/image/725136000567/image_vboht3t7el7gv5r3pmpb486o20/-FJPG/107197-011_INF_1.jpg</t>
  </si>
  <si>
    <t>https://dd3ka9h4chfr8.cloudfront.net/image/725136000567/image_mv1fl1ghsh3816hhm04b488d7h/-FJPG/107197-011_DET_1.jpg</t>
  </si>
  <si>
    <t>https://dd3ka9h4chfr8.cloudfront.net/image/725136000567/image_gnijr71mmh3g71f2b016gt2d2u/-FJPG/107197-011_DET_3.jpg</t>
  </si>
  <si>
    <t>https://dd3ka9h4chfr8.cloudfront.net/image/725136000567/image_9pckllagm942jbpatjjqn0do3j/-FJPG/107197-011_OPN_1.jpg</t>
  </si>
  <si>
    <t>https://dd3ka9h4chfr8.cloudfront.net/image/725136000567/image_195t1l42hl3pp0525gnjekp63b/-FJPG/107197-011_DET_4.jpg</t>
  </si>
  <si>
    <t>https://dd3ka9h4chfr8.cloudfront.net/image/725136000567/image_95k103nohp4pt6epu55sf6hf4c/-FJPG/107197-011_DET_5.jpg</t>
  </si>
  <si>
    <t>https://dd3ka9h4chfr8.cloudfront.net/image/725136000567/image_uoarigklh50vt35akl42egei14/-FJPG/107197-011_DET_6.jpg</t>
  </si>
  <si>
    <t>https://dd3ka9h4chfr8.cloudfront.net/image/725136000567/image_22tq5bep0505v94uhhbui8mp74/-FJPG/107197-011_DET_7.jpg</t>
  </si>
  <si>
    <t>https://dd3ka9h4chfr8.cloudfront.net/image/725136000567/image_6pk52vv8g91mj0lu53a6f9he5v/-FJPG/107197-011_DET_9.jpg</t>
  </si>
  <si>
    <t>https://dd3ka9h4chfr8.cloudfront.net/image/725136000567/image_j25ghdss811oh806us6lohii18/-FJPG/107197-011_DET_10.jpg</t>
  </si>
  <si>
    <t>https://dd3ka9h4chfr8.cloudfront.net/image/725136000567/image_q6lmom2vhh0i3301onjqdkt77e/-FJPG/107197-011_OPN_2.jpg</t>
  </si>
  <si>
    <t>https://dd3ka9h4chfr8.cloudfront.net/image/725136000567/image_pl7814pu6h19n9r0ecq2fl8838/-FJPG/107197-011_OPN_3.jpg</t>
  </si>
  <si>
    <t>United States</t>
  </si>
  <si>
    <t>1 Sofa Bed - Queen</t>
  </si>
  <si>
    <t>Sleeper</t>
  </si>
  <si>
    <t>Wickham</t>
  </si>
  <si>
    <t>41.50"</t>
  </si>
  <si>
    <t>74.00"</t>
  </si>
  <si>
    <t>107197-013</t>
  </si>
  <si>
    <t>A simple, stylish silhouette redefines the classic sofa bed. With knife-edge pillows and high-performance upholstery, a discreetly concealed sleeper mechanism allows for one-step pullout with ultimate ease. Unfolded, sofa cushions form a comfortable full-size bed, ready to welcome overnight guests or make movie nights a little comfier. Best yet, no extra mattress necessary.</t>
  </si>
  <si>
    <t>https://dd3ka9h4chfr8.cloudfront.net/image/725136000567/image_9o58ju54el26b4cuv6vcns5a7s/-S150x150-FJPG/107197-013_PRM_1.jpg</t>
  </si>
  <si>
    <t>https://dd3ka9h4chfr8.cloudfront.net/image/725136000567/image_t93ib7mepp36f6kve7c3r6ul10/-FJPG/107197-013_FRT_1.jpg</t>
  </si>
  <si>
    <t>https://dd3ka9h4chfr8.cloudfront.net/image/725136000567/image_9o58ju54el26b4cuv6vcns5a7s/-FJPG/107197-013_PRM_1.jpg</t>
  </si>
  <si>
    <t>https://dd3ka9h4chfr8.cloudfront.net/image/725136000567/image_bmosor0m2h69pbv36ber61a46r/-FJPG/107197-013_SID_1.jpg</t>
  </si>
  <si>
    <t>https://dd3ka9h4chfr8.cloudfront.net/image/725136000567/image_p275jq4pdh3s7ce4ppchsiuq1e/-FJPG/UATR-067E-892P_ESS_1.jpg</t>
  </si>
  <si>
    <t>https://dd3ka9h4chfr8.cloudfront.net/image/725136000567/image_aa9p1pio9d2vl0hff1e6gbus2c/-FJPG/107197-013_ESS_1.jpg</t>
  </si>
  <si>
    <t>https://dd3ka9h4chfr8.cloudfront.net/image/725136000567/image_i1f1gnpmql2tv2l6t7llhpe34h/-FJPG/107197-013_DET_2.jpg</t>
  </si>
  <si>
    <t>https://dd3ka9h4chfr8.cloudfront.net/image/725136000567/image_ia4kittup112h8hj7lmgkd6n6t/-FJPG/UATR-067E-892P_DET_2.jpg</t>
  </si>
  <si>
    <t>https://dd3ka9h4chfr8.cloudfront.net/image/725136000567/image_mt2fl3bru937va21ru8rid853i/-FJPG/107197-013_BCK_1.jpg</t>
  </si>
  <si>
    <t>https://dd3ka9h4chfr8.cloudfront.net/image/725136000567/image_k7va978tm1641euhnlbm6hoe4s/-FJPG/107197-013_INF_1.jpg</t>
  </si>
  <si>
    <t>https://dd3ka9h4chfr8.cloudfront.net/image/725136000567/image_ebmbgmmrs51mp98i2a5com2f17/-FJPG/107197-013_DET_1.jpg</t>
  </si>
  <si>
    <t>https://dd3ka9h4chfr8.cloudfront.net/image/725136000567/image_00utthk7ep73h3h516996drq6n/-FJPG/107197-013_DET_3.jpg</t>
  </si>
  <si>
    <t>https://dd3ka9h4chfr8.cloudfront.net/image/725136000567/image_35f2pah3b10gnbch76e90fu30i/-FJPG/107197-013_DET_4.jpg</t>
  </si>
  <si>
    <t>https://dd3ka9h4chfr8.cloudfront.net/image/725136000567/image_4ejsq0fmjp03hasb7pb0pqcv1b/-FJPG/107197-013_DET_5.jpg</t>
  </si>
  <si>
    <t>https://dd3ka9h4chfr8.cloudfront.net/image/725136000567/image_bvfsqpkqup1lvcrdqnneu74k1c/-FJPG/107197-013_DET_6.jpg</t>
  </si>
  <si>
    <t>https://dd3ka9h4chfr8.cloudfront.net/image/725136000567/image_ccjfidnm414h7c9mk9j1pa2d55/-FJPG/107197-013_DET_7.jpg</t>
  </si>
  <si>
    <t>https://dd3ka9h4chfr8.cloudfront.net/image/725136000567/image_vad9ke2re922ffo43m6bv1uc0f/-FJPG/107197-013_DET_9.jpg</t>
  </si>
  <si>
    <t>https://dd3ka9h4chfr8.cloudfront.net/image/725136000567/image_6u5v487lu14ml3uadkl6ml0t3o/-FJPG/107197-013_DET_10.jpg</t>
  </si>
  <si>
    <t>https://dd3ka9h4chfr8.cloudfront.net/image/725136000567/image_4nhd4t8b2955n027kobhj23i5n/-FJPG/107197-013_OPN_2.jpg</t>
  </si>
  <si>
    <t>https://dd3ka9h4chfr8.cloudfront.net/image/725136000567/image_ph7a7pr4vt76d7df66ijpisp34/-FJPG/107197-013_ESS_2.jpg</t>
  </si>
  <si>
    <t>https://dd3ka9h4chfr8.cloudfront.net/image/725136000567/image_2vaal097b1019eng4cok92jl2j/-FJPG/UATR-067E-892P_ESS_2.jpg</t>
  </si>
  <si>
    <t>https://dd3ka9h4chfr8.cloudfront.net/image/725136000567/image_n3g0a7peft3657e7tp1n6kog2v/-FJPG/107197-013_OPN_3.jpg</t>
  </si>
  <si>
    <t>1 Sofa Bed - Full</t>
  </si>
  <si>
    <t>Full</t>
  </si>
  <si>
    <t>50.50"</t>
  </si>
  <si>
    <t>107261-020</t>
  </si>
  <si>
    <t>Colt Sofa - Merino Cotton</t>
  </si>
  <si>
    <t>Simply styled for everyday lounging. A soft cotton covering is made for comfort, with subtly flared sides for shapely effect, all grounded by a wrapped plinth base.</t>
  </si>
  <si>
    <t>https://dd3ka9h4chfr8.cloudfront.net/image/725136000567/image_87djlvhn9t6epar2ofdkeusq6m/-S150x150-FJPG/107261-020_PRM_1.jpg</t>
  </si>
  <si>
    <t>https://dd3ka9h4chfr8.cloudfront.net/image/725136000567/image_q1q8ej6m5p7kvbthpgqj7meu2e/-FJPG/107261-020_FRT_1.jpg</t>
  </si>
  <si>
    <t>https://dd3ka9h4chfr8.cloudfront.net/image/725136000567/image_87djlvhn9t6epar2ofdkeusq6m/-FJPG/107261-020_PRM_1.jpg</t>
  </si>
  <si>
    <t>https://dd3ka9h4chfr8.cloudfront.net/image/725136000567/image_nmabcolarp30l3rou4q9pmlf73/-FJPG/107261-020_SID_1.jpg</t>
  </si>
  <si>
    <t>https://dd3ka9h4chfr8.cloudfront.net/image/725136000567/image_cokls95kpd2ihd5dblp21cjc09/-FJPG/107261-020_ESS_1.jpg</t>
  </si>
  <si>
    <t>https://dd3ka9h4chfr8.cloudfront.net/image/725136000567/image_3753p2psr533b83msdj7r6ju6j/-FJPG/107261-020_BCK_1.jpg</t>
  </si>
  <si>
    <t>78.00"</t>
  </si>
  <si>
    <t>24.40"</t>
  </si>
  <si>
    <t>91.00"</t>
  </si>
  <si>
    <t>107261-031</t>
  </si>
  <si>
    <t>Colt Sofa - Canton Dove</t>
  </si>
  <si>
    <t>Canton Dove</t>
  </si>
  <si>
    <t>https://dd3ka9h4chfr8.cloudfront.net/image/725136000567/image_kpvjl8fd3901f9j9f49bm02s3u/-S150x150-FJPG/107261-031_PRM_1.jpg</t>
  </si>
  <si>
    <t>https://dd3ka9h4chfr8.cloudfront.net/image/725136000567/image_rfmegbtfe12kh352fv8dlh8a2l/-FJPG/107261-031_FRT_1.jpg</t>
  </si>
  <si>
    <t>https://dd3ka9h4chfr8.cloudfront.net/image/725136000567/image_kpvjl8fd3901f9j9f49bm02s3u/-FJPG/107261-031_PRM_1.jpg</t>
  </si>
  <si>
    <t>https://dd3ka9h4chfr8.cloudfront.net/image/725136000567/image_pie7qtof114e33l306kbsjo90g/-FJPG/107261-031_SID_1.jpg</t>
  </si>
  <si>
    <t>https://dd3ka9h4chfr8.cloudfront.net/image/725136000567/image_ikcpaimcj11vbclg2en1gtmp1i/-FJPG/107261-031_DET_2.jpg</t>
  </si>
  <si>
    <t>https://dd3ka9h4chfr8.cloudfront.net/image/725136000567/image_0qoe9dhc8t7updalvouu24fu27/-FJPG/107261-031_BCK_1.jpg</t>
  </si>
  <si>
    <t>https://dd3ka9h4chfr8.cloudfront.net/image/725136000567/image_6cf3j4jjcd7ur5lidml542m148/-FJPG/107261-031_DET_1.jpg</t>
  </si>
  <si>
    <t>https://dd3ka9h4chfr8.cloudfront.net/image/725136000567/image_n78v8e2hk97a5aq0bfgbdd8r2e/-FJPG/107261-031_DET_3.jpg</t>
  </si>
  <si>
    <t>https://dd3ka9h4chfr8.cloudfront.net/image/725136000567/image_f9i2kc159l6prcihbjkrnvvn28/-FJPG/107261-031_DET_4.jpg</t>
  </si>
  <si>
    <t>https://dd3ka9h4chfr8.cloudfront.net/image/725136000567/image_o040cfm7qp0efejjfa22vffc3a/-FJPG/107261-031_DET_5.jpg</t>
  </si>
  <si>
    <t>https://dd3ka9h4chfr8.cloudfront.net/image/725136000567/image_67v543i3ll0j32cmnug9usal3e/-FJPG/107261-031_DET_6.jpg</t>
  </si>
  <si>
    <t>107269-015</t>
  </si>
  <si>
    <t>Colt 3-Piece Sectional - Merino Cotton</t>
  </si>
  <si>
    <t>L- Shaped</t>
  </si>
  <si>
    <t>https://dd3ka9h4chfr8.cloudfront.net/image/725136000567/image_ck5siq8h491f3elep1g70jj76h/-S150x150-FJPG/107269-015_PRM_1.jpg</t>
  </si>
  <si>
    <t>https://dd3ka9h4chfr8.cloudfront.net/image/725136000567/image_213d75vlgl7095voudn6c88832/-FJPG/107269-015_FRT_1.jpg</t>
  </si>
  <si>
    <t>https://dd3ka9h4chfr8.cloudfront.net/image/725136000567/image_ck5siq8h491f3elep1g70jj76h/-FJPG/107269-015_PRM_1.jpg</t>
  </si>
  <si>
    <t>https://dd3ka9h4chfr8.cloudfront.net/image/725136000567/image_8h53uo1li15apfl49do7dg8c3v/-FJPG/107269-015_SID_1.jpg</t>
  </si>
  <si>
    <t>https://dd3ka9h4chfr8.cloudfront.net/image/725136000567/image_g69sh0up610dl12bolkog0qa66/-FJPG/107269-015_ESS.tif</t>
  </si>
  <si>
    <t>https://dd3ka9h4chfr8.cloudfront.net/image/725136000567/image_98tot7m9i96lt1fedghsjhuv2f/-FJPG/107269-015_BCK_1.jpg</t>
  </si>
  <si>
    <t>Corner 3 Piece</t>
  </si>
  <si>
    <t>875 lb</t>
  </si>
  <si>
    <t>L-Shaped</t>
  </si>
  <si>
    <t>107269-024</t>
  </si>
  <si>
    <t>Colt 3-Piece Sectional - Heirloom Cigar</t>
  </si>
  <si>
    <t>A simply styled sectional, perfect for everyday lounging. Rich top grain leather makes for a polished presentation, with subtly flared sides for shapely effect, all grounded by a wrapped plinth base.</t>
  </si>
  <si>
    <t>https://dd3ka9h4chfr8.cloudfront.net/image/725136000567/image_pektiug8np3jl66qs1i51re424/-S150x150-FJPG/107269-024_PRM_1.jpg</t>
  </si>
  <si>
    <t>https://dd3ka9h4chfr8.cloudfront.net/image/725136000567/image_gsi6le1t8p22t0deh0i8qma81l/-FJPG/107269-024_FRT_1.jpg</t>
  </si>
  <si>
    <t>https://dd3ka9h4chfr8.cloudfront.net/image/725136000567/image_pektiug8np3jl66qs1i51re424/-FJPG/107269-024_PRM_1.jpg</t>
  </si>
  <si>
    <t>https://dd3ka9h4chfr8.cloudfront.net/image/725136000567/image_pih35iqma51mr4jfa7lavi3i4r/-FJPG/107269-024_ESS.jpg</t>
  </si>
  <si>
    <t>https://dd3ka9h4chfr8.cloudfront.net/image/725136000567/image_8lijloo8cd1md1s4a71ke6r560/-FJPG/107269-024_ESS.tif</t>
  </si>
  <si>
    <t>https://dd3ka9h4chfr8.cloudfront.net/image/725136000567/image_ohibq373ap4aledvsibqkc0r62/-FJPG/107269-024_ESS_1.jpg</t>
  </si>
  <si>
    <t>https://dd3ka9h4chfr8.cloudfront.net/image/725136000567/image_dutmc4u7j95rn2o8pa4hioll5f/-FJPG/107269-024_DET_2.jpg</t>
  </si>
  <si>
    <t>https://dd3ka9h4chfr8.cloudfront.net/image/725136000567/image_pjtg87723101tbkjq6uu8j810a/-FJPG/107269-024_BCK_1.jpg</t>
  </si>
  <si>
    <t>https://dd3ka9h4chfr8.cloudfront.net/image/725136000567/image_3fl15vm5i93rh7fm4a6eaaqd0j/-FJPG/107269-024_DET_1.jpg</t>
  </si>
  <si>
    <t>https://dd3ka9h4chfr8.cloudfront.net/image/725136000567/image_d8dg077pd12i55vtejufdfs12h/-FJPG/107269-024_DET_3.jpg</t>
  </si>
  <si>
    <t>https://dd3ka9h4chfr8.cloudfront.net/image/725136000567/image_mdn4ks3rc14br91qiein205e5p/-FJPG/107269-024_DET_4.jpg</t>
  </si>
  <si>
    <t>https://dd3ka9h4chfr8.cloudfront.net/image/725136000567/image_kmeihcj8vt7lf1i6o8fl1g9340/-FJPG/107269-024_DET_5.jpg</t>
  </si>
  <si>
    <t>https://dd3ka9h4chfr8.cloudfront.net/image/725136000567/image_g2q9s24rrp3rp9spld6hmu8700/-FJPG/107269-024_DET_6.jpg</t>
  </si>
  <si>
    <t>https://dd3ka9h4chfr8.cloudfront.net/image/725136000567/image_1q6r91o9j91d349p9ovu1snb0v/-FJPG/107269-024_DET_7.jpg</t>
  </si>
  <si>
    <t>107271-014</t>
  </si>
  <si>
    <t>Right Chaise</t>
  </si>
  <si>
    <t>Simply styled for everyday lounging. A soft cotton covering is made for comfort, with subtly flared sides for shapely effect, all grounded by a wrapped plinth base. Right arm-facing chaise to matching modular sectional.</t>
  </si>
  <si>
    <t>https://dd3ka9h4chfr8.cloudfront.net/image/725136000567/image_1u84jdpb353u97kd3fac41nn2f/-S150x150-FJPG/107271-014_PRM_1.jpg</t>
  </si>
  <si>
    <t>https://dd3ka9h4chfr8.cloudfront.net/image/725136000567/image_bprkvlca716o3atunfp4nio62o/-FJPG/107271-014_FRT_1.jpg</t>
  </si>
  <si>
    <t>https://dd3ka9h4chfr8.cloudfront.net/image/725136000567/image_1u84jdpb353u97kd3fac41nn2f/-FJPG/107271-014_PRM_1.jpg</t>
  </si>
  <si>
    <t>https://dd3ka9h4chfr8.cloudfront.net/image/725136000567/image_7b573qfndl4rt1gu2tebav6a0j/-FJPG/107271-014_SID_1.jpg</t>
  </si>
  <si>
    <t>https://dd3ka9h4chfr8.cloudfront.net/image/725136000567/image_6nvfudqe9d6fh9lhgc3c72ep07/-FJPG/107271-014_BCK_1.jpg</t>
  </si>
  <si>
    <t>https://dd3ka9h4chfr8.cloudfront.net/image/725136000567/image_3jhcn8ibh13vf36jes7om7k209/-FJPG/107271-014_INF_1.jpg</t>
  </si>
  <si>
    <t>Right-Facing Chaise</t>
  </si>
  <si>
    <t>107271-023</t>
  </si>
  <si>
    <t>Simply styled for everyday lounging. Rich top grain leather makes for a polished presentation, with subtly flared sides for shapely effect, all grounded by a wrapped plinth base.</t>
  </si>
  <si>
    <t>https://dd3ka9h4chfr8.cloudfront.net/image/725136000567/image_sn8v6rhkn10dp35o7aksqte714/-S150x150-FJPG/107271-023_PRM_1.jpg</t>
  </si>
  <si>
    <t>https://dd3ka9h4chfr8.cloudfront.net/image/725136000567/image_pqgrv2glep7b3640p7stmi5m0r/-FJPG/107271-023_FRT_1.jpg</t>
  </si>
  <si>
    <t>https://dd3ka9h4chfr8.cloudfront.net/image/725136000567/image_sn8v6rhkn10dp35o7aksqte714/-FJPG/107271-023_PRM_1.jpg</t>
  </si>
  <si>
    <t>https://dd3ka9h4chfr8.cloudfront.net/image/725136000567/image_elhscha3sl7u9587ei9k0fvl4j/-FJPG/107271-023_SID_1.jpg</t>
  </si>
  <si>
    <t>https://dd3ka9h4chfr8.cloudfront.net/image/725136000567/image_oigh10q1bt4ur3qjekmabink7j/-FJPG/107271-023_ESS_1.jpg</t>
  </si>
  <si>
    <t>https://dd3ka9h4chfr8.cloudfront.net/image/725136000567/image_vhpj3qodhd1jp0ig56dv4qbd7d/-FJPG/107271-023_DET_2.jpg</t>
  </si>
  <si>
    <t>https://dd3ka9h4chfr8.cloudfront.net/image/725136000567/image_ebntgr033d7rr905mpi0hjuo0p/-FJPG/107271-023_BCK_1.jpg</t>
  </si>
  <si>
    <t>https://dd3ka9h4chfr8.cloudfront.net/image/725136000567/image_2ta52ibkvd7bb9lkd2dru8kq6i/-FJPG/107271-023_DET_1.jpg</t>
  </si>
  <si>
    <t>https://dd3ka9h4chfr8.cloudfront.net/image/725136000567/image_7a59aae8dl2ut972m4mvcapb3a/-FJPG/107271-023_DET_3.jpg</t>
  </si>
  <si>
    <t>https://dd3ka9h4chfr8.cloudfront.net/image/725136000567/image_dd5macnuol2c79hhs47folrq24/-FJPG/107271-023_DET_4.jpg</t>
  </si>
  <si>
    <t>https://dd3ka9h4chfr8.cloudfront.net/image/725136000567/image_mlmirbgtc95050etq253a09e7o/-FJPG/107271-023_DET_5.jpg</t>
  </si>
  <si>
    <t>https://dd3ka9h4chfr8.cloudfront.net/image/725136000567/image_9c2e095ffd0h9duoibl489b33r/-FJPG/107271-023_DET_6.jpg</t>
  </si>
  <si>
    <t>107315-005</t>
  </si>
  <si>
    <t>Trey Media Console - Dove Poplar</t>
  </si>
  <si>
    <t>Fulton</t>
  </si>
  <si>
    <t>Dove Poplar</t>
  </si>
  <si>
    <t>Toffee Leather</t>
  </si>
  <si>
    <t>Solid Poplar</t>
  </si>
  <si>
    <t>Inspired by clean midcentury design, a stylish console of light-washed solid poplar offers plenty of media storage space by way of roomy cabinetry, open shelving and dual drawers. Metal-secured pulls of top-grain leather add a textural element of surprise. Great solo or paired with matching bookcases for even more storage.</t>
  </si>
  <si>
    <t>https://dd3ka9h4chfr8.cloudfront.net/image/725136000567/image_c56fbmvo9t04t79no5572cla2c/-S150x150-FJPG/107315-005_PRM_1.jpg</t>
  </si>
  <si>
    <t>https://dd3ka9h4chfr8.cloudfront.net/image/725136000567/image_i04qishk5t0u5f8rrd56tdf23t/-FJPG/107315-005_FRT_1.jpg</t>
  </si>
  <si>
    <t>https://dd3ka9h4chfr8.cloudfront.net/image/725136000567/image_c56fbmvo9t04t79no5572cla2c/-FJPG/107315-005_PRM_1.jpg</t>
  </si>
  <si>
    <t>https://dd3ka9h4chfr8.cloudfront.net/image/725136000567/image_6fp1bmcsm56j514agv1dggoj6l/-FJPG/107315-005_SID_1.jpg</t>
  </si>
  <si>
    <t>https://dd3ka9h4chfr8.cloudfront.net/image/725136000567/image_tf17gstu5p2rd196hjgkle240c/-FJPG/107315-005_ESS_1.jpg</t>
  </si>
  <si>
    <t>https://dd3ka9h4chfr8.cloudfront.net/image/725136000567/image_af1230njah3ab1uaroiada792f/-FJPG/107315-005_DET_2.jpg</t>
  </si>
  <si>
    <t>https://dd3ka9h4chfr8.cloudfront.net/image/725136000567/image_ugav5o4cml50h684blql9s785o/-FJPG/107315-005_BCK_1.jpg</t>
  </si>
  <si>
    <t>https://dd3ka9h4chfr8.cloudfront.net/image/725136000567/image_04r6jnnug54df6a6ni9t9irh0l/-FJPG/Color Variance Card_Trey Collection- Dove Poplar.jpg</t>
  </si>
  <si>
    <t>https://dd3ka9h4chfr8.cloudfront.net/image/725136000567/image_fjrt2inqjl1n72rrll0a42sq70/-FJPG/107315-005_DET_1.jpg</t>
  </si>
  <si>
    <t>https://dd3ka9h4chfr8.cloudfront.net/image/725136000567/image_v7e700l96l6utbucme51jrki1t/-FJPG/107315-005_DET_3.jpg</t>
  </si>
  <si>
    <t>https://dd3ka9h4chfr8.cloudfront.net/image/725136000567/image_ipta1225254v17bp80fvocqv75/-FJPG/107315-005_OPN_1.jpg</t>
  </si>
  <si>
    <t>https://dd3ka9h4chfr8.cloudfront.net/image/725136000567/image_clheooo5tt3e52p1mfh1gk6n0a/-FJPG/107315-005_DET_4.jpg</t>
  </si>
  <si>
    <t>https://dd3ka9h4chfr8.cloudfront.net/image/725136000567/image_dgcv9cknrp38n4brctp56t2b2e/-FJPG/107315-005_DET_5.jpg</t>
  </si>
  <si>
    <t>https://dd3ka9h4chfr8.cloudfront.net/image/725136000567/image_442lfr8r3l6l30albki03nb34u/-FJPG/107315-005_DET_6.jpg</t>
  </si>
  <si>
    <t>https://dd3ka9h4chfr8.cloudfront.net/image/725136000567/image_hk0dmmjh9d70vfif341n4hio32/-FJPG/107315-005_DET_7.jpg</t>
  </si>
  <si>
    <t>16.34"</t>
  </si>
  <si>
    <t>16.85"</t>
  </si>
  <si>
    <t>Sidemount Wood</t>
  </si>
  <si>
    <t>Trey</t>
  </si>
  <si>
    <t>16.54"</t>
  </si>
  <si>
    <t>13.70"</t>
  </si>
  <si>
    <t>15.43"</t>
  </si>
  <si>
    <t>107316-006</t>
  </si>
  <si>
    <t>Trey Bookshelf - Natural Iron</t>
  </si>
  <si>
    <t>Bookcases</t>
  </si>
  <si>
    <t>Natural Iron</t>
  </si>
  <si>
    <t>Inspired by clean midcentury design, solid poplar and raw iron fuse to offer storage and display space by way of open shelving and dual drawers. Metal-secured leather pulls add a textural element of surprise. Great alone or doubled and paired with matching media console.</t>
  </si>
  <si>
    <t>https://dd3ka9h4chfr8.cloudfront.net/image/725136000567/image_9gokdf3pb904bbrl419uhjr34o/-S150x150-FJPG/107316-006_PRM_1.jpg</t>
  </si>
  <si>
    <t>https://dd3ka9h4chfr8.cloudfront.net/image/725136000567/image_eqi5l47a2h0vvb97g91tbgg332/-FJPG/107316-006_FRT_1.jpg</t>
  </si>
  <si>
    <t>https://dd3ka9h4chfr8.cloudfront.net/image/725136000567/image_9gokdf3pb904bbrl419uhjr34o/-FJPG/107316-006_PRM_1.jpg</t>
  </si>
  <si>
    <t>https://dd3ka9h4chfr8.cloudfront.net/image/725136000567/image_ehbpe7l1f55eh1fp8sai9so62d/-FJPG/107316-006_SID_1.jpg</t>
  </si>
  <si>
    <t>https://dd3ka9h4chfr8.cloudfront.net/image/725136000567/image_ljbgddoshp2gl5rcrd075o9i53/-FJPG/107316-006_DET_2.jpg</t>
  </si>
  <si>
    <t>https://dd3ka9h4chfr8.cloudfront.net/image/725136000567/image_ourh7eqe9l6mt9vb78s9dstm0v/-FJPG/107316-006_BCK_1.jpg</t>
  </si>
  <si>
    <t>https://dd3ka9h4chfr8.cloudfront.net/image/725136000567/image_ae866nnu092jnavr02vnp1gt5k/-FJPG/107316-006_DET_3.jpg</t>
  </si>
  <si>
    <t>https://dd3ka9h4chfr8.cloudfront.net/image/725136000567/image_ianfn8kgrp3qferlvg3r22mr2u/-FJPG/107316-006_OPN_1.jpg</t>
  </si>
  <si>
    <t>https://dd3ka9h4chfr8.cloudfront.net/image/725136000567/image_dk0e7oiflp0j7di3u3m9tckg7k/-FJPG/107316-006_DET_4.jpg</t>
  </si>
  <si>
    <t>https://dd3ka9h4chfr8.cloudfront.net/image/725136000567/image_73qlfiiin56357dhr54f4blo5e/-FJPG/107316-006_DET_5.jpg</t>
  </si>
  <si>
    <t>https://dd3ka9h4chfr8.cloudfront.net/image/725136000567/image_dcq0afa97t4v15n4c5sr4svr16/-FJPG/107316-006_DET_6.jpg</t>
  </si>
  <si>
    <t>https://dd3ka9h4chfr8.cloudfront.net/image/725136000567/image_89bq081fc17dd1ejemr6dqqj3v/-FJPG/107316-006_DET_7.jpg</t>
  </si>
  <si>
    <t>https://dd3ka9h4chfr8.cloudfront.net/image/725136000567/image_i3r8a1lu9d6pb6digcmtgrtn3i/-FJPG/107316-006_DET_8.jpg</t>
  </si>
  <si>
    <t>https://dd3ka9h4chfr8.cloudfront.net/image/725136000567/image_vf9e1b6n0t1jb78q8nbuco405r/-FJPG/107316-006_DET_9.jpg</t>
  </si>
  <si>
    <t>16.42"</t>
  </si>
  <si>
    <t>16.18"</t>
  </si>
  <si>
    <t>22.44"</t>
  </si>
  <si>
    <t>15.35"</t>
  </si>
  <si>
    <t>107317-004</t>
  </si>
  <si>
    <t>Trey Modular Writing Desk - Dove Poplar</t>
  </si>
  <si>
    <t>Writing Desks</t>
  </si>
  <si>
    <t>Inspired by clean midcentury design, solid poplar and raw iron fuse for style and storage alike, offering three spacious drawers, with a fully finished back plus metal-secured leather pulls for an element of surprise. Great solo or paired with matching corner desk, file cabinet or credenza.</t>
  </si>
  <si>
    <t>https://dd3ka9h4chfr8.cloudfront.net/image/725136000567/image_injacivgn92tbd72fq4osmma1u/-S150x150-FJPG/107317-004_PRM_1.jpg</t>
  </si>
  <si>
    <t>https://dd3ka9h4chfr8.cloudfront.net/image/725136000567/image_tgasql9l154gdbch3l9u3g4i0e/-FJPG/107317-004_FRT_1.jpg</t>
  </si>
  <si>
    <t>https://dd3ka9h4chfr8.cloudfront.net/image/725136000567/image_injacivgn92tbd72fq4osmma1u/-FJPG/107317-004_PRM_1.jpg</t>
  </si>
  <si>
    <t>https://dd3ka9h4chfr8.cloudfront.net/image/725136000567/image_g4b5dd27td2th9rh28p76hh26q/-FJPG/107317-004_SID_1.jpg</t>
  </si>
  <si>
    <t>https://dd3ka9h4chfr8.cloudfront.net/image/725136000567/image_mua4o274mh7hb8dmad0tr7gh00/-FJPG/107317-004_ESS_1.jpg</t>
  </si>
  <si>
    <t>https://dd3ka9h4chfr8.cloudfront.net/image/725136000567/image_70lqckhmkh1d135fc8r6c40e7a/-FJPG/107317-004_DET_2.jpg</t>
  </si>
  <si>
    <t>https://dd3ka9h4chfr8.cloudfront.net/image/725136000567/image_sp71k1q1195e12mbtslff6og23/-FJPG/107317-004_BCK_1.jpg</t>
  </si>
  <si>
    <t>https://dd3ka9h4chfr8.cloudfront.net/image/725136000567/image_luicaua9r13k7epi2go3lfa72e/-FJPG/107317-004_DET_1.jpg</t>
  </si>
  <si>
    <t>https://dd3ka9h4chfr8.cloudfront.net/image/725136000567/image_4a5c1u84393vr9s2fpebn72u7u/-FJPG/107317-004_DET_3.jpg</t>
  </si>
  <si>
    <t>https://dd3ka9h4chfr8.cloudfront.net/image/725136000567/image_bolk4mpccl2i1bihde3u1a9s4h/-FJPG/107317-004_OPN_1.jpg</t>
  </si>
  <si>
    <t>https://dd3ka9h4chfr8.cloudfront.net/image/725136000567/image_llm43svvll0s96he4kldea4i4g/-FJPG/107317-004_TOP_1.jpg</t>
  </si>
  <si>
    <t>https://dd3ka9h4chfr8.cloudfront.net/image/725136000567/image_305eoqhsvd1td5gi2fgvt84o28/-FJPG/107317-004_DET_4.jpg</t>
  </si>
  <si>
    <t>https://dd3ka9h4chfr8.cloudfront.net/image/725136000567/image_m8aarr2qoh2dl6tejoeska8u28/-FJPG/107317-004_DET_5.jpg</t>
  </si>
  <si>
    <t>https://dd3ka9h4chfr8.cloudfront.net/image/725136000567/image_ff0mkt8anp6un01hacar4i6q0u/-FJPG/107317-004_DET_6.jpg</t>
  </si>
  <si>
    <t>https://dd3ka9h4chfr8.cloudfront.net/image/725136000567/image_4fl4lbmaf528rd46qk0frgsc72/-FJPG/107317-004_DET_7.jpg</t>
  </si>
  <si>
    <t>Writing</t>
  </si>
  <si>
    <t>58.27"</t>
  </si>
  <si>
    <t>59.84"</t>
  </si>
  <si>
    <t>3.54"</t>
  </si>
  <si>
    <t>19.37"</t>
  </si>
  <si>
    <t>107318-005</t>
  </si>
  <si>
    <t>Trey Modular Filing Cabinet - Auburn Poplar</t>
  </si>
  <si>
    <t>Office Storage</t>
  </si>
  <si>
    <t>Auburn Poplar</t>
  </si>
  <si>
    <t>Black Leather</t>
  </si>
  <si>
    <t>Inspired by clean mid-century design, greyish auburn poplar offers generous extra file storage space, with a fully finished back plus metal-secured leather pulls for an element of surprise. Great solo or paired with matching desk or credenza.</t>
  </si>
  <si>
    <t>https://dd3ka9h4chfr8.cloudfront.net/image/725136000567/image_646m0ouas5471c1igrnh4jlm0m/-S150x150-FJPG/107318-005_PRM_1.jpg</t>
  </si>
  <si>
    <t>https://dd3ka9h4chfr8.cloudfront.net/image/725136000567/image_6osn372e9964d49akd7jbmge7u/-FJPG/107318-005_FRT_1.jpg</t>
  </si>
  <si>
    <t>https://dd3ka9h4chfr8.cloudfront.net/image/725136000567/image_646m0ouas5471c1igrnh4jlm0m/-FJPG/107318-005_PRM_1.jpg</t>
  </si>
  <si>
    <t>https://dd3ka9h4chfr8.cloudfront.net/image/725136000567/image_4f5dtisf0h15j9s9tbrpsr5e3s/-FJPG/107318-005_SID_1.jpg</t>
  </si>
  <si>
    <t>https://dd3ka9h4chfr8.cloudfront.net/image/725136000567/image_td0pub2mqh3ed5ioh1n8mr4p5d/-FJPG/107318-005_ESS_1.jpg</t>
  </si>
  <si>
    <t>https://dd3ka9h4chfr8.cloudfront.net/image/725136000567/image_oouerkv7jl2sd84dtg359p9v4m/-FJPG/107318-005_DET_2.jpg</t>
  </si>
  <si>
    <t>https://dd3ka9h4chfr8.cloudfront.net/image/725136000567/image_l382jr9m291ev7ppq87813si2g/-FJPG/107318-005_DET_1.jpg</t>
  </si>
  <si>
    <t>https://dd3ka9h4chfr8.cloudfront.net/image/725136000567/image_msveu6l4l51grek4bgcl4u337s/-FJPG/107318-005_DET_3.jpg</t>
  </si>
  <si>
    <t>https://dd3ka9h4chfr8.cloudfront.net/image/725136000567/image_bumn1vtgt16phbhd76ka1ss54e/-FJPG/107318-005_OPN_1.jpg</t>
  </si>
  <si>
    <t>https://dd3ka9h4chfr8.cloudfront.net/image/725136000567/image_7g5l0k5ivt035disefj5fs7o2l/-FJPG/107318-005_DET_4.jpg</t>
  </si>
  <si>
    <t>https://dd3ka9h4chfr8.cloudfront.net/image/725136000567/image_6js3a90rpd6i15fn9riqidjs1s/-FJPG/107318-005_DET_5.jpg</t>
  </si>
  <si>
    <t>https://dd3ka9h4chfr8.cloudfront.net/image/725136000567/image_f3pcd7b7q16l30p99pg8ctmd7q/-FJPG/107318-005_DET_6.jpg</t>
  </si>
  <si>
    <t>https://dd3ka9h4chfr8.cloudfront.net/image/725136000567/image_m0o3l3umi958tahf9084too45n/-FJPG/107318-005_DET_7.jpg</t>
  </si>
  <si>
    <t>https://dd3ka9h4chfr8.cloudfront.net/image/725136000567/image_08qqlo8me96n507ldhlkj5m303/-FJPG/107318-005_DET_8.jpg</t>
  </si>
  <si>
    <t>https://dd3ka9h4chfr8.cloudfront.net/image/725136000567/image_vmalvjp9m15k71vdrea9cm2e4g/-FJPG/107318-005_ROM_1.jpg</t>
  </si>
  <si>
    <t>https://dd3ka9h4chfr8.cloudfront.net/image/725136000567/image_fqihfk946h4kbdphi4thi1n261/-FJPG/107318-005_OPN_2.jpg</t>
  </si>
  <si>
    <t>6.34"</t>
  </si>
  <si>
    <t>Filing Cabinet</t>
  </si>
  <si>
    <t>29.92"</t>
  </si>
  <si>
    <t>10.94"</t>
  </si>
  <si>
    <t>107318-006</t>
  </si>
  <si>
    <t>Trey Modular Filing Cabinet - Black Wash Poplar</t>
  </si>
  <si>
    <t>Black Wash Poplar</t>
  </si>
  <si>
    <t>Inspired by clean mid-century design, black-finished poplar offers generous extra file storage space, with a fully finished back plus metal-secured leather pulls for an element of surprise. Great solo or paired with matching desk or credenza.</t>
  </si>
  <si>
    <t>https://dd3ka9h4chfr8.cloudfront.net/image/725136000567/image_vk1c5cv8el16ffki0etakvvd0s/-S150x150-FJPG/107318-006_PRM_1.jpg</t>
  </si>
  <si>
    <t>https://dd3ka9h4chfr8.cloudfront.net/image/725136000567/image_979ha9r061303et7fssmcsqo5c/-FJPG/107318-006_FRT_1.jpg</t>
  </si>
  <si>
    <t>https://dd3ka9h4chfr8.cloudfront.net/image/725136000567/image_vk1c5cv8el16ffki0etakvvd0s/-FJPG/107318-006_PRM_1.jpg</t>
  </si>
  <si>
    <t>https://dd3ka9h4chfr8.cloudfront.net/image/725136000567/image_ltl0tt053l0nf74riu18gtvq62/-FJPG/107318-006_SID_1.jpg</t>
  </si>
  <si>
    <t>https://dd3ka9h4chfr8.cloudfront.net/image/725136000567/image_hu9b227ke14q36putgoptbdc5k/-FJPG/107318-006_ESS_1.jpg</t>
  </si>
  <si>
    <t>https://dd3ka9h4chfr8.cloudfront.net/image/725136000567/image_5r1bb9nqt50ln4evmv7991k95o/-FJPG/107318-006_DET_2.jpg</t>
  </si>
  <si>
    <t>https://dd3ka9h4chfr8.cloudfront.net/image/725136000567/image_9b223rmm4p4pjagk9h4tabse6d/-FJPG/107318-006_BCK_1.jpg</t>
  </si>
  <si>
    <t>https://dd3ka9h4chfr8.cloudfront.net/image/725136000567/image_6jmbfp76150uf62kudjec1q84a/-FJPG/107318-006_DET_1.jpg</t>
  </si>
  <si>
    <t>https://dd3ka9h4chfr8.cloudfront.net/image/725136000567/image_ijh6i50kht4o3694pqjapukn1b/-FJPG/107318-006_DET_3.jpg</t>
  </si>
  <si>
    <t>https://dd3ka9h4chfr8.cloudfront.net/image/725136000567/image_v62ihilunh7b75rjlc2kquri0b/-FJPG/107318-006_OPN_1.jpg</t>
  </si>
  <si>
    <t>https://dd3ka9h4chfr8.cloudfront.net/image/725136000567/image_djvei2284l50j37c29gfdirj28/-FJPG/107318-006_DET_4.jpg</t>
  </si>
  <si>
    <t>https://dd3ka9h4chfr8.cloudfront.net/image/725136000567/image_m0tb0ck4rp6h1bk9q0n17rkr50/-FJPG/107318-006_DET_5.jpg</t>
  </si>
  <si>
    <t>https://dd3ka9h4chfr8.cloudfront.net/image/725136000567/image_o90o258tgp5dn8mu9mm5m2lf52/-FJPG/107318-006_DET_6.jpg</t>
  </si>
  <si>
    <t>https://dd3ka9h4chfr8.cloudfront.net/image/725136000567/image_k2k4vblach1ed1lp1cg4ec0t1r/-FJPG/107318-006_DET_7.jpg</t>
  </si>
  <si>
    <t>https://dd3ka9h4chfr8.cloudfront.net/image/725136000567/image_lirlumvv4d1rndhrh6o8c9gb51/-FJPG/107318-006_DET_8.jpg</t>
  </si>
  <si>
    <t>https://dd3ka9h4chfr8.cloudfront.net/image/725136000567/image_8lss6gi3514t99782mpe8uci27/-FJPG/107318-006_DET_9.jpg</t>
  </si>
  <si>
    <t>https://dd3ka9h4chfr8.cloudfront.net/image/725136000567/image_744gudeoqd11j0050ac5isk04q/-FJPG/107318-006_OPN_2.jpg</t>
  </si>
  <si>
    <t>107318-007</t>
  </si>
  <si>
    <t>Trey Modular Filing Cabinet - Dove Poplar</t>
  </si>
  <si>
    <t>Inspired by clean midcentury design, a modular filing cabinet of light-washed solid poplar offers roomy storage of legal and letter sized documents, with a fully finished back plus metal-secured top-grain leather pulls. Great solo or paired with matching desk or credenza.</t>
  </si>
  <si>
    <t>https://dd3ka9h4chfr8.cloudfront.net/image/725136000567/image_9octulst3h3p32smn9kit80a5g/-S150x150-FJPG/107318-007_PRM_1.jpg</t>
  </si>
  <si>
    <t>https://dd3ka9h4chfr8.cloudfront.net/image/725136000567/image_no5qfogf3d1br81fd13d4gor51/-FJPG/107318-007_FRT_1.jpg</t>
  </si>
  <si>
    <t>https://dd3ka9h4chfr8.cloudfront.net/image/725136000567/image_9octulst3h3p32smn9kit80a5g/-FJPG/107318-007_PRM_1.jpg</t>
  </si>
  <si>
    <t>https://dd3ka9h4chfr8.cloudfront.net/image/725136000567/image_g3iel6nh7t4ntdvh2uc22i7m0o/-FJPG/107318-007_SID_1.jpg</t>
  </si>
  <si>
    <t>https://dd3ka9h4chfr8.cloudfront.net/image/725136000567/image_crd6pc273l63bfgb48mr9nsg4r/-FJPG/107318-007_ESS_01.jpg</t>
  </si>
  <si>
    <t>https://dd3ka9h4chfr8.cloudfront.net/image/725136000567/image_7kn0o7mo35403ehuhnpgsifh58/-FJPG/107318-007_DET_2.jpg</t>
  </si>
  <si>
    <t>https://dd3ka9h4chfr8.cloudfront.net/image/725136000567/image_rp3qf31hot4vp7khdkb847ok21/-FJPG/107318-007_BCK_1.jpg</t>
  </si>
  <si>
    <t>https://dd3ka9h4chfr8.cloudfront.net/image/725136000567/image_72nvgoe9ph1cj6usofs3si2077/-FJPG/107318-007_DET_1.jpg</t>
  </si>
  <si>
    <t>https://dd3ka9h4chfr8.cloudfront.net/image/725136000567/image_ev31dlco2p3q15g7abnnq95c6i/-FJPG/107318-007_DET_3.jpg</t>
  </si>
  <si>
    <t>https://dd3ka9h4chfr8.cloudfront.net/image/725136000567/image_advlpu968h22hcd25r318brt1e/-FJPG/107318-007_OPN_1.jpg</t>
  </si>
  <si>
    <t>https://dd3ka9h4chfr8.cloudfront.net/image/725136000567/image_q2ofij66kp1rpd4aa91fovm23d/-FJPG/107318-007_DET_4.jpg</t>
  </si>
  <si>
    <t>https://dd3ka9h4chfr8.cloudfront.net/image/725136000567/image_ij68900kad0a3907or3oneq32g/-FJPG/107318-007_DET_5.jpg</t>
  </si>
  <si>
    <t>https://dd3ka9h4chfr8.cloudfront.net/image/725136000567/image_tc3ujvvvgh4s369nnh6s5dnn2e/-FJPG/107318-007_DET_6.jpg</t>
  </si>
  <si>
    <t>https://dd3ka9h4chfr8.cloudfront.net/image/725136000567/image_ek8lhaqdj93ct22qsqv5o7cf1c/-FJPG/107318-007_DET_7.jpg</t>
  </si>
  <si>
    <t>https://dd3ka9h4chfr8.cloudfront.net/image/725136000567/image_rm1l8s60697q1cq8dec0l01158/-FJPG/107318-007_DET_8.jpg</t>
  </si>
  <si>
    <t>https://dd3ka9h4chfr8.cloudfront.net/image/725136000567/image_cvo3ivd69t51r18868q4c48q53/-FJPG/107318-007_OPN_2.jpg</t>
  </si>
  <si>
    <t>107319-004</t>
  </si>
  <si>
    <t>Trey Modular Filing Credenza - Dove Poplar</t>
  </si>
  <si>
    <t>Inspired by clean midcentury design, a modular filing cabinet of light-washed solid poplar brings roomy storage space to the modern office, with a fully finished back plus metal-secured top-grain leather pulls. Great solo or paired with matching desk or filing cabinet.</t>
  </si>
  <si>
    <t>https://dd3ka9h4chfr8.cloudfront.net/image/725136000567/image_1t8f6glp8t23j2mr69qhc8lt73/-S150x150-FJPG/107319-004_PRM_1.jpg</t>
  </si>
  <si>
    <t>https://dd3ka9h4chfr8.cloudfront.net/image/725136000567/image_lion6kptul7132p5aaek7cu16f/-FJPG/107319-004_FRT_1.jpg</t>
  </si>
  <si>
    <t>https://dd3ka9h4chfr8.cloudfront.net/image/725136000567/image_1t8f6glp8t23j2mr69qhc8lt73/-FJPG/107319-004_PRM_1.jpg</t>
  </si>
  <si>
    <t>https://dd3ka9h4chfr8.cloudfront.net/image/725136000567/image_fthcfc0kk54p9bpcqt08vfub5d/-FJPG/107319-004_SID_1.jpg</t>
  </si>
  <si>
    <t>https://dd3ka9h4chfr8.cloudfront.net/image/725136000567/image_vdvr9rfsih5id1bieaj985f64o/-FJPG/107319-004_ESS_1.jpg</t>
  </si>
  <si>
    <t>https://dd3ka9h4chfr8.cloudfront.net/image/725136000567/image_fhc1gq2lel7ml32sksg66lvh5e/-FJPG/107319-004_DET_2.jpg</t>
  </si>
  <si>
    <t>https://dd3ka9h4chfr8.cloudfront.net/image/725136000567/image_v4gffb2pm11qd1vu37ap1eo91i/-FJPG/107319-004_BCK_1.jpg</t>
  </si>
  <si>
    <t>https://dd3ka9h4chfr8.cloudfront.net/image/725136000567/image_bg18e6imo176r53ao81a47bk12/-FJPG/107319-004_DET_1.jpg</t>
  </si>
  <si>
    <t>https://dd3ka9h4chfr8.cloudfront.net/image/725136000567/image_g1jaqg0hgt2vn7rfiulvnel915/-FJPG/107319-004_DET_3.jpg</t>
  </si>
  <si>
    <t>https://dd3ka9h4chfr8.cloudfront.net/image/725136000567/image_6rmn9eaqd55inbtm9qdf3fj04u/-FJPG/107319-004_OPN_1.jpg</t>
  </si>
  <si>
    <t>https://dd3ka9h4chfr8.cloudfront.net/image/725136000567/image_s8gk09jvmp4c58dn1g419tbp49/-FJPG/107319-004_DET_4.jpg</t>
  </si>
  <si>
    <t>https://dd3ka9h4chfr8.cloudfront.net/image/725136000567/image_trlt00q1rh7d75q2gfou94tn36/-FJPG/107319-004_DET_5.jpg</t>
  </si>
  <si>
    <t>https://dd3ka9h4chfr8.cloudfront.net/image/725136000567/image_qe75cq656h5snelv12t9vga130/-FJPG/107319-004_DET_6.jpg</t>
  </si>
  <si>
    <t>https://dd3ka9h4chfr8.cloudfront.net/image/725136000567/image_00qd21d1sd3vh6q2ihkerve17n/-FJPG/107319-004_DET_7.jpg</t>
  </si>
  <si>
    <t>https://dd3ka9h4chfr8.cloudfront.net/image/725136000567/image_d05mqidh6d71d2b9s5fv4o751t/-FJPG/107319-004_DET_8.jpg</t>
  </si>
  <si>
    <t>https://dd3ka9h4chfr8.cloudfront.net/image/725136000567/image_dlquq7e5ld73h8bufe1clj8k6t/-FJPG/107319-004_VIG_2.jpg</t>
  </si>
  <si>
    <t>https://dd3ka9h4chfr8.cloudfront.net/image/725136000567/image_ml347aq1md4qn78qrconvnpr23/-FJPG/107319-004_OPN_2.jpg</t>
  </si>
  <si>
    <t>20.94"</t>
  </si>
  <si>
    <t>9.21"</t>
  </si>
  <si>
    <t>Credenza</t>
  </si>
  <si>
    <t>9.45"</t>
  </si>
  <si>
    <t>4.80"</t>
  </si>
  <si>
    <t>11.54"</t>
  </si>
  <si>
    <t>107550-007</t>
  </si>
  <si>
    <t>Hudson Round Coffee Table - Ashen Walnut</t>
  </si>
  <si>
    <t>Ashen Walnut</t>
  </si>
  <si>
    <t>Thick Walnut Veneer</t>
  </si>
  <si>
    <t>Stunning forces of nature are captured in a walnut-finished coffee table, as spalted primavera and yukas woods are hand-shaped into a cylindrical silhouette. Reflective of woods' natural character, a slight color variance is possible.</t>
  </si>
  <si>
    <t>https://dd3ka9h4chfr8.cloudfront.net/image/725136000567/image_sldkevq0hp4730e12ri6uvt27s/-S150x150-FJPG/107550-007_PRM_1.jpg</t>
  </si>
  <si>
    <t>https://dd3ka9h4chfr8.cloudfront.net/image/725136000567/image_sldkevq0hp4730e12ri6uvt27s/-FJPG/107550-007_PRM_1.jpg</t>
  </si>
  <si>
    <t>https://dd3ka9h4chfr8.cloudfront.net/image/725136000567/image_jkk541pc8l4kf5t3a4amgfci3f/-FJPG/107550-007_ESS_1.jpg</t>
  </si>
  <si>
    <t>https://dd3ka9h4chfr8.cloudfront.net/image/725136000567/image_02jthqul2l5bhb8uppmlq75213/-FJPG/107550-007_DET_2.jpg</t>
  </si>
  <si>
    <t>https://dd3ka9h4chfr8.cloudfront.net/image/725136000567/image_e5c9uftg455jp975eqei3vch0r/-FJPG/Color Variance Card_Ashen Walnut.jpg</t>
  </si>
  <si>
    <t>https://dd3ka9h4chfr8.cloudfront.net/image/725136000567/image_srmpeh2lo52sj4mkl3jg2rg270/-FJPG/107550-007_DET_1.jpg</t>
  </si>
  <si>
    <t>https://dd3ka9h4chfr8.cloudfront.net/image/725136000567/image_uq5f30sc117u15okbhicnnft3i/-FJPG/107550-007_DET_3.jpg</t>
  </si>
  <si>
    <t>https://dd3ka9h4chfr8.cloudfront.net/image/725136000567/image_0gnd73u6k16670ot7koljb5f5r/-FJPG/107550-007_TOP_1.jpg</t>
  </si>
  <si>
    <t>https://dd3ka9h4chfr8.cloudfront.net/image/725136000567/image_3uq3draq694rpdit38st9u4l65/-FJPG/107550-007_DET_5.jpg</t>
  </si>
  <si>
    <t>https://dd3ka9h4chfr8.cloudfront.net/image/725136000567/image_bubbj0obv50kh198tj4cnle936/-FJPG/107550-007_DET_6.jpg</t>
  </si>
  <si>
    <t>Hudson</t>
  </si>
  <si>
    <t>35.35"</t>
  </si>
  <si>
    <t>12.68"</t>
  </si>
  <si>
    <t>107552-004</t>
  </si>
  <si>
    <t>Hudson C Table - Ashen Walnut</t>
  </si>
  <si>
    <t>Highs and lows capture movement in this high-impact C-table. A smooth surface of ashen walnut appears to float over a gunmetal-finished iron base for slim, angular appeal. Place next to a favorite easy chair for stylish convenience.</t>
  </si>
  <si>
    <t>https://dd3ka9h4chfr8.cloudfront.net/image/725136000567/image_2e6h798sb14upcu6re40106i31/-S150x150-FJPG/107552-004_PRM_1.jpg</t>
  </si>
  <si>
    <t>https://dd3ka9h4chfr8.cloudfront.net/image/725136000567/image_d6mq4nqdg15rdam53l01i6fm78/-FJPG/107552-004_FRT_1.jpg</t>
  </si>
  <si>
    <t>https://dd3ka9h4chfr8.cloudfront.net/image/725136000567/image_2e6h798sb14upcu6re40106i31/-FJPG/107552-004_PRM_1.jpg</t>
  </si>
  <si>
    <t>https://dd3ka9h4chfr8.cloudfront.net/image/725136000567/image_uejcc5jdlp48r0tqjpn0r0av57/-FJPG/107552-004_SID_1.jpg</t>
  </si>
  <si>
    <t>https://dd3ka9h4chfr8.cloudfront.net/image/725136000567/image_r52e7n3hsh7rb44dmj8nc7sc7c/-FJPG/107552-004_DET_2.jpg</t>
  </si>
  <si>
    <t>https://dd3ka9h4chfr8.cloudfront.net/image/725136000567/image_ptakjmb11l4tjamad5683k3o5m/-FJPG/107552-004_BCK_1.jpg</t>
  </si>
  <si>
    <t>https://dd3ka9h4chfr8.cloudfront.net/image/725136000567/image_u5trnna66d513an1ip1ro9cv5d/-FJPG/107552-004_DET_1.jpg</t>
  </si>
  <si>
    <t>https://dd3ka9h4chfr8.cloudfront.net/image/725136000567/image_hm7aj4hl455930j0mgforrp96d/-FJPG/107552-004_DET_3.jpg</t>
  </si>
  <si>
    <t>https://dd3ka9h4chfr8.cloudfront.net/image/725136000567/image_7fh8are76l5ad1aoqseqacie5s/-FJPG/107552-004_DET_5.jpg</t>
  </si>
  <si>
    <t>https://dd3ka9h4chfr8.cloudfront.net/image/725136000567/image_bg69n836m164lb3d4bapuv8a4s/-FJPG/107552-004_DET_6.jpg</t>
  </si>
  <si>
    <t>https://dd3ka9h4chfr8.cloudfront.net/image/725136000567/image_7cbe7t6adh58b8k0epvavf7r45/-FJPG/107552-004_DET_7.jpg</t>
  </si>
  <si>
    <t>19.25"</t>
  </si>
  <si>
    <t>14.02"</t>
  </si>
  <si>
    <t>0.51"</t>
  </si>
  <si>
    <t>107561-007</t>
  </si>
  <si>
    <t>Brooklyn Coffee Table - Ashen Walnut</t>
  </si>
  <si>
    <t>A shape-centric statement piece. Light walnut veneer is blended and smoothed for a soft look rich with innate depth. Asymmetric sides form a casual octagon, bringing reimagined geometry to the table. Each style slightly unique, thanks to materials' natural quality.</t>
  </si>
  <si>
    <t>https://dd3ka9h4chfr8.cloudfront.net/image/725136000567/image_nli6jo1vt53k77ol0nlv57ve5k/-S150x150-FJPG/107561-007_PRM_1.jpg</t>
  </si>
  <si>
    <t>https://dd3ka9h4chfr8.cloudfront.net/image/725136000567/image_hes6uir95p5av9j1c8t6h0l907/-FJPG/107561-007_FRT_1.jpg</t>
  </si>
  <si>
    <t>https://dd3ka9h4chfr8.cloudfront.net/image/725136000567/image_nli6jo1vt53k77ol0nlv57ve5k/-FJPG/107561-007_PRM_1.jpg</t>
  </si>
  <si>
    <t>https://dd3ka9h4chfr8.cloudfront.net/image/725136000567/image_1ik472vael7nj5pdpnbliejp0d/-FJPG/107561-007_SID_1.jpg</t>
  </si>
  <si>
    <t>https://dd3ka9h4chfr8.cloudfront.net/image/725136000567/image_tjag4t3eid6j920ac03em3uq5m/-FJPG/107561-007_ESS_1.jpg</t>
  </si>
  <si>
    <t>https://dd3ka9h4chfr8.cloudfront.net/image/725136000567/image_9n8bk8qcm90g51o0ohj17c503r/-FJPG/107561-007_DET_2.jpg</t>
  </si>
  <si>
    <t>https://dd3ka9h4chfr8.cloudfront.net/image/725136000567/image_f8bmfm9r016a9bovcvtv09c11b/-FJPG/107561-007_DET_1.jpg</t>
  </si>
  <si>
    <t>https://dd3ka9h4chfr8.cloudfront.net/image/725136000567/image_e70fdls97h45b7o6cr8joak05d/-FJPG/107561-007_TOP_1.jpg</t>
  </si>
  <si>
    <t>https://dd3ka9h4chfr8.cloudfront.net/image/725136000567/image_oh5b1mh8m17rh95p0r8olei04i/-FJPG/107561-007_DET_4.jpg</t>
  </si>
  <si>
    <t>https://dd3ka9h4chfr8.cloudfront.net/image/725136000567/image_edgafeagk537lbvjacb9og8t0v/-FJPG/107561-007_DET_5.jpg</t>
  </si>
  <si>
    <t>https://dd3ka9h4chfr8.cloudfront.net/image/725136000567/image_q6ql61uqgh1cp5bd3qna3l3645/-FJPG/107561-007_DET_6.jpg</t>
  </si>
  <si>
    <t>https://dd3ka9h4chfr8.cloudfront.net/image/725136000567/image_4205kuqepp7ul7oc8l96t24g5m/-FJPG/107561-007_ESS_2.jpg</t>
  </si>
  <si>
    <t>Base, Assembly Hardware, Assembly Instructions</t>
  </si>
  <si>
    <t>Geometric/Organic</t>
  </si>
  <si>
    <t>Brooklyn</t>
  </si>
  <si>
    <t>2.64"</t>
  </si>
  <si>
    <t>12.94"</t>
  </si>
  <si>
    <t>107578-003</t>
  </si>
  <si>
    <t>Hudson Round End Table - Ashen Walnut</t>
  </si>
  <si>
    <t>Stunning forces of nature are captured in a rounded end table of ashen walnut. Reflective of woods' natural character, a slight color variance is possible from piece to piece.</t>
  </si>
  <si>
    <t>https://dd3ka9h4chfr8.cloudfront.net/image/725136000567/image_n48n39t6h12gb3pbkbts8k1v6h/-S150x150-FJPG/107578-003_PRM_1.jpg</t>
  </si>
  <si>
    <t>https://dd3ka9h4chfr8.cloudfront.net/image/725136000567/image_n48n39t6h12gb3pbkbts8k1v6h/-FJPG/107578-003_PRM_1.jpg</t>
  </si>
  <si>
    <t>https://dd3ka9h4chfr8.cloudfront.net/image/725136000567/image_bh4ga81qs5635e99nlce5ls72g/-FJPG/107578-003_ESS_1.jpg</t>
  </si>
  <si>
    <t>https://dd3ka9h4chfr8.cloudfront.net/image/725136000567/image_grhp74itgt6mndo5g58efe7b38/-FJPG/107578-003_DET_2.jpg</t>
  </si>
  <si>
    <t>https://dd3ka9h4chfr8.cloudfront.net/image/725136000567/image_3mf7nma9hd18760sibu9rck325/-FJPG/107578-003_DET_1.jpg</t>
  </si>
  <si>
    <t>https://dd3ka9h4chfr8.cloudfront.net/image/725136000567/image_38779gkre54mra8rt04cbskl0j/-FJPG/107578-003_TOP_1.jpg</t>
  </si>
  <si>
    <t>https://dd3ka9h4chfr8.cloudfront.net/image/725136000567/image_ghfjlljsjl7a17ecsbaje0lp1p/-FJPG/107578-003_DET_4.jpg</t>
  </si>
  <si>
    <t>https://dd3ka9h4chfr8.cloudfront.net/image/725136000567/image_b8m3ad89ld5a1b2h58ii3tn84p/-FJPG/107578-003_DET_5.jpg</t>
  </si>
  <si>
    <t>https://dd3ka9h4chfr8.cloudfront.net/image/725136000567/image_8l2kcb0r710ohe3k8ml4aec66p/-FJPG/107578-003_DET_6.jpg</t>
  </si>
  <si>
    <t>https://dd3ka9h4chfr8.cloudfront.net/image/725136000567/image_mfjrpq4ncd6g34qsuqdmehcd0f/-FJPG/107578-003_VIG_1.jpg</t>
  </si>
  <si>
    <t>2.38"</t>
  </si>
  <si>
    <t>9.88"</t>
  </si>
  <si>
    <t>107581-003</t>
  </si>
  <si>
    <t>Hudson Square Coffee Table - Ashen Walnut</t>
  </si>
  <si>
    <t>Stunning forces of nature, captured in a coffee table. Ashen walnut is hand-shaped into a cleanly squared silhouette. Reflective of woods' natural character, a slight color variance is possible from piece to piece.</t>
  </si>
  <si>
    <t>https://dd3ka9h4chfr8.cloudfront.net/image/725136000567/image_aroeuuj92p6l70102d7ff1a60h/-S150x150-FJPG/107581-003_PRM_1.jpg</t>
  </si>
  <si>
    <t>https://dd3ka9h4chfr8.cloudfront.net/image/725136000567/image_a6kvdijlk1161eift0j16p7m3q/-FJPG/107581-003_FRT_1.jpg</t>
  </si>
  <si>
    <t>https://dd3ka9h4chfr8.cloudfront.net/image/725136000567/image_aroeuuj92p6l70102d7ff1a60h/-FJPG/107581-003_PRM_1.jpg</t>
  </si>
  <si>
    <t>https://dd3ka9h4chfr8.cloudfront.net/image/725136000567/image_ji0b3ttr011650chdee1vm566s/-FJPG/107581-003_ESS_1.jpg</t>
  </si>
  <si>
    <t>https://dd3ka9h4chfr8.cloudfront.net/image/725136000567/image_5974moqk5p2ub4olpsppf15p5k/-FJPG/107581-003_DET_2.jpg</t>
  </si>
  <si>
    <t>https://dd3ka9h4chfr8.cloudfront.net/image/725136000567/image_iroc71e0lt0i3bfd1l5mtit84g/-FJPG/107581-003_DET_1.jpg</t>
  </si>
  <si>
    <t>https://dd3ka9h4chfr8.cloudfront.net/image/725136000567/image_dvl16s1n615cr039ph0la7871t/-FJPG/107581-003_DET_3.jpg</t>
  </si>
  <si>
    <t>https://dd3ka9h4chfr8.cloudfront.net/image/725136000567/image_81dt7s30ih4qtaeb0btgur7c7p/-FJPG/107581-003_TOP_1.jpg</t>
  </si>
  <si>
    <t>https://dd3ka9h4chfr8.cloudfront.net/image/725136000567/image_gstbq0b59p7lhetap39gj41v5r/-FJPG/107581-003_DET_5.jpg</t>
  </si>
  <si>
    <t>https://dd3ka9h4chfr8.cloudfront.net/image/725136000567/image_fifsrg8ndd7hhc6b91h7cpoi72/-FJPG/107581-003_DET_6.jpg</t>
  </si>
  <si>
    <t>37.75"</t>
  </si>
  <si>
    <t>12.75"</t>
  </si>
  <si>
    <t>107636-004</t>
  </si>
  <si>
    <t>Shagreen Round Coffee Table - Grey Shagreen</t>
  </si>
  <si>
    <t>Bentley</t>
  </si>
  <si>
    <t>Grey Shagreen</t>
  </si>
  <si>
    <t>Mid-century shaping takes on modern intrigue in faux shagreen. The round top floats over a triangular iron base with an antique brass finish.</t>
  </si>
  <si>
    <t>https://dd3ka9h4chfr8.cloudfront.net/image/725136000567/image_omm793fl5163p02svgf6317d34/-S150x150-FJPG/107636-004_PRM_1.jpg</t>
  </si>
  <si>
    <t>https://dd3ka9h4chfr8.cloudfront.net/image/725136000567/image_4hd99m4nrd0al2tcg2gg70l44j/-FJPG/107636-004_FRT_1.jpg</t>
  </si>
  <si>
    <t>https://dd3ka9h4chfr8.cloudfront.net/image/725136000567/image_omm793fl5163p02svgf6317d34/-FJPG/107636-004_PRM_1.jpg</t>
  </si>
  <si>
    <t>https://dd3ka9h4chfr8.cloudfront.net/image/725136000567/image_khv514vc5d0e1d9ee477lnb531/-FJPG/107636-004_SID_1.jpg</t>
  </si>
  <si>
    <t>https://dd3ka9h4chfr8.cloudfront.net/image/725136000567/image_k8c41nh12l36p6qvdelqn49c05/-FJPG/107636-004_DET_2.jpg</t>
  </si>
  <si>
    <t>https://dd3ka9h4chfr8.cloudfront.net/image/725136000567/image_j7sqknn2cp28d9hurtl17rup4l/-FJPG/107636-004_DET_1.jpg</t>
  </si>
  <si>
    <t>https://dd3ka9h4chfr8.cloudfront.net/image/725136000567/image_rloqmo5lgh7694nt8vrkfvjq6c/-FJPG/107636-004_DET_3.jpg</t>
  </si>
  <si>
    <t>Shagreen</t>
  </si>
  <si>
    <t>26.13"</t>
  </si>
  <si>
    <t>5.94"</t>
  </si>
  <si>
    <t>107747-004</t>
  </si>
  <si>
    <t>Greta 6 Drawer Dresser - Autumn Grey</t>
  </si>
  <si>
    <t>Brighton</t>
  </si>
  <si>
    <t>Autumn Grey</t>
  </si>
  <si>
    <t>Rustic Brass</t>
  </si>
  <si>
    <t>A floating iron base lightens the natural depth of grey-finished oak, as clean lines lend a tailored look to warm rustic tones. Six spacious drawers bring plenty of storage options to the modernized bedroom.</t>
  </si>
  <si>
    <t>https://dd3ka9h4chfr8.cloudfront.net/image/725136000567/image_divbbptlgt3if8h8ev9giuda7d/-S150x150-FJPG/VHAD-034_PRM_1.jpg</t>
  </si>
  <si>
    <t>https://dd3ka9h4chfr8.cloudfront.net/image/725136000567/image_vsdmfdclvp6pladth956ag565m/-FJPG/VHAD-034_FRT_1.jpg</t>
  </si>
  <si>
    <t>https://dd3ka9h4chfr8.cloudfront.net/image/725136000567/image_divbbptlgt3if8h8ev9giuda7d/-FJPG/VHAD-034_PRM_1.jpg</t>
  </si>
  <si>
    <t>https://dd3ka9h4chfr8.cloudfront.net/image/725136000567/image_9ktctkuko569l4jvv5kb71134a/-FJPG/VHAD-034_SID_1.jpg</t>
  </si>
  <si>
    <t>https://dd3ka9h4chfr8.cloudfront.net/image/725136000567/image_0arbma1qcp0g375nmm3mj10f36/-FJPG/VHAD-034_ESS_1.jpg</t>
  </si>
  <si>
    <t>https://dd3ka9h4chfr8.cloudfront.net/image/725136000567/image_4udbf649g51krd5r58up9ecc4o/-FJPG/VHAD-034_DET_2.jpg</t>
  </si>
  <si>
    <t>https://dd3ka9h4chfr8.cloudfront.net/image/725136000567/image_kohkcuqldl7ota7aiim1q17v23/-FJPG/VHAD-034_DET_1.jpg</t>
  </si>
  <si>
    <t>https://dd3ka9h4chfr8.cloudfront.net/image/725136000567/image_pe83nf4upp4a39d52cq1mr9o6e/-FJPG/VHAD-034_DET_3.jpg</t>
  </si>
  <si>
    <t>https://dd3ka9h4chfr8.cloudfront.net/image/725136000567/image_qs6qlnvia93cf36k201ftjk45l/-FJPG/VHAD-034_OPN_1.jpg</t>
  </si>
  <si>
    <t>https://dd3ka9h4chfr8.cloudfront.net/image/725136000567/image_ndikl0fudp0tfe72cqlt1kr70e/-FJPG/VHAD-034_DET_4.jpg</t>
  </si>
  <si>
    <t>https://dd3ka9h4chfr8.cloudfront.net/image/725136000567/image_ln3eqavhq57a738kerq3c5nb7c/-FJPG/VHAD-034_DET_5.jpg</t>
  </si>
  <si>
    <t>https://dd3ka9h4chfr8.cloudfront.net/image/725136000567/image_kel33t7uq100b5605s3f7ah33m/-FJPG/VHAD-034_DET_6.jpg</t>
  </si>
  <si>
    <t>Greta</t>
  </si>
  <si>
    <t>12.83"</t>
  </si>
  <si>
    <t>5.79"</t>
  </si>
  <si>
    <t>31.69"</t>
  </si>
  <si>
    <t>107936-010</t>
  </si>
  <si>
    <t>Matthes Console Table - 79" - Rustic Grey Veneer</t>
  </si>
  <si>
    <t>Console Tables</t>
  </si>
  <si>
    <t>Rustic Grey Veneer</t>
  </si>
  <si>
    <t>Simple and streamlined to showcase natural beauty. Rustic grey veneer console top appears to achieve delicate balance over an ever-so-slightly angled base.</t>
  </si>
  <si>
    <t>https://dd3ka9h4chfr8.cloudfront.net/image/725136000567/image_3qbkccrqbh4v526hqpv3lruq4r/-S150x150-FJPG/107936-010_PRM_1.jpg</t>
  </si>
  <si>
    <t>https://dd3ka9h4chfr8.cloudfront.net/image/725136000567/image_fd68sffl7119j3h4ad4m8cso27/-FJPG/107936-010_FRT_1.jpg</t>
  </si>
  <si>
    <t>https://dd3ka9h4chfr8.cloudfront.net/image/725136000567/image_3qbkccrqbh4v526hqpv3lruq4r/-FJPG/107936-010_PRM_1.jpg</t>
  </si>
  <si>
    <t>https://dd3ka9h4chfr8.cloudfront.net/image/725136000567/image_lhtcapg18l58jfr98egh8d0h2q/-FJPG/107936-010_SID_1.jpg</t>
  </si>
  <si>
    <t>https://dd3ka9h4chfr8.cloudfront.net/image/725136000567/image_jlcqm8p72h4i98ij2cimmj0f1e/-FJPG/107936-010_ESS.tif</t>
  </si>
  <si>
    <t>https://dd3ka9h4chfr8.cloudfront.net/image/725136000567/image_khntiava696h7c424n5hl9cs2c/-FJPG/107936-010_DET_2.jpg</t>
  </si>
  <si>
    <t>https://dd3ka9h4chfr8.cloudfront.net/image/725136000567/image_5g66odrk510hl5j68ad2f15d6e/-FJPG/107936-010_DET_1.jpg</t>
  </si>
  <si>
    <t>https://dd3ka9h4chfr8.cloudfront.net/image/725136000567/image_j0f0vamdfp1pvfubn9q0rftm1d/-FJPG/107936-010_DET_3.jpg</t>
  </si>
  <si>
    <t>https://dd3ka9h4chfr8.cloudfront.net/image/725136000567/image_j4jm2e7o6h5npe2b7ofjfflk5v/-FJPG/107936-010_DET_4.jpg</t>
  </si>
  <si>
    <t>https://dd3ka9h4chfr8.cloudfront.net/image/725136000567/image_jolct83b8l3iv076lcvjneth5e/-FJPG/107936-010_DET_5.jpg</t>
  </si>
  <si>
    <t>https://dd3ka9h4chfr8.cloudfront.net/image/725136000567/image_9hh5612iu54sddinc1dfncdd5f/-FJPG/107936-010_DET_6.jpg</t>
  </si>
  <si>
    <t>https://dd3ka9h4chfr8.cloudfront.net/image/725136000567/image_qq6r5an4u1553dr4parhos2505/-FJPG/107936-010_DET_7.jpg</t>
  </si>
  <si>
    <t>https://dd3ka9h4chfr8.cloudfront.net/image/725136000567/image_4f1kfh8lih7u3a0tpq12012c4n/-FJPG/107936-010_DET_8.jpg</t>
  </si>
  <si>
    <t>https://dd3ka9h4chfr8.cloudfront.net/image/725136000567/image_uopir5m4595a7diprh69ap565q/-FJPG/107936-010_DET_9.tif</t>
  </si>
  <si>
    <t>https://dd3ka9h4chfr8.cloudfront.net/image/725136000567/image_7hkgrjvum17dn6fqtmtsu7376r/-FJPG/107936-010_DET_9.jpg</t>
  </si>
  <si>
    <t>https://dd3ka9h4chfr8.cloudfront.net/image/725136000567/image_b7nbj48nqt0q73gsgn3o7d4t7p/-FJPG/107936-010_DET_10.tif</t>
  </si>
  <si>
    <t>Console Table</t>
  </si>
  <si>
    <t>Matthes</t>
  </si>
  <si>
    <t>23.35"</t>
  </si>
  <si>
    <t>73.23"</t>
  </si>
  <si>
    <t>107936-011</t>
  </si>
  <si>
    <t>Matthes Console Table - 79" - Smoked Black Veneer</t>
  </si>
  <si>
    <t>Smoked Black Veneer</t>
  </si>
  <si>
    <t>Simple and streamlined to showcase natural beauty. Smoked black veneer console top appears to achieve delicate balance over an ever-so-slightly angled base.</t>
  </si>
  <si>
    <t>https://dd3ka9h4chfr8.cloudfront.net/image/725136000567/image_4ugjqt32c15mh39kruosikd20b/-S150x150-FJPG/107936-011_PRM_1.jpg</t>
  </si>
  <si>
    <t>https://dd3ka9h4chfr8.cloudfront.net/image/725136000567/image_t13ids6afp611cku72gup1l948/-FJPG/107936-011_FRT_1.jpg</t>
  </si>
  <si>
    <t>https://dd3ka9h4chfr8.cloudfront.net/image/725136000567/image_4ugjqt32c15mh39kruosikd20b/-FJPG/107936-011_PRM_1.jpg</t>
  </si>
  <si>
    <t>https://dd3ka9h4chfr8.cloudfront.net/image/725136000567/image_5rfsvdp18d2pn4cuect8vn0l1e/-FJPG/107936-011_SID_1.jpg</t>
  </si>
  <si>
    <t>https://dd3ka9h4chfr8.cloudfront.net/image/725136000567/image_3u9ek32ird3l1foiq6hlkkq651/-FJPG/107936-011_ESS.tif</t>
  </si>
  <si>
    <t>https://dd3ka9h4chfr8.cloudfront.net/image/725136000567/image_3miko79k2p6hhfj1v0khagur5d/-FJPG/247427-005_DET_2.jpg</t>
  </si>
  <si>
    <t>https://dd3ka9h4chfr8.cloudfront.net/image/725136000567/image_iqb784mj0t6n12tulu92hoqm0f/-FJPG/107936-011_DET_2.jpg</t>
  </si>
  <si>
    <t>https://dd3ka9h4chfr8.cloudfront.net/image/725136000567/image_5hlh37ke4t5sv9mkil7rrp0u4f/-FJPG/107936-011_DET_1.jpg</t>
  </si>
  <si>
    <t>https://dd3ka9h4chfr8.cloudfront.net/image/725136000567/image_htmrgat33h7090m5nfjssn840o/-FJPG/107936-011_DET_3.jpg</t>
  </si>
  <si>
    <t>https://dd3ka9h4chfr8.cloudfront.net/image/725136000567/image_o9e5k113jd4tjfruqv0b5i6r65/-FJPG/107936-011_DET_4.jpg</t>
  </si>
  <si>
    <t>https://dd3ka9h4chfr8.cloudfront.net/image/725136000567/image_qno4k5scs12bf4avgokm69kq5k/-FJPG/107936-011_DET_5.jpg</t>
  </si>
  <si>
    <t>https://dd3ka9h4chfr8.cloudfront.net/image/725136000567/image_221fbkor097u5enqhesa1isf46/-FJPG/107936-011_DET_6.jpg</t>
  </si>
  <si>
    <t>https://dd3ka9h4chfr8.cloudfront.net/image/725136000567/image_0c3sbv7akh2edf6u1c76rqod4o/-FJPG/107936-011_DET_7.jpg</t>
  </si>
  <si>
    <t>https://dd3ka9h4chfr8.cloudfront.net/image/725136000567/image_dpt8lc8d1p0p58ffkmtqijok01/-FJPG/107936-011_DET_8.jpg</t>
  </si>
  <si>
    <t>https://dd3ka9h4chfr8.cloudfront.net/image/725136000567/image_8miqeod10p31f66vgt178u9p67/-FJPG/107936-011_DET_9.tif</t>
  </si>
  <si>
    <t>https://dd3ka9h4chfr8.cloudfront.net/image/725136000567/image_oa3tfjfqq15q97lg4frtiqqn5v/-FJPG/107936-011_DET_10.tif</t>
  </si>
  <si>
    <t>107936-012</t>
  </si>
  <si>
    <t>Matthes Console Table - 79" - Worn Oak Veneer</t>
  </si>
  <si>
    <t>Simple and streamlined to showcase natural beauty. Worn oak veneer console top appears to achieve delicate balance over an ever-so-slightly angled base.</t>
  </si>
  <si>
    <t>https://dd3ka9h4chfr8.cloudfront.net/image/725136000567/image_01iuldvr9110r1bn5mk8iofp3l/-S150x150-FJPG/107936-012_PRM_1.jpg</t>
  </si>
  <si>
    <t>https://dd3ka9h4chfr8.cloudfront.net/image/725136000567/image_djl9rv3ivl1sf66mc4ovh55n6o/-FJPG/107936-012_FRT_1.jpg</t>
  </si>
  <si>
    <t>https://dd3ka9h4chfr8.cloudfront.net/image/725136000567/image_01iuldvr9110r1bn5mk8iofp3l/-FJPG/107936-012_PRM_1.jpg</t>
  </si>
  <si>
    <t>https://dd3ka9h4chfr8.cloudfront.net/image/725136000567/image_8lvq1cj4g52837gbpa9t3om370/-FJPG/107936-012_DET_2.jpg</t>
  </si>
  <si>
    <t>https://dd3ka9h4chfr8.cloudfront.net/image/725136000567/image_tkoc8g3l5p33l587i56ek88b3p/-FJPG/107936-012_DET_1.jpg</t>
  </si>
  <si>
    <t>https://dd3ka9h4chfr8.cloudfront.net/image/725136000567/image_9848pu3mm914v9u4ttlqvjdi5r/-FJPG/107936-012_DET_3.jpg</t>
  </si>
  <si>
    <t>https://dd3ka9h4chfr8.cloudfront.net/image/725136000567/image_vo3829m4ol485a5pimefqvcj1m/-FJPG/107936-012_DET_4.jpg</t>
  </si>
  <si>
    <t>https://dd3ka9h4chfr8.cloudfront.net/image/725136000567/image_l7jq1lg2el04r1tgcsuakihs26/-FJPG/107936-012_DET_5.jpg</t>
  </si>
  <si>
    <t>108381-006</t>
  </si>
  <si>
    <t>Wyeth 3 Drawer Dresser - Dark Carbon</t>
  </si>
  <si>
    <t>Wyeth</t>
  </si>
  <si>
    <t>Dark Carbon</t>
  </si>
  <si>
    <t>Reclaimed pine takes on a deep carbon tone, letting natural graining emit its innately rich character. Slim legs and flat, antique brass-finished iron hardware place a fresh spin on a streamlined form. Three drawers for ample bedroom storage. This item has been modified to comply with the STURDY Act. See a full list of modified products and data changes in the â€œSTURDY Actâ€ file in the Downloads section below.</t>
  </si>
  <si>
    <t>https://dd3ka9h4chfr8.cloudfront.net/image/725136000567/image_mdbinqqgep6rv4vk4v1ha89r4k/-S150x150-FJPG/108381-006_PRM_1.jpg</t>
  </si>
  <si>
    <t>https://dd3ka9h4chfr8.cloudfront.net/image/725136000567/image_sc854e854d0adbacd78pggk81m/-FJPG/108381-006_FRT_1.jpg</t>
  </si>
  <si>
    <t>https://dd3ka9h4chfr8.cloudfront.net/image/725136000567/image_mdbinqqgep6rv4vk4v1ha89r4k/-FJPG/108381-006_PRM_1.jpg</t>
  </si>
  <si>
    <t>https://dd3ka9h4chfr8.cloudfront.net/image/725136000567/image_h0j3crti457832uc81gln41b11/-FJPG/108381-006_SID_1.jpg</t>
  </si>
  <si>
    <t>https://dd3ka9h4chfr8.cloudfront.net/image/725136000567/image_j7b2meu1154g183iajd45lhn48/-FJPG/108381-006_ESS.tif</t>
  </si>
  <si>
    <t>https://dd3ka9h4chfr8.cloudfront.net/image/725136000567/image_qf52otej514uf98p4smknv1r55/-FJPG/108381-006_DET_2.jpg</t>
  </si>
  <si>
    <t>https://dd3ka9h4chfr8.cloudfront.net/image/725136000567/image_un3ggu09g11mtbou06smma4e54/-FJPG/108381-006_DET_1.jpg</t>
  </si>
  <si>
    <t>https://dd3ka9h4chfr8.cloudfront.net/image/725136000567/image_350tpt2cpd4593r2s2tgdqh60a/-FJPG/108381-006_DET_3.jpg</t>
  </si>
  <si>
    <t>https://dd3ka9h4chfr8.cloudfront.net/image/725136000567/image_hitvf11ctl3mb3usi6r56akd69/-FJPG/108381-006_OPN_1.jpg</t>
  </si>
  <si>
    <t>https://dd3ka9h4chfr8.cloudfront.net/image/725136000567/image_8ffc6rieut4qt4og35a90v4f48/-FJPG/108381-006_DET_4.jpg</t>
  </si>
  <si>
    <t>https://dd3ka9h4chfr8.cloudfront.net/image/725136000567/image_t8a841mi9d17hb4o8ma3upff2q/-FJPG/108381-006_DET_5.jpg</t>
  </si>
  <si>
    <t>https://dd3ka9h4chfr8.cloudfront.net/image/725136000567/image_v3ddjs6mdt2t1085f78ovsp61u/-FJPG/108381-006_DET_6.jpg</t>
  </si>
  <si>
    <t>Chest</t>
  </si>
  <si>
    <t>13.15"</t>
  </si>
  <si>
    <t>5.20"</t>
  </si>
  <si>
    <t>26.14"</t>
  </si>
  <si>
    <t>108382-010</t>
  </si>
  <si>
    <t>Wyeth 5 Drawer Dresser - Dark Carbon</t>
  </si>
  <si>
    <t>Reclaimed pine takes on a deep carbon tone, letting natural graining emit its innately rich character. Slim legs and flat, antique brass-finished iron hardware place a fresh spin on a streamlined form. Five drawers for ample bedroom storage.</t>
  </si>
  <si>
    <t>https://dd3ka9h4chfr8.cloudfront.net/image/725136000567/image_e8g5n6epjl67p6q45l6e1nq04v/-S150x150-FJPG/108382-005_PRM_1.jpg</t>
  </si>
  <si>
    <t>https://dd3ka9h4chfr8.cloudfront.net/image/725136000567/image_rmm8jcj22t7dh9dogf9i82dk42/-FJPG/108382-005_FRT_1.jpg</t>
  </si>
  <si>
    <t>https://dd3ka9h4chfr8.cloudfront.net/image/725136000567/image_e8g5n6epjl67p6q45l6e1nq04v/-FJPG/108382-005_PRM_1.jpg</t>
  </si>
  <si>
    <t>https://dd3ka9h4chfr8.cloudfront.net/image/725136000567/image_g6mc32gi5h0vtf7gdq0v395a1b/-FJPG/108382-005_SID_1.jpg</t>
  </si>
  <si>
    <t>https://dd3ka9h4chfr8.cloudfront.net/image/725136000567/image_lb1bqi01e533p59h89lpin8j44/-FJPG/108382-005_DET_2.jpg</t>
  </si>
  <si>
    <t>https://dd3ka9h4chfr8.cloudfront.net/image/725136000567/image_08o9gq5co15e90iae5ng591f5j/-FJPG/108382-005_DET_1.jpg</t>
  </si>
  <si>
    <t>https://dd3ka9h4chfr8.cloudfront.net/image/725136000567/image_vog5f9rqsh25h0n75tnfp6bt4p/-FJPG/108382-005_DET_3.jpg</t>
  </si>
  <si>
    <t>https://dd3ka9h4chfr8.cloudfront.net/image/725136000567/image_269ic7936123h3nlm96h901m71/-FJPG/108382-005_OPN_1.jpg</t>
  </si>
  <si>
    <t>https://dd3ka9h4chfr8.cloudfront.net/image/725136000567/image_a0ifup4sep7t14gcfbjv737p3d/-FJPG/108382-005_DET_4.jpg</t>
  </si>
  <si>
    <t>https://dd3ka9h4chfr8.cloudfront.net/image/725136000567/image_3j7epgqrft5sj4rqeuqe2u8n1t/-FJPG/108382-005_DET_5.jpg</t>
  </si>
  <si>
    <t>https://dd3ka9h4chfr8.cloudfront.net/image/725136000567/image_va34d9itr546jbbrchmr1osi5h/-FJPG/108382-005_DET_6.jpg</t>
  </si>
  <si>
    <t>https://dd3ka9h4chfr8.cloudfront.net/image/725136000567/image_upvvl3jrrd5hb31t65qbsmjb0c/-FJPG/108382-005_VIG_1.jpg</t>
  </si>
  <si>
    <t>14.41"</t>
  </si>
  <si>
    <t>108383-005</t>
  </si>
  <si>
    <t>Wyeth 6 Drawer Dresser - Dark Carbon</t>
  </si>
  <si>
    <t>Reclaimed pine takes on a deep carbon tone, letting natural graining emit its innately rich character. Slim legs and flat, antique brass-finished iron hardware place a fresh spin on a streamlined form. Six drawers for ample bedroom storage. This item has been modified to comply with the STURDY Act. See a full list of modified products and data changes in the â€œSTURDY Actâ€ file in the Downloads section below.</t>
  </si>
  <si>
    <t>https://dd3ka9h4chfr8.cloudfront.net/image/725136000567/image_f42qljskfp1anfijsk7h1n3d5h/-S150x150-FJPG/108383-005_PRM_1.jpg</t>
  </si>
  <si>
    <t>https://dd3ka9h4chfr8.cloudfront.net/image/725136000567/image_r5oml44khp6nl15ute0qv0445q/-FJPG/108383-005_FRT_1.jpg</t>
  </si>
  <si>
    <t>https://dd3ka9h4chfr8.cloudfront.net/image/725136000567/image_f42qljskfp1anfijsk7h1n3d5h/-FJPG/108383-005_PRM_1.jpg</t>
  </si>
  <si>
    <t>https://dd3ka9h4chfr8.cloudfront.net/image/725136000567/image_2aa9q98lt508f3fta45qg6n30q/-FJPG/108383-005_SID_1.jpg</t>
  </si>
  <si>
    <t>https://dd3ka9h4chfr8.cloudfront.net/image/725136000567/image_sogjfl17qh6cd6nv8vq91r1c60/-FJPG/108383-005_DET_2.jpg</t>
  </si>
  <si>
    <t>https://dd3ka9h4chfr8.cloudfront.net/image/725136000567/image_u4utvtoua150j98is2lfd58v22/-FJPG/108383-005_DET_1.jpg</t>
  </si>
  <si>
    <t>https://dd3ka9h4chfr8.cloudfront.net/image/725136000567/image_g8aj97j09l6b318bjdk3f7ro1d/-FJPG/108383-005_DET_3.jpg</t>
  </si>
  <si>
    <t>https://dd3ka9h4chfr8.cloudfront.net/image/725136000567/image_tik8724dqt4npcr4ih9m4bm31g/-FJPG/108383-005_OPN_1.jpg</t>
  </si>
  <si>
    <t>https://dd3ka9h4chfr8.cloudfront.net/image/725136000567/image_5pslqj0u852sha6hvupje3ci6u/-FJPG/108383-005_DET_4.jpg</t>
  </si>
  <si>
    <t>https://dd3ka9h4chfr8.cloudfront.net/image/725136000567/image_d5fae25hm13s961nr1naisvh7i/-FJPG/108383-005_DET_5.jpg</t>
  </si>
  <si>
    <t>https://dd3ka9h4chfr8.cloudfront.net/image/725136000567/image_ra9ajeqedd5sj3fv83cbiqod16/-FJPG/108383-005_DET_6.jpg</t>
  </si>
  <si>
    <t>https://dd3ka9h4chfr8.cloudfront.net/image/725136000567/image_4r5939ek4h2mr8n8iitns22e1r/-FJPG/108383-005_VIG_1.jpg</t>
  </si>
  <si>
    <t>13.43"</t>
  </si>
  <si>
    <t>25.63"</t>
  </si>
  <si>
    <t>108448-002</t>
  </si>
  <si>
    <t>Rosedale 3 Drawer Dresser - Yucca Oak Veneer</t>
  </si>
  <si>
    <t>Filmore</t>
  </si>
  <si>
    <t>Yucca Oak Veneer</t>
  </si>
  <si>
    <t>Chaps Sand</t>
  </si>
  <si>
    <t>Light-finished oak forms a clean silhouette for three spacious drawers with iron hardware wrapped in tan top-grain leather. This item has been modified to comply with the STURDY Act. See a full list of modified products and data changes in the â€œSTURDY Actâ€ file in the Downloads section below.</t>
  </si>
  <si>
    <t>https://dd3ka9h4chfr8.cloudfront.net/image/725136000567/image_dghskd142l3g3akh3cjhtrlc2e/-S150x150-FJPG/108448-002_PRM_1.jpg</t>
  </si>
  <si>
    <t>https://dd3ka9h4chfr8.cloudfront.net/image/725136000567/image_l8i1j4ictt5jj1uc4n5fpjn93u/-FJPG/108448-002_FRT_1.jpg</t>
  </si>
  <si>
    <t>https://dd3ka9h4chfr8.cloudfront.net/image/725136000567/image_dghskd142l3g3akh3cjhtrlc2e/-FJPG/108448-002_PRM_1.jpg</t>
  </si>
  <si>
    <t>https://dd3ka9h4chfr8.cloudfront.net/image/725136000567/image_fjcqfctdjp3lp8qt5b2mg9u358/-FJPG/108448-002_SID_1.jpg</t>
  </si>
  <si>
    <t>https://dd3ka9h4chfr8.cloudfront.net/image/725136000567/image_1reed37klh0lpc5mik3rgofe7v/-FJPG/108448-002_ESS_1.jpg</t>
  </si>
  <si>
    <t>https://dd3ka9h4chfr8.cloudfront.net/image/725136000567/image_gk2amu0egl1bjaq1nuns25ik2n/-FJPG/108448-002_DET_2.jpg</t>
  </si>
  <si>
    <t>https://dd3ka9h4chfr8.cloudfront.net/image/725136000567/image_lk8osrhfkh6sr8n4c4tk7p005f/-FJPG/108448-002_BCK_1.jpg</t>
  </si>
  <si>
    <t>https://dd3ka9h4chfr8.cloudfront.net/image/725136000567/image_cbgdgk67bt4dn09h7r5h9h7o4i/-FJPG/108448-002_DET_1.jpg</t>
  </si>
  <si>
    <t>https://dd3ka9h4chfr8.cloudfront.net/image/725136000567/image_6u5plq8pmt4131uabsolotri2m/-FJPG/108448-002_DET_3.jpg</t>
  </si>
  <si>
    <t>https://dd3ka9h4chfr8.cloudfront.net/image/725136000567/image_2utiul937t70pa1u4h36sv3g7t/-FJPG/108448-002_OPN_1.JPG</t>
  </si>
  <si>
    <t>https://dd3ka9h4chfr8.cloudfront.net/image/725136000567/image_4up2de5g1p3pt6sjqqmsvu6i6a/-FJPG/108448-002_DET_4.jpg</t>
  </si>
  <si>
    <t>https://dd3ka9h4chfr8.cloudfront.net/image/725136000567/image_3fgr2r52nh379ec9rb84aqtd0v/-FJPG/108448-002_DET_5.jpg</t>
  </si>
  <si>
    <t>https://dd3ka9h4chfr8.cloudfront.net/image/725136000567/image_06iqqr7kfd23701vd1aarbks57/-FJPG/108448-002_DET_6.jpg</t>
  </si>
  <si>
    <t>https://dd3ka9h4chfr8.cloudfront.net/image/725136000567/image_gnje4hsk65603e8bhk19bcj92g/-FJPG/108448-002_DET_7.jpg</t>
  </si>
  <si>
    <t>https://dd3ka9h4chfr8.cloudfront.net/image/725136000567/image_jfr4kug38p42b1h1nfps3h0373/-FJPG/108448-002_DET_8.jpg</t>
  </si>
  <si>
    <t>https://dd3ka9h4chfr8.cloudfront.net/image/725136000567/image_3hllmcr1f54rn9rcm79fa18c5c/-FJPG/FHMPRJ-007_SCENE_19.tif</t>
  </si>
  <si>
    <t>Dresser</t>
  </si>
  <si>
    <t>Rosedale</t>
  </si>
  <si>
    <t>6.70"</t>
  </si>
  <si>
    <t>13.94"</t>
  </si>
  <si>
    <t>5.31"</t>
  </si>
  <si>
    <t>26.54"</t>
  </si>
  <si>
    <t>Silver</t>
  </si>
  <si>
    <t>108448-003</t>
  </si>
  <si>
    <t>Rosedale 3 Drawer Dresser - Ebony Oak Veneer</t>
  </si>
  <si>
    <t>Ebony Oak Veneer</t>
  </si>
  <si>
    <t>Ebony-finished oak forms a clean silhouette for three spacious drawers with iron hardware wrapped in tan top-grain leather. This item has been modified to comply with the STURDY Act. See a full list of modified products and data changes in the â€œSTURDY Actâ€ file in the Downloads section below.</t>
  </si>
  <si>
    <t>https://dd3ka9h4chfr8.cloudfront.net/image/725136000567/image_4eg21le8ch71j70qlcnej47m7n/-S150x150-FJPG/108448-003_PRM_1.jpg</t>
  </si>
  <si>
    <t>https://dd3ka9h4chfr8.cloudfront.net/image/725136000567/image_h7s16rfji96r3a9u9dvpak1n33/-FJPG/108448-003_FRT_1.jpg</t>
  </si>
  <si>
    <t>https://dd3ka9h4chfr8.cloudfront.net/image/725136000567/image_4eg21le8ch71j70qlcnej47m7n/-FJPG/108448-003_PRM_1.jpg</t>
  </si>
  <si>
    <t>https://dd3ka9h4chfr8.cloudfront.net/image/725136000567/image_hag8c78lq922f6cgm1jnsfpj1k/-FJPG/108448-003_SID_1.jpg</t>
  </si>
  <si>
    <t>https://dd3ka9h4chfr8.cloudfront.net/image/725136000567/image_02kvpr16il04b01g1gubr97k7e/-FJPG/108448-003_ESS_1.jpg</t>
  </si>
  <si>
    <t>https://dd3ka9h4chfr8.cloudfront.net/image/725136000567/image_tqoomurkjd6dhbd4kf0al81v2e/-FJPG/108448-003_DET_2.jpg</t>
  </si>
  <si>
    <t>https://dd3ka9h4chfr8.cloudfront.net/image/725136000567/image_411c7hqjsl4f721gls3f0khd06/-FJPG/108448-003_BCK_1.jpg</t>
  </si>
  <si>
    <t>https://dd3ka9h4chfr8.cloudfront.net/image/725136000567/image_gnflc9ugud3c56t4ojr45iv52g/-FJPG/108448-003_DET_1.jpg</t>
  </si>
  <si>
    <t>https://dd3ka9h4chfr8.cloudfront.net/image/725136000567/image_vrggsc8hph13l9pj95dsmido1q/-FJPG/108448-003_DET_3.jpg</t>
  </si>
  <si>
    <t>https://dd3ka9h4chfr8.cloudfront.net/image/725136000567/image_7bsiki335p6ehbcssdv1hu5c2s/-FJPG/108448-003_OPN_1.jpg</t>
  </si>
  <si>
    <t>https://dd3ka9h4chfr8.cloudfront.net/image/725136000567/image_qut454aulh2pd30qd7mi32pn4a/-FJPG/108448-003_DET_4.jpg</t>
  </si>
  <si>
    <t>https://dd3ka9h4chfr8.cloudfront.net/image/725136000567/image_j2h827lqa97ef96r42vnseb441/-FJPG/108448-003_DET_5.jpg</t>
  </si>
  <si>
    <t>108459-002</t>
  </si>
  <si>
    <t>Trey Nightstand - Auburn Poplar</t>
  </si>
  <si>
    <t>Inspired by clean mid-century design, a stylish nightstand of solid auburn-finished poplar brings extra space to bedside storage. Metal-secured leather pull adds a textural element of surprise.</t>
  </si>
  <si>
    <t>https://dd3ka9h4chfr8.cloudfront.net/image/725136000567/image_nh8a7o4b717g344ajneol26q4p/-S150x150-FJPG/108459-002_PRM_1.jpg</t>
  </si>
  <si>
    <t>https://dd3ka9h4chfr8.cloudfront.net/image/725136000567/image_9lgukr2jhd2vt0j2jfevfv9h08/-FJPG/108459-002_FRT_1.jpg</t>
  </si>
  <si>
    <t>https://dd3ka9h4chfr8.cloudfront.net/image/725136000567/image_nh8a7o4b717g344ajneol26q4p/-FJPG/108459-002_PRM_1.jpg</t>
  </si>
  <si>
    <t>https://dd3ka9h4chfr8.cloudfront.net/image/725136000567/image_n5npvnv5g56op72t9s3cp8fk3u/-FJPG/108459-002_SID_1.jpg</t>
  </si>
  <si>
    <t>https://dd3ka9h4chfr8.cloudfront.net/image/725136000567/image_hvjt1edos972re783un679g21i/-FJPG/108459-002_BCK_1.jpg</t>
  </si>
  <si>
    <t>https://dd3ka9h4chfr8.cloudfront.net/image/725136000567/image_g845hf3iop7orcfitvgrpuml0p/-FJPG/108459-002_DET_1.jpg</t>
  </si>
  <si>
    <t>https://dd3ka9h4chfr8.cloudfront.net/image/725136000567/image_6hgom3a7e515negbcchh7vuo2l/-FJPG/108459-002_DET_3.jpg</t>
  </si>
  <si>
    <t>https://dd3ka9h4chfr8.cloudfront.net/image/725136000567/image_f9u1198idp2rd7ue59b7ddt56f/-FJPG/108459-002_OPN_1.jpg</t>
  </si>
  <si>
    <t>https://dd3ka9h4chfr8.cloudfront.net/image/725136000567/image_t5rhrbrvmp1ctbnb1l9e8v790n/-FJPG/108459-002_DET_4.jpg</t>
  </si>
  <si>
    <t>https://dd3ka9h4chfr8.cloudfront.net/image/725136000567/image_ohhnjj18ql0alchciro3gre81h/-FJPG/108459-002_DET_5.jpg</t>
  </si>
  <si>
    <t>https://dd3ka9h4chfr8.cloudfront.net/image/725136000567/image_ga8ievkjj95n399cdl97bhe875/-FJPG/108459-002_DET_6.jpg</t>
  </si>
  <si>
    <t>https://dd3ka9h4chfr8.cloudfront.net/image/725136000567/image_igb1oeft1d1a93u7vgbfvt6r4v/-FJPG/108459-002_VIG_1.jpg</t>
  </si>
  <si>
    <t>10.12"</t>
  </si>
  <si>
    <t>14.29"</t>
  </si>
  <si>
    <t>4.53"</t>
  </si>
  <si>
    <t>20.98"</t>
  </si>
  <si>
    <t>108459-004</t>
  </si>
  <si>
    <t>Trey Nightstand - Black Wash Poplar</t>
  </si>
  <si>
    <t>Inspired by clean mid-century design, a stylish nightstand of solid black-washed poplar brings extra space to bedside storage. Metal-secured leather pull adds a textural element of surprise.</t>
  </si>
  <si>
    <t>https://dd3ka9h4chfr8.cloudfront.net/image/725136000567/image_118k1crk5d4l30674qqbc3b61g/-S150x150-FJPG/108459-004_PRM_1.jpg</t>
  </si>
  <si>
    <t>https://dd3ka9h4chfr8.cloudfront.net/image/725136000567/image_t7btlsbj7531pf34hq42sppu6b/-FJPG/108459-004_FRT_1.jpg</t>
  </si>
  <si>
    <t>https://dd3ka9h4chfr8.cloudfront.net/image/725136000567/image_118k1crk5d4l30674qqbc3b61g/-FJPG/108459-004_PRM_1.jpg</t>
  </si>
  <si>
    <t>https://dd3ka9h4chfr8.cloudfront.net/image/725136000567/image_hbrqm2geul3b50n98cuuce8l3f/-FJPG/108459-004_SID_1.jpg</t>
  </si>
  <si>
    <t>https://dd3ka9h4chfr8.cloudfront.net/image/725136000567/image_56mlsl82o91r15qlb12m0jav44/-FJPG/108459-004_ESS_1.jpg</t>
  </si>
  <si>
    <t>https://dd3ka9h4chfr8.cloudfront.net/image/725136000567/image_7t4kfp7h3d0fnce57oh77kr64l/-FJPG/108459-004_BCK_1.jpg</t>
  </si>
  <si>
    <t>https://dd3ka9h4chfr8.cloudfront.net/image/725136000567/image_u3b9hj3gdl0sle80ibt10qiu65/-FJPG/108459-004_DET_1.jpg</t>
  </si>
  <si>
    <t>https://dd3ka9h4chfr8.cloudfront.net/image/725136000567/image_6t963u71vt2d543qsab8foc27s/-FJPG/108459-004_DET_3.jpg</t>
  </si>
  <si>
    <t>https://dd3ka9h4chfr8.cloudfront.net/image/725136000567/image_0prnmshkld5jfdjr9sginkae1t/-FJPG/108459-004_OPN_1.jpg</t>
  </si>
  <si>
    <t>https://dd3ka9h4chfr8.cloudfront.net/image/725136000567/image_cnuivqb8vt31d2r9s2kqa3bg7o/-FJPG/108459-004_DET_4.jpg</t>
  </si>
  <si>
    <t>https://dd3ka9h4chfr8.cloudfront.net/image/725136000567/image_a3snka57pp7th08r43safsih32/-FJPG/108459-004_DET_5.jpg</t>
  </si>
  <si>
    <t>108459-005</t>
  </si>
  <si>
    <t>Trey Nightstand - Dove Poplar</t>
  </si>
  <si>
    <t>Inspired by clean midcentury design, a stylish nightstand of light-washed solid poplar brings extra storage space to the bedside. A metal-secured top-grain leather pull adds a textural element of surprise.</t>
  </si>
  <si>
    <t>https://dd3ka9h4chfr8.cloudfront.net/image/725136000567/image_vphjjage954sl0rinvep07a736/-S150x150-FJPG/108459-005_PRM_1.jpg</t>
  </si>
  <si>
    <t>https://dd3ka9h4chfr8.cloudfront.net/image/725136000567/image_mp2dj353595838lo19u8f6qo2d/-FJPG/108459-005_FRT_1.jpg</t>
  </si>
  <si>
    <t>https://dd3ka9h4chfr8.cloudfront.net/image/725136000567/image_vphjjage954sl0rinvep07a736/-FJPG/108459-005_PRM_1.jpg</t>
  </si>
  <si>
    <t>https://dd3ka9h4chfr8.cloudfront.net/image/725136000567/image_fjt321j1sd6ctcns1sfer4vl0e/-FJPG/108459-005_SID_1.jpg</t>
  </si>
  <si>
    <t>https://dd3ka9h4chfr8.cloudfront.net/image/725136000567/image_5kb691r11l731dbq19esst1g0j/-FJPG/108459-005_ESS.tif</t>
  </si>
  <si>
    <t>https://dd3ka9h4chfr8.cloudfront.net/image/725136000567/image_netg3qva694lt2346o1haci179/-FJPG/108459-005_DET_2.jpg</t>
  </si>
  <si>
    <t>https://dd3ka9h4chfr8.cloudfront.net/image/725136000567/image_acqe9m0p5d2dr861rmdp5h7o2t/-FJPG/108459-005_BCK_1.jpg</t>
  </si>
  <si>
    <t>https://dd3ka9h4chfr8.cloudfront.net/image/725136000567/image_f2pr86cb254k13mhesv2pmit1r/-FJPG/108459-005_DET_1.jpg</t>
  </si>
  <si>
    <t>https://dd3ka9h4chfr8.cloudfront.net/image/725136000567/image_dlbjouf4kp6a714ugn3bigei7m/-FJPG/108459-005_DET_3.jpg</t>
  </si>
  <si>
    <t>https://dd3ka9h4chfr8.cloudfront.net/image/725136000567/image_ef5jesbjq94o37vn224gn91q6c/-FJPG/108459-005_OPN_1.jpg</t>
  </si>
  <si>
    <t>https://dd3ka9h4chfr8.cloudfront.net/image/725136000567/image_5kjna0b58t1jf2ep4618btv63p/-FJPG/108459-005_DET_4.jpg</t>
  </si>
  <si>
    <t>https://dd3ka9h4chfr8.cloudfront.net/image/725136000567/image_7vgsuert495r1019ojtdg0rl41/-FJPG/108459-005_DET_5.jpg</t>
  </si>
  <si>
    <t>https://dd3ka9h4chfr8.cloudfront.net/image/725136000567/image_mgsjm6ra9l50j07916v2i3c86v/-FJPG/108459-005_DET_6.jpg</t>
  </si>
  <si>
    <t>108480-003</t>
  </si>
  <si>
    <t>Rosedale Bed - Chaps Sand</t>
  </si>
  <si>
    <t>Light-washed oak frames a floating, sling-style headboard made from tan top-grain leather, with subtly rounded edges and metal dowel detailing. Rounded edges bring a touch of softness to the bedroom.</t>
  </si>
  <si>
    <t>https://dd3ka9h4chfr8.cloudfront.net/image/725136000567/image_oj229uq7o53fn6kc0onkq7d815/-S150x150-FJPG/108480-003_PRM_1.jpg</t>
  </si>
  <si>
    <t>https://dd3ka9h4chfr8.cloudfront.net/image/725136000567/image_983r9lqbol0md41jt3ag8aoi7e/-FJPG/108480-003_FRT_1.jpg</t>
  </si>
  <si>
    <t>https://dd3ka9h4chfr8.cloudfront.net/image/725136000567/image_oj229uq7o53fn6kc0onkq7d815/-FJPG/108480-003_PRM_1.jpg</t>
  </si>
  <si>
    <t>https://dd3ka9h4chfr8.cloudfront.net/image/725136000567/image_i6oo9tres157dcp30udk1po443/-FJPG/108480-003_SID_1.jpg</t>
  </si>
  <si>
    <t>https://dd3ka9h4chfr8.cloudfront.net/image/725136000567/image_39970f92qt2ot7fkbdn5s37i7s/-FJPG/108480-003_ESS_1.jpg</t>
  </si>
  <si>
    <t>https://dd3ka9h4chfr8.cloudfront.net/image/725136000567/image_d24plth7b96irb6vvsvgrcuv4l/-FJPG/108480-003_DET_2.jpg</t>
  </si>
  <si>
    <t>https://dd3ka9h4chfr8.cloudfront.net/image/725136000567/image_11rvndm17t5ttceev2drsmnl4m/-FJPG/108480-003_BCK_1.jpg</t>
  </si>
  <si>
    <t>https://dd3ka9h4chfr8.cloudfront.net/image/725136000567/image_r2696oekpt4hl1fg7m6st6jo0s/-FJPG/108480-003_DET_1.jpg</t>
  </si>
  <si>
    <t>https://dd3ka9h4chfr8.cloudfront.net/image/725136000567/image_lb4uhdp3n55jh2539bgah9js4o/-FJPG/108480-003_DET_3.jpg</t>
  </si>
  <si>
    <t>https://dd3ka9h4chfr8.cloudfront.net/image/725136000567/image_m3mk7ss18p43j20a5oi4nh4826/-FJPG/108480-003_DET_4.jpg</t>
  </si>
  <si>
    <t>https://dd3ka9h4chfr8.cloudfront.net/image/725136000567/image_qhac0rrli12b77mu1i7lv3960j/-FJPG/108480-003_DET_5.jpg</t>
  </si>
  <si>
    <t>https://dd3ka9h4chfr8.cloudfront.net/image/725136000567/image_t1v20ufr6t0q7andvmjrf0do2a/-FJPG/108480-003_DET_6.jpg</t>
  </si>
  <si>
    <t>https://dd3ka9h4chfr8.cloudfront.net/image/725136000567/image_05tgn2o39l5296v56g3lmtq74a/-FJPG/108480-003_DET_7.jpg</t>
  </si>
  <si>
    <t>https://dd3ka9h4chfr8.cloudfront.net/image/725136000567/image_fs8s6qb7dl0617al2cv4i5p16l/-FJPG/108480-003_DET_8.jpg</t>
  </si>
  <si>
    <t>https://dd3ka9h4chfr8.cloudfront.net/image/725136000567/image_kho2d3po114in564dmsgu3lm4n/-FJPG/108480-003_DET_9.jpg</t>
  </si>
  <si>
    <t>https://dd3ka9h4chfr8.cloudfront.net/image/725136000567/image_faaopmo21h7qt4939ac2bd6f2g/-FJPG/108480-003_VIG_1.jpg</t>
  </si>
  <si>
    <t>Footboard And Slats</t>
  </si>
  <si>
    <t>8.07"</t>
  </si>
  <si>
    <t>63.39"</t>
  </si>
  <si>
    <t>50.98"</t>
  </si>
  <si>
    <t>3.35"</t>
  </si>
  <si>
    <t>80.71"</t>
  </si>
  <si>
    <t>60.83"</t>
  </si>
  <si>
    <t>81.89"</t>
  </si>
  <si>
    <t>16.14"</t>
  </si>
  <si>
    <t>108480-004</t>
  </si>
  <si>
    <t>https://dd3ka9h4chfr8.cloudfront.net/image/725136000567/image_ggedq58b9l0jv30m9evpbvjr2t/-S150x150-FJPG/108480-004_PRM_1.jpg</t>
  </si>
  <si>
    <t>https://dd3ka9h4chfr8.cloudfront.net/image/725136000567/image_82itbrpocd3vt9kbgb9dhb450h/-FJPG/108480-004_FRT_1.jpg</t>
  </si>
  <si>
    <t>https://dd3ka9h4chfr8.cloudfront.net/image/725136000567/image_ggedq58b9l0jv30m9evpbvjr2t/-FJPG/108480-004_PRM_1.jpg</t>
  </si>
  <si>
    <t>https://dd3ka9h4chfr8.cloudfront.net/image/725136000567/image_38c22q7s5d1mb1gifkiob6nl59/-FJPG/108480-004_SID_1.jpg</t>
  </si>
  <si>
    <t>https://dd3ka9h4chfr8.cloudfront.net/image/725136000567/image_gdloiv4u5d5olaohr0lr0p8c3a/-FJPG/108480-004_ESS_1.jpg</t>
  </si>
  <si>
    <t>https://dd3ka9h4chfr8.cloudfront.net/image/725136000567/image_gbsq260ech1jl7g17t93icrg2b/-FJPG/108480-004_DET_2.jpg</t>
  </si>
  <si>
    <t>https://dd3ka9h4chfr8.cloudfront.net/image/725136000567/image_k3cqavov417j9714tnbl0eqp7l/-FJPG/108480-004_BCK_1.jpg</t>
  </si>
  <si>
    <t>https://dd3ka9h4chfr8.cloudfront.net/image/725136000567/image_ef6l1mh69d7lh9q38mtfkosm7q/-FJPG/108480-004_DET_1.jpg</t>
  </si>
  <si>
    <t>https://dd3ka9h4chfr8.cloudfront.net/image/725136000567/image_1s1lrlht4d46h0q7f3sjl4t766/-FJPG/108480-004_DET_3.jpg</t>
  </si>
  <si>
    <t>https://dd3ka9h4chfr8.cloudfront.net/image/725136000567/image_nouifeugmp4trbcqgcucl9115l/-FJPG/108480-004_DET_4.jpg</t>
  </si>
  <si>
    <t>https://dd3ka9h4chfr8.cloudfront.net/image/725136000567/image_ftkbt138a167lef99dsds20a1f/-FJPG/108480-004_DET_5.jpg</t>
  </si>
  <si>
    <t>https://dd3ka9h4chfr8.cloudfront.net/image/725136000567/image_gjb1l1f9gh57hbsmc79346c52q/-FJPG/108480-004_DET_6.jpg</t>
  </si>
  <si>
    <t>https://dd3ka9h4chfr8.cloudfront.net/image/725136000567/image_j08ukkr7rp4pfbhl5mdan8db34/-FJPG/108480-004_DET_7.jpg</t>
  </si>
  <si>
    <t>https://dd3ka9h4chfr8.cloudfront.net/image/725136000567/image_5vpt2abdgp5ln3g1jl25sees4v/-FJPG/108480-004_DET_8.jpg</t>
  </si>
  <si>
    <t>https://dd3ka9h4chfr8.cloudfront.net/image/725136000567/image_cimhvdr5b93an4sf0neapmoa1n/-FJPG/108480-004_DET_9.jpg</t>
  </si>
  <si>
    <t>79.53"</t>
  </si>
  <si>
    <t>108480-009</t>
  </si>
  <si>
    <t>Rosedale Bed - Knoll Natural</t>
  </si>
  <si>
    <t>Light-finished oak frames a sling-style headboard of cream-colored boucle.</t>
  </si>
  <si>
    <t>https://dd3ka9h4chfr8.cloudfront.net/image/725136000567/image_dqgd8efelt7kb62c4f8857ui7a/-S150x150-FJPG/108480-009_PRM_1.jpg</t>
  </si>
  <si>
    <t>https://dd3ka9h4chfr8.cloudfront.net/image/725136000567/image_1qrj82crrl09l14qhojn5v372i/-FJPG/108480-009_FRT_1.jpg</t>
  </si>
  <si>
    <t>https://dd3ka9h4chfr8.cloudfront.net/image/725136000567/image_dqgd8efelt7kb62c4f8857ui7a/-FJPG/108480-009_PRM_1.jpg</t>
  </si>
  <si>
    <t>https://dd3ka9h4chfr8.cloudfront.net/image/725136000567/image_kdurmgn1a94rja20cnhk3ssv6a/-FJPG/108480-009_SID_1.jpg</t>
  </si>
  <si>
    <t>https://dd3ka9h4chfr8.cloudfront.net/image/725136000567/image_1f75i210ql7c31lgqfrrcjj06s/-FJPG/108480-009_DET_2.jpg</t>
  </si>
  <si>
    <t>https://dd3ka9h4chfr8.cloudfront.net/image/725136000567/image_a7h8soj4pl7jn2cafmu8iqcq7i/-FJPG/108480-009_BCK_1.jpg</t>
  </si>
  <si>
    <t>https://dd3ka9h4chfr8.cloudfront.net/image/725136000567/image_mg77n17hh93774sqgrc5rdju5p/-FJPG/108480-009_DET_1.jpg</t>
  </si>
  <si>
    <t>https://dd3ka9h4chfr8.cloudfront.net/image/725136000567/image_bqdk9j42gt60p4197o8ohv4r7d/-FJPG/108480-009_DET_3.jpg</t>
  </si>
  <si>
    <t>https://dd3ka9h4chfr8.cloudfront.net/image/725136000567/image_3m054vjf7p40lal3p0dsqhr213/-FJPG/108480-009_DET_4.jpg</t>
  </si>
  <si>
    <t>https://dd3ka9h4chfr8.cloudfront.net/image/725136000567/image_2v0q94jka9601d2pjfjspvaj41/-FJPG/108480-009_DET_5.jpg</t>
  </si>
  <si>
    <t>https://dd3ka9h4chfr8.cloudfront.net/image/725136000567/image_16uiu6gac1367aopv8b2id033f/-FJPG/108480-009_DET_6.jpg</t>
  </si>
  <si>
    <t>https://dd3ka9h4chfr8.cloudfront.net/image/725136000567/image_k5b4bf959h5udemp15h61p7o51/-FJPG/108480-009_DET_7.jpg</t>
  </si>
  <si>
    <t>108480-010</t>
  </si>
  <si>
    <t>Light-washed oak frames a floating, sling-style headboard of cream-colored boucle, with subtly rounded edges and metal dowel detailing. Rounded edges bring a touch of softness to the bedroom.</t>
  </si>
  <si>
    <t>https://dd3ka9h4chfr8.cloudfront.net/image/725136000567/image_5ufhendm4t6dfehgp6rqd2lq6q/-S150x150-FJPG/108480-010_PRM_1.jpg</t>
  </si>
  <si>
    <t>https://dd3ka9h4chfr8.cloudfront.net/image/725136000567/image_8u5cnnor6t32l85e27r9eubg3k/-FJPG/108480-010_FRT_1.jpg</t>
  </si>
  <si>
    <t>https://dd3ka9h4chfr8.cloudfront.net/image/725136000567/image_5ufhendm4t6dfehgp6rqd2lq6q/-FJPG/108480-010_PRM_1.jpg</t>
  </si>
  <si>
    <t>https://dd3ka9h4chfr8.cloudfront.net/image/725136000567/image_qnjckbubap155a7u275c5f2l3h/-FJPG/108480-010_SID_1.jpg</t>
  </si>
  <si>
    <t>https://dd3ka9h4chfr8.cloudfront.net/image/725136000567/image_evvi9r10j1051f7ffqijvsfo7b/-FJPG/108480-010_ESS_1.jpg</t>
  </si>
  <si>
    <t>https://dd3ka9h4chfr8.cloudfront.net/image/725136000567/image_1ohi99kivt2sh163gfhi4h8g2f/-FJPG/108480-010_DET_2.jpg</t>
  </si>
  <si>
    <t>https://dd3ka9h4chfr8.cloudfront.net/image/725136000567/image_iv3qnub2o94i5669g00n4ilb54/-FJPG/108480-010_BCK_1.jpg</t>
  </si>
  <si>
    <t>https://dd3ka9h4chfr8.cloudfront.net/image/725136000567/image_ej4ojd9brd46p4r529lgok3030/-FJPG/108480-010_DET_1.jpg</t>
  </si>
  <si>
    <t>https://dd3ka9h4chfr8.cloudfront.net/image/725136000567/image_d3fltim0c54op7b8kalba0ap7g/-FJPG/108480-010_DET_3.jpg</t>
  </si>
  <si>
    <t>https://dd3ka9h4chfr8.cloudfront.net/image/725136000567/image_tfs6dm5b4l4eh4t780jjovdh4q/-FJPG/108480-010_DET_4.jpg</t>
  </si>
  <si>
    <t>https://dd3ka9h4chfr8.cloudfront.net/image/725136000567/image_cq8j74us2l3lt7t31m2nr1ag2t/-FJPG/108480-010_DET_5.jpg</t>
  </si>
  <si>
    <t>https://dd3ka9h4chfr8.cloudfront.net/image/725136000567/image_t7j9dri9rd3bffqmpk7iretr5b/-FJPG/108480-010_DET_6.jpg</t>
  </si>
  <si>
    <t>https://dd3ka9h4chfr8.cloudfront.net/image/725136000567/image_el6t13bqnp50ba777hh8rko60m/-FJPG/108480-010_DET_7.jpg</t>
  </si>
  <si>
    <t>108480-013</t>
  </si>
  <si>
    <t>Rosedale Bed - Knoll Sand</t>
  </si>
  <si>
    <t>Knoll Sand</t>
  </si>
  <si>
    <t>Ebony-finished oak frames a sling-style headboard made from high-performance fabric. Performance fabrics are specially created to withstand spills, stains, high traffic and wear, ensuring long-term comfort and unmatched durability.</t>
  </si>
  <si>
    <t>https://dd3ka9h4chfr8.cloudfront.net/image/725136000567/image_pfnfemcqth2tp33j5o711hdf4h/-S150x150-FJPG/108480-013_PRM_1.jpg</t>
  </si>
  <si>
    <t>https://dd3ka9h4chfr8.cloudfront.net/image/725136000567/image_movehf9u615olcq04h5lm0ih0a/-FJPG/108480-013_FRT_1.jpg</t>
  </si>
  <si>
    <t>https://dd3ka9h4chfr8.cloudfront.net/image/725136000567/image_pfnfemcqth2tp33j5o711hdf4h/-FJPG/108480-013_PRM_1.jpg</t>
  </si>
  <si>
    <t>https://dd3ka9h4chfr8.cloudfront.net/image/725136000567/image_n1rrb9m47p3fdb43v6c5ul056l/-FJPG/108480-013_SID_1.jpg</t>
  </si>
  <si>
    <t>https://dd3ka9h4chfr8.cloudfront.net/image/725136000567/image_rejb0vsd7p3id3u9ipkjj4dt1c/-FJPG/108480-014_ESS.tif</t>
  </si>
  <si>
    <t>https://dd3ka9h4chfr8.cloudfront.net/image/725136000567/image_smjbqkkba50hp9i7jb0tm1uf5t/-FJPG/108480-013_DET_2.jpg</t>
  </si>
  <si>
    <t>https://dd3ka9h4chfr8.cloudfront.net/image/725136000567/image_mkv943ug5550pa7iff9hupfd24/-FJPG/108480-013_BCK_1.jpg</t>
  </si>
  <si>
    <t>https://dd3ka9h4chfr8.cloudfront.net/image/725136000567/image_0f1s6maqq57u779saoh9i0pq15/-FJPG/108480-013_DET_1.jpg</t>
  </si>
  <si>
    <t>https://dd3ka9h4chfr8.cloudfront.net/image/725136000567/image_9ji0nqhdh505t0gote0vuab74s/-FJPG/108480-013_DET_3.jpg</t>
  </si>
  <si>
    <t>https://dd3ka9h4chfr8.cloudfront.net/image/725136000567/image_bv8tbs7svt20r0il1ocnggir6r/-FJPG/108480-013_DET_4.jpg</t>
  </si>
  <si>
    <t>https://dd3ka9h4chfr8.cloudfront.net/image/725136000567/image_hhv5pacg7t6b9ek6on0d12tf4o/-FJPG/108480-013_DET_5.jpg</t>
  </si>
  <si>
    <t>https://dd3ka9h4chfr8.cloudfront.net/image/725136000567/image_0hk9tqnk6523jdj8gj6ofpvb1b/-FJPG/108480-013_DET_6.jpg</t>
  </si>
  <si>
    <t>https://dd3ka9h4chfr8.cloudfront.net/image/725136000567/image_gtun6imdv97nl80ssv7dqlbv1n/-FJPG/108480-013_DET_7.jpg</t>
  </si>
  <si>
    <t>https://dd3ka9h4chfr8.cloudfront.net/image/725136000567/image_kem01u1obd6hn2nb6kg4jead3l/-FJPG/108480-013_DET_8.jpg</t>
  </si>
  <si>
    <t>108480-014</t>
  </si>
  <si>
    <t>https://dd3ka9h4chfr8.cloudfront.net/image/725136000567/image_3l3to3nsn906j20tqb1ph36u31/-S150x150-FJPG/108480-014_PRM_1.jpg</t>
  </si>
  <si>
    <t>https://dd3ka9h4chfr8.cloudfront.net/image/725136000567/image_jdhktr3g2d6159ug829reg0812/-FJPG/108480-014_FRT_1.jpg</t>
  </si>
  <si>
    <t>https://dd3ka9h4chfr8.cloudfront.net/image/725136000567/image_3l3to3nsn906j20tqb1ph36u31/-FJPG/108480-014_PRM_1.jpg</t>
  </si>
  <si>
    <t>https://dd3ka9h4chfr8.cloudfront.net/image/725136000567/image_8afa0ldni54e97jk6pb7meh22e/-FJPG/108480-014_SID_1.jpg</t>
  </si>
  <si>
    <t>https://dd3ka9h4chfr8.cloudfront.net/image/725136000567/image_tpd9uuuogl4cr4anb8k8saf304/-FJPG/108480-014_DET_2.jpg</t>
  </si>
  <si>
    <t>https://dd3ka9h4chfr8.cloudfront.net/image/725136000567/image_67onhs995t5830o9edlpn61h2k/-FJPG/108480-014_BCK_1.jpg</t>
  </si>
  <si>
    <t>https://dd3ka9h4chfr8.cloudfront.net/image/725136000567/image_l3knitnor92ajcsmgbvsm2357t/-FJPG/108480-014_DET_1.jpg</t>
  </si>
  <si>
    <t>https://dd3ka9h4chfr8.cloudfront.net/image/725136000567/image_eqkieeipsh69h1007voln6uf24/-FJPG/108480-014_DET_3.jpg</t>
  </si>
  <si>
    <t>https://dd3ka9h4chfr8.cloudfront.net/image/725136000567/image_i185nh9lrp4lp7qp5hs2iov376/-FJPG/108480-014_DET_4.jpg</t>
  </si>
  <si>
    <t>https://dd3ka9h4chfr8.cloudfront.net/image/725136000567/image_dc02krnkll6uvden7rtk4s0t6s/-FJPG/108480-014_DET_5.jpg</t>
  </si>
  <si>
    <t>https://dd3ka9h4chfr8.cloudfront.net/image/725136000567/image_3ndmda4o712t70h3i9kjcf647t/-FJPG/108480-014_DET_6.jpg</t>
  </si>
  <si>
    <t>https://dd3ka9h4chfr8.cloudfront.net/image/725136000567/image_9srmp6gji57fn78fpt4eauf730/-FJPG/108480-014_DET_7.jpg</t>
  </si>
  <si>
    <t>https://dd3ka9h4chfr8.cloudfront.net/image/725136000567/image_oh2t8kno4d3mbb8j2s90pk6f6l/-FJPG/108480-014_DET_8.jpg</t>
  </si>
  <si>
    <t>108543-002</t>
  </si>
  <si>
    <t>Charlotte Bench - Palermo Drift</t>
  </si>
  <si>
    <t>Smart in shape and style, slim-profile bench seating features solid whitewashed ash framing, black-finished steel legs and soft, chic seating of tan top-grain leather. Ideal in an entryway, living area or at the foot of the bed.</t>
  </si>
  <si>
    <t>https://dd3ka9h4chfr8.cloudfront.net/image/725136000567/image_0eidmthtfd5ejfkijqear0080o/-S150x150-FJPG/108543-002_PRM_1.jpg</t>
  </si>
  <si>
    <t>https://dd3ka9h4chfr8.cloudfront.net/image/725136000567/image_e57q6gbmg53ur0qej4vviaki7s/-FJPG/108543-002_FRT_1.jpg</t>
  </si>
  <si>
    <t>https://dd3ka9h4chfr8.cloudfront.net/image/725136000567/image_0eidmthtfd5ejfkijqear0080o/-FJPG/108543-002_PRM_1.jpg</t>
  </si>
  <si>
    <t>https://dd3ka9h4chfr8.cloudfront.net/image/725136000567/image_cssbueu3lh21p3bl3j8n4sij0s/-FJPG/108543-002_SID_1.jpg</t>
  </si>
  <si>
    <t>https://dd3ka9h4chfr8.cloudfront.net/image/725136000567/image_grb48mg84h02r9fssljgg2em1d/-FJPG/108543-002_ESS_1.jpg</t>
  </si>
  <si>
    <t>https://dd3ka9h4chfr8.cloudfront.net/image/725136000567/image_265a5qd5t157h15h8mgn4l674c/-FJPG/108543-002_DET_2.jpg</t>
  </si>
  <si>
    <t>https://dd3ka9h4chfr8.cloudfront.net/image/725136000567/image_htg2eepgbd3kd8rirvm7o0co75/-FJPG/108543-002_DET_1.jpg</t>
  </si>
  <si>
    <t>https://dd3ka9h4chfr8.cloudfront.net/image/725136000567/image_214o21pu9h6214lmvueb90l961/-FJPG/108543-002_DET_3.jpg</t>
  </si>
  <si>
    <t>Charlotte</t>
  </si>
  <si>
    <t>13.25"</t>
  </si>
  <si>
    <t>108543-003</t>
  </si>
  <si>
    <t>Charlotte Bench - Mongolian Cream Fur</t>
  </si>
  <si>
    <t>Mongolian Cream Fur</t>
  </si>
  <si>
    <t>Smart in shape and style, slim-profile bench seating features solid oak framing, black-finished steel legs and soft, textural seating. Ideal in an entryway, living area or at the foot of the bed.</t>
  </si>
  <si>
    <t>https://dd3ka9h4chfr8.cloudfront.net/image/725136000567/image_skldkis88l1j99o3i54i9hki54/-S150x150-FJPG/108543-003_PRM_1.JPG</t>
  </si>
  <si>
    <t>https://dd3ka9h4chfr8.cloudfront.net/image/725136000567/image_iedu9tn1ud4hn5f6s9lm338p0e/-FJPG/108543-003_FRT_1.JPG</t>
  </si>
  <si>
    <t>https://dd3ka9h4chfr8.cloudfront.net/image/725136000567/image_skldkis88l1j99o3i54i9hki54/-FJPG/108543-003_PRM_1.JPG</t>
  </si>
  <si>
    <t>https://dd3ka9h4chfr8.cloudfront.net/image/725136000567/image_pc6hlimtsh7k353p76n416tp22/-FJPG/108543-003_SID_1.JPG</t>
  </si>
  <si>
    <t>https://dd3ka9h4chfr8.cloudfront.net/image/725136000567/image_jjngtk60rh1790v3rk0g6iga24/-FJPG/108543-003_ESS_1.jpg</t>
  </si>
  <si>
    <t>https://dd3ka9h4chfr8.cloudfront.net/image/725136000567/image_bpbln1nfjh2ijcttje9tbfpr4e/-FJPG/108543-003_DET_2.JPG</t>
  </si>
  <si>
    <t>https://dd3ka9h4chfr8.cloudfront.net/image/725136000567/image_9bg9m6j7c15891ql1rijhpdd0a/-FJPG/108543-003_DET_1.JPG</t>
  </si>
  <si>
    <t>https://dd3ka9h4chfr8.cloudfront.net/image/725136000567/image_7o7o711ei92hd3dmgb6svjis3a/-FJPG/108543-003_DET_3.JPG</t>
  </si>
  <si>
    <t>108543-004</t>
  </si>
  <si>
    <t>Charlotte Bench - Thames Raven</t>
  </si>
  <si>
    <t>Smart in shape and style, slim-profile bench seating features solid oak framing, black-finished steel legs and soft, textural seating in a speckled black. Ideal in an entryway, living area or at the foot of the bed.</t>
  </si>
  <si>
    <t>https://dd3ka9h4chfr8.cloudfront.net/image/725136000567/image_36m2dpji8d0t73e6jh121lpa7q/-S150x150-FJPG/108543-004_PRM_1.jpg</t>
  </si>
  <si>
    <t>https://dd3ka9h4chfr8.cloudfront.net/image/725136000567/image_o3q5d17k752c72darh0eimkj27/-FJPG/108543-004_FRT_1.jpg</t>
  </si>
  <si>
    <t>https://dd3ka9h4chfr8.cloudfront.net/image/725136000567/image_36m2dpji8d0t73e6jh121lpa7q/-FJPG/108543-004_PRM_1.jpg</t>
  </si>
  <si>
    <t>https://dd3ka9h4chfr8.cloudfront.net/image/725136000567/image_rm8534oovt7336eg7cdoek6q1s/-FJPG/108543-004_SID_1.jpg</t>
  </si>
  <si>
    <t>https://dd3ka9h4chfr8.cloudfront.net/image/725136000567/image_j13ra2588d1hp7l9ugumhl3n6u/-FJPG/108543-004_DET_2.jpg</t>
  </si>
  <si>
    <t>https://dd3ka9h4chfr8.cloudfront.net/image/725136000567/image_t5macfm15t4bt3age096gc5773/-FJPG/108543-004_INF_1.jpg</t>
  </si>
  <si>
    <t>https://dd3ka9h4chfr8.cloudfront.net/image/725136000567/image_9o37o0e06t6r1c6g7jmk94sv47/-FJPG/108543-004_DET_1.jpg</t>
  </si>
  <si>
    <t>https://dd3ka9h4chfr8.cloudfront.net/image/725136000567/image_a4tihd7rbt1mh1n3v35dui3i4p/-FJPG/108543-004_DET_3.jpg</t>
  </si>
  <si>
    <t>https://dd3ka9h4chfr8.cloudfront.net/image/725136000567/image_5bfub6e4055210d75up936e03e/-FJPG/108543-004_DET_4.jpg</t>
  </si>
  <si>
    <t>https://dd3ka9h4chfr8.cloudfront.net/image/725136000567/image_miv3j2vjsh4ij0g22rds8v3q6k/-FJPG/108543-004_DET_5.jpg</t>
  </si>
  <si>
    <t>https://dd3ka9h4chfr8.cloudfront.net/image/725136000567/image_q0dpvnpku53abaav71haolod3t/-FJPG/108543-004_DET_6.jpg</t>
  </si>
  <si>
    <t>108563-001</t>
  </si>
  <si>
    <t>Augustine Ottoman-21" - Deacon Wolf</t>
  </si>
  <si>
    <t>Layer in an extra surface or added seating by way of a top-grain leather ottoman in a rich deep brown, with dramatic channeling for great texture.</t>
  </si>
  <si>
    <t>https://dd3ka9h4chfr8.cloudfront.net/image/725136000567/image_11iclhbcr12lldnae32g8bl31d/-S150x150-FJPG/108563-001_PRM_1.jpg</t>
  </si>
  <si>
    <t>https://dd3ka9h4chfr8.cloudfront.net/image/725136000567/image_1hh9ni89qh03n8c91eicqvrc1f/-FJPG/108563-001_FRT_1.jpg</t>
  </si>
  <si>
    <t>https://dd3ka9h4chfr8.cloudfront.net/image/725136000567/image_11iclhbcr12lldnae32g8bl31d/-FJPG/108563-001_PRM_1.jpg</t>
  </si>
  <si>
    <t>https://dd3ka9h4chfr8.cloudfront.net/image/725136000567/image_sfitlng3rh2ifffcka9ctujr35/-FJPG/108563-001_SID_1.jpg</t>
  </si>
  <si>
    <t>https://dd3ka9h4chfr8.cloudfront.net/image/725136000567/image_ah44bdego127p65n0vvc3o145p/-FJPG/108563-001_ESS_1.jpg</t>
  </si>
  <si>
    <t>https://dd3ka9h4chfr8.cloudfront.net/image/725136000567/image_bdc31sh0lp7m316c9p50892c1q/-FJPG/108563-001_BCK_1.jpg</t>
  </si>
  <si>
    <t>https://dd3ka9h4chfr8.cloudfront.net/image/725136000567/image_qjaud9fblt7c90aa0d6qos1u31/-FJPG/108563-001_TOP_1.jpg</t>
  </si>
  <si>
    <t>108563-002</t>
  </si>
  <si>
    <t>Augustine Ottoman-21" - Dover Crescent</t>
  </si>
  <si>
    <t>Layer in an extra surface or added seating by way of a linen-blend ottoman in a crisp, clean off-white, with dramatic channeling for great texture.</t>
  </si>
  <si>
    <t>https://dd3ka9h4chfr8.cloudfront.net/image/725136000567/image_k54umlkbs93317ou0rscrka30p/-S150x150-FJPG/108563-002_PRM_1.jpg</t>
  </si>
  <si>
    <t>https://dd3ka9h4chfr8.cloudfront.net/image/725136000567/image_llntmrgkct18572eqqqeeja12h/-FJPG/108563-002_FRT_1.jpg</t>
  </si>
  <si>
    <t>https://dd3ka9h4chfr8.cloudfront.net/image/725136000567/image_k54umlkbs93317ou0rscrka30p/-FJPG/108563-002_PRM_1.jpg</t>
  </si>
  <si>
    <t>https://dd3ka9h4chfr8.cloudfront.net/image/725136000567/image_sqvt4123jd42jauisekr20487k/-FJPG/108563-002_SID_1.jpg</t>
  </si>
  <si>
    <t>https://dd3ka9h4chfr8.cloudfront.net/image/725136000567/image_b7300enojl3oh7ccc75hq02p55/-FJPG/108563-002_ESS_1.jpg</t>
  </si>
  <si>
    <t>https://dd3ka9h4chfr8.cloudfront.net/image/725136000567/image_5149neu3b1051b16iktf7ilg1j/-FJPG/108563-002_BCK_1.jpg</t>
  </si>
  <si>
    <t>https://dd3ka9h4chfr8.cloudfront.net/image/725136000567/image_kv5kmm4ae11r78ntkenki0qa14/-FJPG/108563-002_INF_1.jpg</t>
  </si>
  <si>
    <t>https://dd3ka9h4chfr8.cloudfront.net/image/725136000567/image_5qnp2qm5lt2r71rppl31pa5613/-FJPG/108563-002_TOP_1.jpg</t>
  </si>
  <si>
    <t>108563-004</t>
  </si>
  <si>
    <t>Augustine Ottoman-21" - Orly Natural</t>
  </si>
  <si>
    <t>Layer in an extra surface or seat with a linen-blend ottoman in a crisp heathered grey, with heavy channeling for texture.</t>
  </si>
  <si>
    <t>https://dd3ka9h4chfr8.cloudfront.net/image/725136000567/image_pdbvpk936t42raukpeekdkuc7n/-S150x150-FJPG/108563-004_PRM_1.jpg</t>
  </si>
  <si>
    <t>https://dd3ka9h4chfr8.cloudfront.net/image/725136000567/image_ggm9qs56jh6ab2ija0ch709n5c/-FJPG/108563-004_FRT_1.jpg</t>
  </si>
  <si>
    <t>https://dd3ka9h4chfr8.cloudfront.net/image/725136000567/image_pdbvpk936t42raukpeekdkuc7n/-FJPG/108563-004_PRM_1.jpg</t>
  </si>
  <si>
    <t>https://dd3ka9h4chfr8.cloudfront.net/image/725136000567/image_476qkoltv97fn3m2dijsja2m19/-FJPG/108563-004_SID_1.jpg</t>
  </si>
  <si>
    <t>https://dd3ka9h4chfr8.cloudfront.net/image/725136000567/image_dbp51aqanp2dp21h2gmg7u2j64/-FJPG/108563-004_ESS_1.jpg</t>
  </si>
  <si>
    <t>https://dd3ka9h4chfr8.cloudfront.net/image/725136000567/image_4o7oqbljcd06h8k69s6b5pi308/-FJPG/108563-004_BCK_1.jpg</t>
  </si>
  <si>
    <t>https://dd3ka9h4chfr8.cloudfront.net/image/725136000567/image_9405sfv49p1kf0v7itg4s2nd7b/-FJPG/108563-004_TOP_1.jpg</t>
  </si>
  <si>
    <t>https://dd3ka9h4chfr8.cloudfront.net/image/725136000567/image_9e5qusa68p6tf2ts4lddc0kr63/-FJPG/108563-004_DET_4.jpg</t>
  </si>
  <si>
    <t>https://dd3ka9h4chfr8.cloudfront.net/image/725136000567/image_agh4n3g3ol779efv5oe6lg7n7c/-FJPG/108563-004_VIG_1.jpg</t>
  </si>
  <si>
    <t>108563-005</t>
  </si>
  <si>
    <t>Augustine Ottoman-21" - Sapphire Navy</t>
  </si>
  <si>
    <t>Layer in an extra surface or seat with a channeled ottoman made from a velvety poly blend.</t>
  </si>
  <si>
    <t>https://dd3ka9h4chfr8.cloudfront.net/image/725136000567/image_2kgavf90p56s1d4d4plcqunr4u/-S150x150-FJPG/108563-005_PRM_1.jpg</t>
  </si>
  <si>
    <t>https://dd3ka9h4chfr8.cloudfront.net/image/725136000567/image_v7k6im7tv95opetdkjasqf9934/-FJPG/108563-005_FRT_1.jpg</t>
  </si>
  <si>
    <t>https://dd3ka9h4chfr8.cloudfront.net/image/725136000567/image_2kgavf90p56s1d4d4plcqunr4u/-FJPG/108563-005_PRM_1.jpg</t>
  </si>
  <si>
    <t>https://dd3ka9h4chfr8.cloudfront.net/image/725136000567/image_adb8j23v2t0in0ruq7dln4ma75/-FJPG/108563-005_SID_1.jpg</t>
  </si>
  <si>
    <t>https://dd3ka9h4chfr8.cloudfront.net/image/725136000567/image_1mre21sqbt0cv0kpsdrja5vt2d/-FJPG/108563-005_ESS_1.jpg</t>
  </si>
  <si>
    <t>https://dd3ka9h4chfr8.cloudfront.net/image/725136000567/image_8t8j3mrhgt23p9eppm383c6o51/-FJPG/108563-005_BCK_1.jpg</t>
  </si>
  <si>
    <t>https://dd3ka9h4chfr8.cloudfront.net/image/725136000567/image_2cslfi96dl66935dlrrnvlp37f/-FJPG/108563-005_TOP_1.jpg</t>
  </si>
  <si>
    <t>108563-006</t>
  </si>
  <si>
    <t>Augustine Ottoman-21" - Surrey Auburn</t>
  </si>
  <si>
    <t>Layer in an extra surface or seat with a channeled ottoman made from a velvety cotton blend.</t>
  </si>
  <si>
    <t>https://dd3ka9h4chfr8.cloudfront.net/image/725136000567/image_ngeuu0m0up5g7dsilkmsh0tk6g/-S150x150-FJPG/108563-006_PRM_1.jpg</t>
  </si>
  <si>
    <t>https://dd3ka9h4chfr8.cloudfront.net/image/725136000567/image_ngeuu0m0up5g7dsilkmsh0tk6g/-FJPG/108563-006_PRM_1.jpg</t>
  </si>
  <si>
    <t>https://dd3ka9h4chfr8.cloudfront.net/image/725136000567/image_qt6nc8uiml27t0qqqp8ig2of7r/-FJPG/108563-006_SID_1.jpg</t>
  </si>
  <si>
    <t>https://dd3ka9h4chfr8.cloudfront.net/image/725136000567/image_54rpg7jqmt7hjd4eluu4uhsk49/-FJPG/108563-006_ESS_1.jpg</t>
  </si>
  <si>
    <t>https://dd3ka9h4chfr8.cloudfront.net/image/725136000567/image_4jdtat38lh7uvboraco70ce83b/-FJPG/108563-006_DET_2.jpg</t>
  </si>
  <si>
    <t>https://dd3ka9h4chfr8.cloudfront.net/image/725136000567/image_auq0t984cl533bgmnojnpdad6i/-FJPG/108563-006_DET_1.jpg</t>
  </si>
  <si>
    <t>https://dd3ka9h4chfr8.cloudfront.net/image/725136000567/image_3mnno6csjh3ut6u3i43urtl43h/-FJPG/108563-006_DET_3.jpg</t>
  </si>
  <si>
    <t>https://dd3ka9h4chfr8.cloudfront.net/image/725136000567/image_bic4575b3d4ur7remrb2tbej0o/-FJPG/108563-006_DET_4.jpg</t>
  </si>
  <si>
    <t>https://dd3ka9h4chfr8.cloudfront.net/image/725136000567/image_5n4ek21tn517d9bvqtm6ju5r04/-FJPG/108563-006_PRM_2.jpg</t>
  </si>
  <si>
    <t>108563-007</t>
  </si>
  <si>
    <t>Augustine Ottoman-21" - Palermo Drift</t>
  </si>
  <si>
    <t>Layer in an extra surface or seat with  a channeled ottoman made from top-grain leather with a plump, pronounced grain.</t>
  </si>
  <si>
    <t>https://dd3ka9h4chfr8.cloudfront.net/image/725136000567/image_8mg09n7rod4271rmtolgmstt26/-S150x150-FJPG/108563-007_PRM_1.jpg</t>
  </si>
  <si>
    <t>https://dd3ka9h4chfr8.cloudfront.net/image/725136000567/image_8775tq1ucp4j7b5giat4tt6d04/-FJPG/108563-007_FRT_1.jpg</t>
  </si>
  <si>
    <t>https://dd3ka9h4chfr8.cloudfront.net/image/725136000567/image_8mg09n7rod4271rmtolgmstt26/-FJPG/108563-007_PRM_1.jpg</t>
  </si>
  <si>
    <t>https://dd3ka9h4chfr8.cloudfront.net/image/725136000567/image_b5emac1sl548vb0ea0apavll76/-FJPG/108563-007_SID_1.jpg</t>
  </si>
  <si>
    <t>https://dd3ka9h4chfr8.cloudfront.net/image/725136000567/image_kgbvaojef11e33n86r5f6o126h/-FJPG/108563-007_ESS_1.jpg</t>
  </si>
  <si>
    <t>https://dd3ka9h4chfr8.cloudfront.net/image/725136000567/image_s0gd8qc8211cdc71if19lusg2d/-FJPG/108563-007_BCK_1.jpg</t>
  </si>
  <si>
    <t>https://dd3ka9h4chfr8.cloudfront.net/image/725136000567/image_b8sl7te34d60h5mdlr8ku2br1m/-FJPG/108563-007_TOP_1.jpg</t>
  </si>
  <si>
    <t>108563-016</t>
  </si>
  <si>
    <t>Augustine Ottoman-21" - Crypton Nomad Taupe</t>
  </si>
  <si>
    <t>Layer in an extra surface or seat with a channeled ottoman upholstered in a pet- and family-friendly performance fabric. Free of PFAS, soft and easy to clean, CryptonÂ® performance fabric is specially engineered for protection against stains, moisture and odor.</t>
  </si>
  <si>
    <t>https://dd3ka9h4chfr8.cloudfront.net/image/725136000567/image_rg7ma4u5l948n95e3sf35fgi6p/-S150x150-FJPG/108563-016_PRM_1.JPG</t>
  </si>
  <si>
    <t>https://dd3ka9h4chfr8.cloudfront.net/image/725136000567/image_e03geddjl95nt6lspql0h1qd78/-FJPG/108563-016_FRT_1.JPG</t>
  </si>
  <si>
    <t>https://dd3ka9h4chfr8.cloudfront.net/image/725136000567/image_rg7ma4u5l948n95e3sf35fgi6p/-FJPG/108563-016_PRM_1.JPG</t>
  </si>
  <si>
    <t>https://dd3ka9h4chfr8.cloudfront.net/image/725136000567/image_fhc24ogful0s19jkod5uh3pl6f/-FJPG/108563-016_SID_1.JPG</t>
  </si>
  <si>
    <t>https://dd3ka9h4chfr8.cloudfront.net/image/725136000567/image_hmvvonp5jp483cup29qkndgt4t/-FJPG/108563-016_DET_2.JPG</t>
  </si>
  <si>
    <t>https://dd3ka9h4chfr8.cloudfront.net/image/725136000567/image_0tf8irn7ql0uh3jv36vdddmr52/-FJPG/108563-016_DET_1.JPG</t>
  </si>
  <si>
    <t>https://dd3ka9h4chfr8.cloudfront.net/image/725136000567/image_52h7lr43t976j49t397ne8g61v/-FJPG/108563-016_DET_3.JPG</t>
  </si>
  <si>
    <t>https://dd3ka9h4chfr8.cloudfront.net/image/725136000567/image_bgtc96a8e908t8nllp9tqm8o04/-FJPG/108563-016_DET_4.JPG</t>
  </si>
  <si>
    <t>https://dd3ka9h4chfr8.cloudfront.net/image/725136000567/image_5a81fbibmt1b344g2jnmtchp6u/-FJPG/108563-016_DET_5.JPG</t>
  </si>
  <si>
    <t>108603-004</t>
  </si>
  <si>
    <t>Trey 7 Drawer Dresser - Auburn Poplar</t>
  </si>
  <si>
    <t>Inspired by clean mid-century design, a stylish dresser of auburn poplar offers plenty of bedroom storage space thanks to seven spacious drawers. Metal-secured leather pulls add a textural element of surprise.</t>
  </si>
  <si>
    <t>https://dd3ka9h4chfr8.cloudfront.net/image/725136000567/image_v2a1ti0aup7l9027ofddtsht0v/-S150x150-FJPG/108603-001_PRM_1.jpg</t>
  </si>
  <si>
    <t>https://dd3ka9h4chfr8.cloudfront.net/image/725136000567/image_2u8vsv2eb53rn5vjlgaioub66i/-FJPG/108603-001_FRT_1.jpg</t>
  </si>
  <si>
    <t>https://dd3ka9h4chfr8.cloudfront.net/image/725136000567/image_v2a1ti0aup7l9027ofddtsht0v/-FJPG/108603-001_PRM_1.jpg</t>
  </si>
  <si>
    <t>https://dd3ka9h4chfr8.cloudfront.net/image/725136000567/image_tb5ppoflg10ql7s8fo9qo9l62k/-FJPG/108603-001_SID_1.jpg</t>
  </si>
  <si>
    <t>https://dd3ka9h4chfr8.cloudfront.net/image/725136000567/image_a6hotm9v811e984a5ma9sv5s1p/-FJPG/108603-001_DET_2.jpg</t>
  </si>
  <si>
    <t>https://dd3ka9h4chfr8.cloudfront.net/image/725136000567/image_obp2ogkv450k50jufmldibtd2o/-FJPG/108603-001_BCK_1.jpg</t>
  </si>
  <si>
    <t>https://dd3ka9h4chfr8.cloudfront.net/image/725136000567/image_8g21s1du7h1oj3a9je2n5gkl69/-FJPG/108603-001_DET_1.jpg</t>
  </si>
  <si>
    <t>https://dd3ka9h4chfr8.cloudfront.net/image/725136000567/image_o50itr7uf15n16li9njfeqj26r/-FJPG/108603-001_DET_3.jpg</t>
  </si>
  <si>
    <t>https://dd3ka9h4chfr8.cloudfront.net/image/725136000567/image_i2v8en7jtl07l4db8rlfdglm4g/-FJPG/108603-001_OPN_1.jpg</t>
  </si>
  <si>
    <t>https://dd3ka9h4chfr8.cloudfront.net/image/725136000567/image_3n2edc6v191qvdeuqb6cvq3d7n/-FJPG/108603-001_DET_4.jpg</t>
  </si>
  <si>
    <t>https://dd3ka9h4chfr8.cloudfront.net/image/725136000567/image_3cni3ke92l03f4sgb4cn3vqe43/-FJPG/108603-001_DET_5.jpg</t>
  </si>
  <si>
    <t>https://dd3ka9h4chfr8.cloudfront.net/image/725136000567/image_dd254q1s9p4o70j0qs3al4al4t/-FJPG/108603-001_VIG_1.jpg</t>
  </si>
  <si>
    <t>https://dd3ka9h4chfr8.cloudfront.net/image/725136000567/image_efdmsrf1vt0bv8n79cr02one6v/-FJPG/108603-001_VIG_2.jpg</t>
  </si>
  <si>
    <t>7.25"</t>
  </si>
  <si>
    <t>108603-005</t>
  </si>
  <si>
    <t>Trey 7 Drawer Dresser - Black Wash Poplar</t>
  </si>
  <si>
    <t>Inspired by clean mid-century design, a stylish dresser of black-washed poplar offers plenty of bedroom storage space thanks to seven spacious drawers. Metal-secured leather pulls add a textural element of surprise.</t>
  </si>
  <si>
    <t>https://dd3ka9h4chfr8.cloudfront.net/image/725136000567/image_stkuf2bmi94rh73h2at6uo5379/-S150x150-FJPG/108603-002_PRM_1.jpg</t>
  </si>
  <si>
    <t>https://dd3ka9h4chfr8.cloudfront.net/image/725136000567/image_iem183hl7d6ej7c7qdb98t9d36/-FJPG/108603-002_FRT_1.jpg</t>
  </si>
  <si>
    <t>https://dd3ka9h4chfr8.cloudfront.net/image/725136000567/image_stkuf2bmi94rh73h2at6uo5379/-FJPG/108603-002_PRM_1.jpg</t>
  </si>
  <si>
    <t>https://dd3ka9h4chfr8.cloudfront.net/image/725136000567/image_dp0pkmkth92cvbh575117fh16i/-FJPG/108603-002_SID_1.jpg</t>
  </si>
  <si>
    <t>https://dd3ka9h4chfr8.cloudfront.net/image/725136000567/image_co3cg7chth70dblmb06pmn021o/-FJPG/108603-002_DET_2.jpg</t>
  </si>
  <si>
    <t>https://dd3ka9h4chfr8.cloudfront.net/image/725136000567/image_9es8cqvnhp7kr5qj69spe5n036/-FJPG/108603-002_BCK_1.jpg</t>
  </si>
  <si>
    <t>https://dd3ka9h4chfr8.cloudfront.net/image/725136000567/image_i67pd2f4np6u3c4pqoqnije16b/-FJPG/108603-002_DET_1.jpg</t>
  </si>
  <si>
    <t>https://dd3ka9h4chfr8.cloudfront.net/image/725136000567/image_n5nu1sihnh67798u0v503ejb50/-FJPG/108603-002_DET_3.jpg</t>
  </si>
  <si>
    <t>https://dd3ka9h4chfr8.cloudfront.net/image/725136000567/image_4caj31217h13jburaknd8ib96t/-FJPG/108603-002_OPN_1.jpg</t>
  </si>
  <si>
    <t>https://dd3ka9h4chfr8.cloudfront.net/image/725136000567/image_p8mu7qub4d7tt7ecjtkp4f7q2p/-FJPG/108603-002_DET_4.jpg</t>
  </si>
  <si>
    <t>https://dd3ka9h4chfr8.cloudfront.net/image/725136000567/image_0eq2j4ub810nr9qtn4dp3oca7m/-FJPG/108603-002_DET_5.jpg</t>
  </si>
  <si>
    <t>https://dd3ka9h4chfr8.cloudfront.net/image/725136000567/image_j0e9f33d095btd6ub6kimuf75s/-FJPG/108603-002_DET_6.jpg</t>
  </si>
  <si>
    <t>108603-006</t>
  </si>
  <si>
    <t>Trey 7 Drawer Dresser - Dove Poplar</t>
  </si>
  <si>
    <t>Inspired by clean mid-century design, a stylish dresser of light-washed poplar offers plenty of storage space thanks to seven spacious drawers. Metal-secured leather pulls add a textural element of surprise.</t>
  </si>
  <si>
    <t>https://dd3ka9h4chfr8.cloudfront.net/image/725136000567/image_jpk3jfve5568v9f3bfhhnjbe0n/-S150x150-FJPG/108603-003_PRM_1.jpg</t>
  </si>
  <si>
    <t>https://dd3ka9h4chfr8.cloudfront.net/image/725136000567/image_i5a6ut4q19519fq97cohu0ra21/-FJPG/108603-003_FRT_1.jpg</t>
  </si>
  <si>
    <t>https://dd3ka9h4chfr8.cloudfront.net/image/725136000567/image_jpk3jfve5568v9f3bfhhnjbe0n/-FJPG/108603-003_PRM_1.jpg</t>
  </si>
  <si>
    <t>https://dd3ka9h4chfr8.cloudfront.net/image/725136000567/image_dndpsl1lal15dfmfa7gade032b/-FJPG/108603-003_SID_1.jpg</t>
  </si>
  <si>
    <t>https://dd3ka9h4chfr8.cloudfront.net/image/725136000567/image_igm3r4cmdt4r7dq0e9rn6rdg2h/-FJPG/108603-003_DET_2.jpg</t>
  </si>
  <si>
    <t>https://dd3ka9h4chfr8.cloudfront.net/image/725136000567/image_9c1t198cl94s7ar1s6bv46hl45/-FJPG/108603-003_BCK_1.jpg</t>
  </si>
  <si>
    <t>https://dd3ka9h4chfr8.cloudfront.net/image/725136000567/image_h35k4thdjp5qv6c63m09r6rm2q/-FJPG/108603-003_DET_1.jpg</t>
  </si>
  <si>
    <t>https://dd3ka9h4chfr8.cloudfront.net/image/725136000567/image_i0nfjeick50b7b9e9kf2s9bo55/-FJPG/108603-003_DET_3.jpg</t>
  </si>
  <si>
    <t>https://dd3ka9h4chfr8.cloudfront.net/image/725136000567/image_2o0v53h2lp3sp5qt7u3nvgv879/-FJPG/108603-003_OPN_1.jpg</t>
  </si>
  <si>
    <t>https://dd3ka9h4chfr8.cloudfront.net/image/725136000567/image_2hqsb5g5pt5ob1p5nnjp68rj7i/-FJPG/108603-003_DET_4.jpg</t>
  </si>
  <si>
    <t>https://dd3ka9h4chfr8.cloudfront.net/image/725136000567/image_lqgue9nftd4m54493tomskvc7t/-FJPG/108603-003_DET_5.jpg</t>
  </si>
  <si>
    <t>https://dd3ka9h4chfr8.cloudfront.net/image/725136000567/image_747g36omq94473ci5kl7hv244u/-FJPG/108603-003_DET_6.jpg</t>
  </si>
  <si>
    <t>https://dd3ka9h4chfr8.cloudfront.net/image/725136000567/image_jeh8ud1m7521jda9nrpn8gqr4l/-FJPG/108603-003_DET_7.jpg</t>
  </si>
  <si>
    <t>108604-004</t>
  </si>
  <si>
    <t>Trey 5 Drawer Dresser - Auburn Poplar</t>
  </si>
  <si>
    <t>Inspired by clean mid-century design, a stylish dresser of auburn poplar offers plenty of bedroom storage space thanks to five spacious drawers. Metal-secured leather pulls add a textural element of surprise.</t>
  </si>
  <si>
    <t>https://dd3ka9h4chfr8.cloudfront.net/image/725136000567/image_koq4t7lplp06f9g8q51spld23o/-S150x150-FJPG/108604-001_PRM_1.jpg</t>
  </si>
  <si>
    <t>https://dd3ka9h4chfr8.cloudfront.net/image/725136000567/image_326m74rr5p2mn4ba2h95qinb16/-FJPG/108604-001_FRT_1.jpg</t>
  </si>
  <si>
    <t>https://dd3ka9h4chfr8.cloudfront.net/image/725136000567/image_koq4t7lplp06f9g8q51spld23o/-FJPG/108604-001_PRM_1.jpg</t>
  </si>
  <si>
    <t>https://dd3ka9h4chfr8.cloudfront.net/image/725136000567/image_52637pkop10mdc0aeasbjg236r/-FJPG/108604-001_DET_2.jpg</t>
  </si>
  <si>
    <t>https://dd3ka9h4chfr8.cloudfront.net/image/725136000567/image_d2iill6gn15bpag0153avhha0p/-FJPG/108604-001_BCK_1.jpg</t>
  </si>
  <si>
    <t>https://dd3ka9h4chfr8.cloudfront.net/image/725136000567/image_umhmesscbd5m9dijgo6tl3ej06/-FJPG/108604-001_DET_1.jpg</t>
  </si>
  <si>
    <t>https://dd3ka9h4chfr8.cloudfront.net/image/725136000567/image_lcm6msr9p162v313iajm363c1s/-FJPG/108604-001_DET_3.jpg</t>
  </si>
  <si>
    <t>https://dd3ka9h4chfr8.cloudfront.net/image/725136000567/image_fhvcau7kpd2enbrs746en4ga12/-FJPG/108604-001_OPN_1.jpg</t>
  </si>
  <si>
    <t>https://dd3ka9h4chfr8.cloudfront.net/image/725136000567/image_bbkfnn93lp3jjdmvhrepr1g30u/-FJPG/108604-001_DET_4.jpg</t>
  </si>
  <si>
    <t>https://dd3ka9h4chfr8.cloudfront.net/image/725136000567/image_584sup95hl4lb3clmiuim9j776/-FJPG/108604-001_DET_5.jpg</t>
  </si>
  <si>
    <t>https://dd3ka9h4chfr8.cloudfront.net/image/725136000567/image_dbnlqk6gpl4d95jdl5fk2h7b2h/-FJPG/108604-001_VIG_1.jpg</t>
  </si>
  <si>
    <t>4.37"</t>
  </si>
  <si>
    <t>108604-005</t>
  </si>
  <si>
    <t>Trey 5 Drawer Dresser - Black Wash Poplar</t>
  </si>
  <si>
    <t>Inspired by clean mid-century design, a stylish dresser of black-washed poplar offers plenty of bedroom storage space thanks to five spacious drawers. Metal-secured leather pulls add a textural element of surprise.</t>
  </si>
  <si>
    <t>https://dd3ka9h4chfr8.cloudfront.net/image/725136000567/image_8shh5d8bi102321cij55q02e65/-S150x150-FJPG/108604-002_PRM_1.jpg</t>
  </si>
  <si>
    <t>https://dd3ka9h4chfr8.cloudfront.net/image/725136000567/image_t0b8pg1pvt0175v35sqm3f211s/-FJPG/108604-002_FRT_1.jpg</t>
  </si>
  <si>
    <t>https://dd3ka9h4chfr8.cloudfront.net/image/725136000567/image_8shh5d8bi102321cij55q02e65/-FJPG/108604-002_PRM_1.jpg</t>
  </si>
  <si>
    <t>https://dd3ka9h4chfr8.cloudfront.net/image/725136000567/image_mue35975e915v37rs286hh8b3l/-FJPG/108604-002_SID_1.jpg</t>
  </si>
  <si>
    <t>https://dd3ka9h4chfr8.cloudfront.net/image/725136000567/image_pqgffbr6hp63ded8l9q5v86s6r/-FJPG/108604-002_DET_2.jpg</t>
  </si>
  <si>
    <t>https://dd3ka9h4chfr8.cloudfront.net/image/725136000567/image_d7s7766tbh1oha483r02g44l53/-FJPG/108604-002_BCK_1.jpg</t>
  </si>
  <si>
    <t>https://dd3ka9h4chfr8.cloudfront.net/image/725136000567/image_0otb4ofnbl7qhe09a5rkt8lq52/-FJPG/108604-002_DET_1.jpg</t>
  </si>
  <si>
    <t>https://dd3ka9h4chfr8.cloudfront.net/image/725136000567/image_311s1u1re56a9b6v7vsu7m8v52/-FJPG/108604-002_DET_3.jpg</t>
  </si>
  <si>
    <t>https://dd3ka9h4chfr8.cloudfront.net/image/725136000567/image_r7mcj1r02565l90109ot32ct6q/-FJPG/108604-002_OPN_1.jpg</t>
  </si>
  <si>
    <t>https://dd3ka9h4chfr8.cloudfront.net/image/725136000567/image_avqf8kp8jl39pbk181gom5aj7u/-FJPG/108604-002_DET_4.jpg</t>
  </si>
  <si>
    <t>https://dd3ka9h4chfr8.cloudfront.net/image/725136000567/image_2j6quf5m2d2hf15iob8am10g38/-FJPG/108604-002_DET_5.jpg</t>
  </si>
  <si>
    <t>https://dd3ka9h4chfr8.cloudfront.net/image/725136000567/image_o472kra50h3bj5btfsq8iod53d/-FJPG/108604-002_DET_6.jpg</t>
  </si>
  <si>
    <t>https://dd3ka9h4chfr8.cloudfront.net/image/725136000567/image_6eq1i1gi2p74n10drls5guas7g/-FJPG/108604-002_DET_7.jpg</t>
  </si>
  <si>
    <t>108604-006</t>
  </si>
  <si>
    <t>Trey 5 Drawer Dresser - Dove Poplar</t>
  </si>
  <si>
    <t>Inspired by clean mid-century design, a stylish dresser of light-washed poplar offers plenty of bedroom storage space thanks to five spacious drawers. Metal-secured leather pulls add a textural element of surprise.</t>
  </si>
  <si>
    <t>https://dd3ka9h4chfr8.cloudfront.net/image/725136000567/image_72kmhk4j812tvb04c4lrm81r6m/-S150x150-FJPG/108604-003_PRM_1.jpg</t>
  </si>
  <si>
    <t>https://dd3ka9h4chfr8.cloudfront.net/image/725136000567/image_eopubalifp7lb2chkkdoj28d4n/-FJPG/108604-003_FRT_1.jpg</t>
  </si>
  <si>
    <t>https://dd3ka9h4chfr8.cloudfront.net/image/725136000567/image_72kmhk4j812tvb04c4lrm81r6m/-FJPG/108604-003_PRM_1.jpg</t>
  </si>
  <si>
    <t>https://dd3ka9h4chfr8.cloudfront.net/image/725136000567/image_9pivarocod1l72stdf31kc6i5u/-FJPG/108604-003_SID_1.jpg</t>
  </si>
  <si>
    <t>https://dd3ka9h4chfr8.cloudfront.net/image/725136000567/image_9ers8jtbn11535qqqcs62mu97j/-FJPG/108604-003_DET_2.jpg</t>
  </si>
  <si>
    <t>https://dd3ka9h4chfr8.cloudfront.net/image/725136000567/image_nra70b8k2h0qf2vmdbne7mbe55/-FJPG/108604-003_BCK_1.jpg</t>
  </si>
  <si>
    <t>https://dd3ka9h4chfr8.cloudfront.net/image/725136000567/image_va8op1rvuh7cl5snveq5eu5910/-FJPG/108604-003_DET_1.jpg</t>
  </si>
  <si>
    <t>https://dd3ka9h4chfr8.cloudfront.net/image/725136000567/image_rsevtvhafl24t5kmdmq6fk1c6u/-FJPG/108604-003_DET_3.jpg</t>
  </si>
  <si>
    <t>https://dd3ka9h4chfr8.cloudfront.net/image/725136000567/image_09l1u9ibnh38v4r591tbk7ri7o/-FJPG/108604-003_OPN_1.jpg</t>
  </si>
  <si>
    <t>https://dd3ka9h4chfr8.cloudfront.net/image/725136000567/image_651ifa9vk571f2h7ma1fvkk14l/-FJPG/108604-003_DET_4.jpg</t>
  </si>
  <si>
    <t>https://dd3ka9h4chfr8.cloudfront.net/image/725136000567/image_nha3apa2rd4gj52a2v5oeb9u0q/-FJPG/108604-003_DET_5.jpg</t>
  </si>
  <si>
    <t>https://dd3ka9h4chfr8.cloudfront.net/image/725136000567/image_1dgr007m4l0dj05s9ugh1jbt02/-FJPG/108604-003_DET_6.jpg</t>
  </si>
  <si>
    <t>https://dd3ka9h4chfr8.cloudfront.net/image/725136000567/image_2jql8eei916frbpumb0kelkm7c/-FJPG/108604-003_DET_7.jpg</t>
  </si>
  <si>
    <t>108672-004</t>
  </si>
  <si>
    <t>Rosedale Media Console - Chaps Sand</t>
  </si>
  <si>
    <t>https://dd3ka9h4chfr8.cloudfront.net/image/725136000567/image_rs1df5c1750tj9kom38g2dqd65/-S150x150-FJPG/108672-004_PRM_1.jpg</t>
  </si>
  <si>
    <t>https://dd3ka9h4chfr8.cloudfront.net/image/725136000567/image_5b0su3bgc92pd2jupc0c1gt25s/-FJPG/108672-004_FRT_1.jpg</t>
  </si>
  <si>
    <t>https://dd3ka9h4chfr8.cloudfront.net/image/725136000567/image_rs1df5c1750tj9kom38g2dqd65/-FJPG/108672-004_PRM_1.jpg</t>
  </si>
  <si>
    <t>https://dd3ka9h4chfr8.cloudfront.net/image/725136000567/image_v5b935v2q11ud17ceem3vrgf12/-FJPG/108672-004_SID_1.jpg</t>
  </si>
  <si>
    <t>https://dd3ka9h4chfr8.cloudfront.net/image/725136000567/image_pvhv1gi1e96l1d8umnkodumn4l/-FJPG/108672-004_ESS.tif</t>
  </si>
  <si>
    <t>https://dd3ka9h4chfr8.cloudfront.net/image/725136000567/image_pa3phgga012drf4sokfljfss1s/-FJPG/108672-004_DET_2.jpg</t>
  </si>
  <si>
    <t>https://dd3ka9h4chfr8.cloudfront.net/image/725136000567/image_4nvotf27p55ql694qabfrtec0b/-FJPG/108672-004_BCK_1.jpg</t>
  </si>
  <si>
    <t>https://dd3ka9h4chfr8.cloudfront.net/image/725136000567/image_mu5th261050gn58352qp7if062/-FJPG/108672-004_DET_1.jpg</t>
  </si>
  <si>
    <t>https://dd3ka9h4chfr8.cloudfront.net/image/725136000567/image_prsi51udr97m59sbf1ah04hd47/-FJPG/108672-004_DET_3.jpg</t>
  </si>
  <si>
    <t>https://dd3ka9h4chfr8.cloudfront.net/image/725136000567/image_fg97uvle6d6ivf7gtt4123123g/-FJPG/108672-004_OPN_1.jpg</t>
  </si>
  <si>
    <t>https://dd3ka9h4chfr8.cloudfront.net/image/725136000567/image_1kmqlhu36h4cpbc4fud6aukm77/-FJPG/108672-004_DET_4.jpg</t>
  </si>
  <si>
    <t>https://dd3ka9h4chfr8.cloudfront.net/image/725136000567/image_jcme616p0d5endu4a7jtu1im00/-FJPG/108672-004_DET_5.jpg</t>
  </si>
  <si>
    <t>https://dd3ka9h4chfr8.cloudfront.net/image/725136000567/image_nbirmh2tsd2tn0mb5bh713u91e/-FJPG/108672-004_DET_6.jpg</t>
  </si>
  <si>
    <t>18.35"</t>
  </si>
  <si>
    <t>32.76"</t>
  </si>
  <si>
    <t>6.32"</t>
  </si>
  <si>
    <t>20.65"</t>
  </si>
  <si>
    <t>16.99"</t>
  </si>
  <si>
    <t>0.71"</t>
  </si>
  <si>
    <t>3.46"</t>
  </si>
  <si>
    <t>4.45"</t>
  </si>
  <si>
    <t>21.02"</t>
  </si>
  <si>
    <t>108708-002</t>
  </si>
  <si>
    <t>Rosedale 6 Drawer Tall Dresser - Yucca Oak Veneer</t>
  </si>
  <si>
    <t>Light-finished oak forms a clean silhouette for six spacious drawers with iron hardware wrapped in tan top-grain leather. This item has been modified to comply with the STURDY Act. See a full list of modified products and data changes in the â€œSTURDY Actâ€ file in the Downloads section below.</t>
  </si>
  <si>
    <t>https://dd3ka9h4chfr8.cloudfront.net/image/725136000567/image_5vvrm76g6p3tdcttuoc1d4ge7l/-S150x150-FJPG/108708-002_PRM_1.jpg</t>
  </si>
  <si>
    <t>https://dd3ka9h4chfr8.cloudfront.net/image/725136000567/image_737jsfvdht145eqqmagieaj91e/-FJPG/108708-002_FRT_1.jpg</t>
  </si>
  <si>
    <t>https://dd3ka9h4chfr8.cloudfront.net/image/725136000567/image_5vvrm76g6p3tdcttuoc1d4ge7l/-FJPG/108708-002_PRM_1.jpg</t>
  </si>
  <si>
    <t>https://dd3ka9h4chfr8.cloudfront.net/image/725136000567/image_67v8r56ks94mh32oa126v49d7k/-FJPG/108708-002_SID_1.jpg</t>
  </si>
  <si>
    <t>https://dd3ka9h4chfr8.cloudfront.net/image/725136000567/image_br7245ipjh1hp4qvbp60tdl56d/-FJPG/108708-002_ESS_1.jpg</t>
  </si>
  <si>
    <t>https://dd3ka9h4chfr8.cloudfront.net/image/725136000567/image_c1brn2mkj579v4klqvfrich83c/-FJPG/108708-002_DET_2.jpg</t>
  </si>
  <si>
    <t>https://dd3ka9h4chfr8.cloudfront.net/image/725136000567/image_q1k5bdsqmp3f1fkqingetllb4k/-FJPG/108708-002_BCK_1.jpg</t>
  </si>
  <si>
    <t>https://dd3ka9h4chfr8.cloudfront.net/image/725136000567/image_1pi28k9sc56pl4o7in0ocjet24/-FJPG/108708-002_DET_1.jpg</t>
  </si>
  <si>
    <t>https://dd3ka9h4chfr8.cloudfront.net/image/725136000567/image_ef73hnfedt2mhe18nhm7n5d846/-FJPG/108708-002_DET_3.jpg</t>
  </si>
  <si>
    <t>https://dd3ka9h4chfr8.cloudfront.net/image/725136000567/image_ni5c41bv6h0v3a942a7hir3i2o/-FJPG/108708-002_OPN_1.jpg</t>
  </si>
  <si>
    <t>https://dd3ka9h4chfr8.cloudfront.net/image/725136000567/image_1cke1f2oep0575ubbfeidfdn31/-FJPG/108708-002_DET_4.jpg</t>
  </si>
  <si>
    <t>https://dd3ka9h4chfr8.cloudfront.net/image/725136000567/image_9f2a3mvnt93qhcder5eqin8k04/-FJPG/108708-002_DET_5.jpg</t>
  </si>
  <si>
    <t>https://dd3ka9h4chfr8.cloudfront.net/image/725136000567/image_7hmtuuf1s930j37753g7d56r1a/-FJPG/108708-002_DET_6.jpg</t>
  </si>
  <si>
    <t>https://dd3ka9h4chfr8.cloudfront.net/image/725136000567/image_go3rmav7th5e1atiqv59t77m3m/-FJPG/108708-002_DET_7.jpg</t>
  </si>
  <si>
    <t>30.67"</t>
  </si>
  <si>
    <t>108708-003</t>
  </si>
  <si>
    <t>Rosedale 6 Drawer Tall Dresser - Ebony Oak Veneer</t>
  </si>
  <si>
    <t>Ebony-finished oak forms a clean silhouette for six spacious drawers with iron hardware wrapped in tan top-grain leather. This item has been modified to comply with the STURDY Act. See a full list of modified products and data changes in the â€œSTURDY Actâ€ file in the Downloads section below.</t>
  </si>
  <si>
    <t>https://dd3ka9h4chfr8.cloudfront.net/image/725136000567/image_jmpofu03892idervu22fhdn426/-S150x150-FJPG/108708-003_PRM_1.jpg</t>
  </si>
  <si>
    <t>https://dd3ka9h4chfr8.cloudfront.net/image/725136000567/image_odj2ufouat40n81fqqgja8t95f/-FJPG/108708-003_FRT_1.jpg</t>
  </si>
  <si>
    <t>https://dd3ka9h4chfr8.cloudfront.net/image/725136000567/image_jmpofu03892idervu22fhdn426/-FJPG/108708-003_PRM_1.jpg</t>
  </si>
  <si>
    <t>https://dd3ka9h4chfr8.cloudfront.net/image/725136000567/image_0bn2du0dgp3h9d3cs8a5eni57c/-FJPG/108708-003_SID_1.jpg</t>
  </si>
  <si>
    <t>https://dd3ka9h4chfr8.cloudfront.net/image/725136000567/image_u4g6vf0p015835c1luqgpoap6c/-FJPG/108708-003_ESS_1.jpg</t>
  </si>
  <si>
    <t>https://dd3ka9h4chfr8.cloudfront.net/image/725136000567/image_upjfha1l394s13dvmebsa6b740/-FJPG/108708-003_DET_2.jpg</t>
  </si>
  <si>
    <t>https://dd3ka9h4chfr8.cloudfront.net/image/725136000567/image_6oavi3q26h4lhac3ku2vvu6579/-FJPG/108708-003_BCK_1.jpg</t>
  </si>
  <si>
    <t>https://dd3ka9h4chfr8.cloudfront.net/image/725136000567/image_k2snpi047p7ql8lt09lot1rg7f/-FJPG/108708-003_DET_1.jpg</t>
  </si>
  <si>
    <t>https://dd3ka9h4chfr8.cloudfront.net/image/725136000567/image_pf7d76brmh35n78e4ija2hpq2m/-FJPG/108708-003_OPN_1.jpg</t>
  </si>
  <si>
    <t>https://dd3ka9h4chfr8.cloudfront.net/image/725136000567/image_t81iroskqd2phcaqfuqgecgv2j/-FJPG/108708-003_DET_4.jpg</t>
  </si>
  <si>
    <t>https://dd3ka9h4chfr8.cloudfront.net/image/725136000567/image_gmmli48j113c141pt57lo47o3u/-FJPG/108708-003_DET_5.jpg</t>
  </si>
  <si>
    <t>https://dd3ka9h4chfr8.cloudfront.net/image/725136000567/image_1vi88i9j8924h76es20lqdkp08/-FJPG/108708-003_DET_8.jpg</t>
  </si>
  <si>
    <t>108728-003</t>
  </si>
  <si>
    <t>Etta Chair - Winchester Beige</t>
  </si>
  <si>
    <t>Winchester Beige</t>
  </si>
  <si>
    <t>Yucca Parawood</t>
  </si>
  <si>
    <t>Deco-driven elegance. A fresh take on the traditional cigar chair, impeccably tailored tan top-grain leather forms a curvy U shape, with solid parawood detailing adding interest to gunmetal-finished iron framing.</t>
  </si>
  <si>
    <t>https://dd3ka9h4chfr8.cloudfront.net/image/725136000567/image_afgqhtar3523h2lgpv8cjmcd4p/-S150x150-FJPG/108728-003_PRM_1.jpg</t>
  </si>
  <si>
    <t>https://dd3ka9h4chfr8.cloudfront.net/image/725136000567/image_iee5jdl0o13b96fpkhps9sh33q/-FJPG/108728-003_FRT_1.jpg</t>
  </si>
  <si>
    <t>https://dd3ka9h4chfr8.cloudfront.net/image/725136000567/image_afgqhtar3523h2lgpv8cjmcd4p/-FJPG/108728-003_PRM_1.jpg</t>
  </si>
  <si>
    <t>https://dd3ka9h4chfr8.cloudfront.net/image/725136000567/image_upoiv3gdj93k942a2qjndj6h17/-FJPG/108728-003_SID_1.jpg</t>
  </si>
  <si>
    <t>https://dd3ka9h4chfr8.cloudfront.net/image/725136000567/image_mtni35jgtp50n55aduqn8oit10/-FJPG/108728-003_ESS_1.jpg</t>
  </si>
  <si>
    <t>https://dd3ka9h4chfr8.cloudfront.net/image/725136000567/image_6c785potdt20p0320o1t6g3q2v/-FJPG/108728-003_DET_2.jpg</t>
  </si>
  <si>
    <t>https://dd3ka9h4chfr8.cloudfront.net/image/725136000567/image_sneeka8gol1gd52masgrvho60p/-FJPG/108728-003_BCK_1.jpg</t>
  </si>
  <si>
    <t>https://dd3ka9h4chfr8.cloudfront.net/image/725136000567/image_hn19fbcad55vj9iuu9or8guu0h/-FJPG/108728-003_DET_1.jpg</t>
  </si>
  <si>
    <t>https://dd3ka9h4chfr8.cloudfront.net/image/725136000567/image_v1n3ma4la92v9bkv6rb51coj46/-FJPG/108728-003_DET_3.jpg</t>
  </si>
  <si>
    <t>https://dd3ka9h4chfr8.cloudfront.net/image/725136000567/image_v5brm540kd6gt6u500fm159l65/-FJPG/108728-003_DET_4.jpg</t>
  </si>
  <si>
    <t>https://dd3ka9h4chfr8.cloudfront.net/image/725136000567/image_8e9mg17r5151pd7bota1qj300v/-FJPG/108728-003_DET_5.jpg</t>
  </si>
  <si>
    <t>https://dd3ka9h4chfr8.cloudfront.net/image/725136000567/image_rvoubknghp3255lutcuhcfvk5t/-FJPG/108728-003_DET_6.jpg</t>
  </si>
  <si>
    <t>https://dd3ka9h4chfr8.cloudfront.net/image/725136000567/image_b94jvnagit1hl3b82tk1e32r7l/-FJPG/108728-003_DET_7.jpg</t>
  </si>
  <si>
    <t>Onechair</t>
  </si>
  <si>
    <t>22.56"</t>
  </si>
  <si>
    <t>19.09"</t>
  </si>
  <si>
    <t>Etta</t>
  </si>
  <si>
    <t>9.06"</t>
  </si>
  <si>
    <t>31.89"</t>
  </si>
  <si>
    <t>14.96"</t>
  </si>
  <si>
    <t>108728-010</t>
  </si>
  <si>
    <t>Etta Chair - Heirloom Black</t>
  </si>
  <si>
    <t>Deco-driven elegance. An "updated" take on the traditional cigar chair, impeccably tailored top-grain leather forms a curvy U shape, with solid parawood detailing and a gunmetal-finished iron frame.</t>
  </si>
  <si>
    <t>https://dd3ka9h4chfr8.cloudfront.net/image/725136000567/image_pu4hkfo6v97755uebopb9kq85l/-S150x150-FJPG/108728-010_PRM_1.jpg</t>
  </si>
  <si>
    <t>https://dd3ka9h4chfr8.cloudfront.net/image/725136000567/image_98mhakeei54md37icgu8am2027/-FJPG/108728-010_FRT_1.jpg</t>
  </si>
  <si>
    <t>https://dd3ka9h4chfr8.cloudfront.net/image/725136000567/image_pu4hkfo6v97755uebopb9kq85l/-FJPG/108728-010_PRM_1.jpg</t>
  </si>
  <si>
    <t>https://dd3ka9h4chfr8.cloudfront.net/image/725136000567/image_janne1s53d3cn8t4kef82pq62l/-FJPG/108728-010_SID_1.jpg</t>
  </si>
  <si>
    <t>https://dd3ka9h4chfr8.cloudfront.net/image/725136000567/image_jpk348du9l0kv454452rm76a03/-FJPG/108728-010_ESS_1.jpg</t>
  </si>
  <si>
    <t>https://dd3ka9h4chfr8.cloudfront.net/image/725136000567/image_61bb6i6jud64j3f1q2j9a90j6s/-FJPG/108728-010_DET_2.jpg</t>
  </si>
  <si>
    <t>https://dd3ka9h4chfr8.cloudfront.net/image/725136000567/image_t50smpdu9l6b93q49ihugvmo5m/-FJPG/108728-010_BCK_1.jpg</t>
  </si>
  <si>
    <t>https://dd3ka9h4chfr8.cloudfront.net/image/725136000567/image_j7tkaj9tlh3ihcfn9gqcchml03/-FJPG/108728-010_DET_1.jpg</t>
  </si>
  <si>
    <t>https://dd3ka9h4chfr8.cloudfront.net/image/725136000567/image_23rakl68sh75ta3uhvaoqho319/-FJPG/108728-010_DET_3.jpg</t>
  </si>
  <si>
    <t>https://dd3ka9h4chfr8.cloudfront.net/image/725136000567/image_ucfjguqicd0g70u0canl19663r/-FJPG/108728-010_TOP_1.jpg</t>
  </si>
  <si>
    <t>https://dd3ka9h4chfr8.cloudfront.net/image/725136000567/image_j4vdi3dsa90vl9ggnc45jfgc30/-FJPG/108728-010_DET_4.jpg</t>
  </si>
  <si>
    <t>https://dd3ka9h4chfr8.cloudfront.net/image/725136000567/image_p2njvr4jdl3jlffar96vmnue25/-FJPG/108728-010_DET_5.jpg</t>
  </si>
  <si>
    <t>https://dd3ka9h4chfr8.cloudfront.net/image/725136000567/image_1j2mbh8f3h0hf0mq5oibljq759/-FJPG/108728-010_DET_6.jpg</t>
  </si>
  <si>
    <t>https://dd3ka9h4chfr8.cloudfront.net/image/725136000567/image_dgo8qufd215j12o50qiptm2760/-FJPG/108728-010_DET_7.jpg</t>
  </si>
  <si>
    <t>https://dd3ka9h4chfr8.cloudfront.net/image/725136000567/image_r47dso6mm90qr9t9bd2dr76g3i/-FJPG/108728-010_DET_8.jpg</t>
  </si>
  <si>
    <t>108738-002</t>
  </si>
  <si>
    <t>Kaya Swivel Chair - Haven Tobacco</t>
  </si>
  <si>
    <t>Haven Tobacco</t>
  </si>
  <si>
    <t>Angled to perfection, atop a 360-degree swivel. Tobacco-finished top-grain leather meet tapered parawood legs, which have been wire-brushed for retro undertones.</t>
  </si>
  <si>
    <t>https://dd3ka9h4chfr8.cloudfront.net/image/725136000567/image_9mdlg47aah23ra78svjpplhe5q/-S150x150-FJPG/108738-002_PRM_1.jpg</t>
  </si>
  <si>
    <t>https://dd3ka9h4chfr8.cloudfront.net/image/725136000567/image_md745tbkt50udcps5957ljo42m/-FJPG/108738-002_FRT_1.jpg</t>
  </si>
  <si>
    <t>https://dd3ka9h4chfr8.cloudfront.net/image/725136000567/image_9mdlg47aah23ra78svjpplhe5q/-FJPG/108738-002_PRM_1.jpg</t>
  </si>
  <si>
    <t>https://dd3ka9h4chfr8.cloudfront.net/image/725136000567/image_odel2jldkh0e9f85p2itpcur0h/-FJPG/108738-002_SID_1.jpg</t>
  </si>
  <si>
    <t>https://dd3ka9h4chfr8.cloudfront.net/image/725136000567/image_aule0fjojl10bdnigotcp28n4o/-FJPG/108738-002_ESS.tif</t>
  </si>
  <si>
    <t>https://dd3ka9h4chfr8.cloudfront.net/image/725136000567/image_7298406gdl2fjfvconff9r2e79/-FJPG/108738-002_DET_2.jpg</t>
  </si>
  <si>
    <t>https://dd3ka9h4chfr8.cloudfront.net/image/725136000567/image_f8f8dglhet41f9mqtckg76025l/-FJPG/108738-002_BCK_1.jpg</t>
  </si>
  <si>
    <t>https://dd3ka9h4chfr8.cloudfront.net/image/725136000567/image_tjt8kam0uh2uv7i2a4382o0i2j/-FJPG/108738-002_DET_1.jpg</t>
  </si>
  <si>
    <t>https://dd3ka9h4chfr8.cloudfront.net/image/725136000567/image_pt2kaaig752ffbksoi43bv007d/-FJPG/108738-002_DET_3.jpg</t>
  </si>
  <si>
    <t>https://dd3ka9h4chfr8.cloudfront.net/image/725136000567/image_29u5ec7l395s1cvnpqimkh590n/-FJPG/108738-002_DET_4.jpg</t>
  </si>
  <si>
    <t>https://dd3ka9h4chfr8.cloudfront.net/image/725136000567/image_8btdrrc8i557r26mdpjo2cso13/-FJPG/108738-002_DET_9.tif</t>
  </si>
  <si>
    <t>https://dd3ka9h4chfr8.cloudfront.net/image/725136000567/image_jk0slp4v1t28lbnjgdhe0to57t/-FJPG/108738-002_ROM_1.jpg</t>
  </si>
  <si>
    <t>https://dd3ka9h4chfr8.cloudfront.net/image/725136000567/image_7ur322vnol1p936h9k3qa40426/-FJPG/108738-002_PRM_2.jpg</t>
  </si>
  <si>
    <t>Kaya</t>
  </si>
  <si>
    <t>108950-010</t>
  </si>
  <si>
    <t>Lyla Chair - Kerbey Ivory</t>
  </si>
  <si>
    <t>Caswell</t>
  </si>
  <si>
    <t>A fresh take on the traditional tub chair, with exaggerated depth for drama and comfort. Solid rubberwood legs intersect ivory upholstery for clean contrast of color and scale.</t>
  </si>
  <si>
    <t>https://dd3ka9h4chfr8.cloudfront.net/image/725136000567/image_30n7rq2ehh4st93s64pratbr7s/-S150x150-FJPG/108950-010_PRM_1.jpg</t>
  </si>
  <si>
    <t>https://dd3ka9h4chfr8.cloudfront.net/image/725136000567/image_q27sgfef1p29n16iad9rj8j32r/-FJPG/108950-010_FRT_1.jpg</t>
  </si>
  <si>
    <t>https://dd3ka9h4chfr8.cloudfront.net/image/725136000567/image_30n7rq2ehh4st93s64pratbr7s/-FJPG/108950-010_PRM_1.jpg</t>
  </si>
  <si>
    <t>https://dd3ka9h4chfr8.cloudfront.net/image/725136000567/image_21nhsj2vi10q1evuma2b7ggq1i/-FJPG/108950-010_SID_1.jpg</t>
  </si>
  <si>
    <t>https://dd3ka9h4chfr8.cloudfront.net/image/725136000567/image_bfm6cm7nd10mf3q0t9fbf9um0h/-FJPG/108950-010_DET_2.jpg</t>
  </si>
  <si>
    <t>https://dd3ka9h4chfr8.cloudfront.net/image/725136000567/image_mts5fn4qeh4id0oapusj1mpr56/-FJPG/108950-010_BCK_1.jpg</t>
  </si>
  <si>
    <t>https://dd3ka9h4chfr8.cloudfront.net/image/725136000567/image_gbrscmk2u9747dt8s6qein9d4o/-FJPG/108950-010_INF_1.jpg</t>
  </si>
  <si>
    <t>https://dd3ka9h4chfr8.cloudfront.net/image/725136000567/image_k2iil5lvvl03jc5a6hicml9j2j/-FJPG/108950-010_DET_1.jpg</t>
  </si>
  <si>
    <t>https://dd3ka9h4chfr8.cloudfront.net/image/725136000567/image_73sp110lgd1olflkkkbcoq0v1a/-FJPG/108950-010_DET_3.jpg</t>
  </si>
  <si>
    <t>https://dd3ka9h4chfr8.cloudfront.net/image/725136000567/image_fr2rm2uh1l7grd2dh1r1be8r57/-FJPG/108950-010_DET_4.jpg</t>
  </si>
  <si>
    <t>https://dd3ka9h4chfr8.cloudfront.net/image/725136000567/image_cjr9hfilct7fn50m79lg68ub76/-FJPG/108950-010_DET_5.jpg</t>
  </si>
  <si>
    <t>https://dd3ka9h4chfr8.cloudfront.net/image/725136000567/image_av93q8je590u74mvq1bugto243/-FJPG/108950-010_DET_6.jpg</t>
  </si>
  <si>
    <t>https://dd3ka9h4chfr8.cloudfront.net/image/725136000567/image_92uetc69dl2al5ke8r3pb22m0l/-FJPG/108950-010_VIG_1.jpg</t>
  </si>
  <si>
    <t>40% Polyurethane Foam, 30% Fiber, 30% Duck Feather</t>
  </si>
  <si>
    <t>Lyla</t>
  </si>
  <si>
    <t>108950-012</t>
  </si>
  <si>
    <t>Lyla Chair - Capri Ebony</t>
  </si>
  <si>
    <t>Capri Ebony</t>
  </si>
  <si>
    <t>A fresh take on the traditional tub chair, with exaggerated depth for drama and comfort. Solid parawood legs intersect a dark grey upholstery for clean contrast of color and scale.</t>
  </si>
  <si>
    <t>https://dd3ka9h4chfr8.cloudfront.net/image/725136000567/image_qjl1cfrksp27jec4esvot70l2m/-S150x150-FJPG/108950-012_PRM_1.jpg</t>
  </si>
  <si>
    <t>https://dd3ka9h4chfr8.cloudfront.net/image/725136000567/image_rjdlkp6ort0h32u4coc6vant12/-FJPG/108950-012_FRT_1.jpg</t>
  </si>
  <si>
    <t>https://dd3ka9h4chfr8.cloudfront.net/image/725136000567/image_qjl1cfrksp27jec4esvot70l2m/-FJPG/108950-012_PRM_1.jpg</t>
  </si>
  <si>
    <t>https://dd3ka9h4chfr8.cloudfront.net/image/725136000567/image_7q3t2ej6hd711c71gi2ur5fl5i/-FJPG/108950-012_SID_1.jpg</t>
  </si>
  <si>
    <t>https://dd3ka9h4chfr8.cloudfront.net/image/725136000567/image_d0d2v34q2d7mf9mmo3f3erml7e/-FJPG/108950-012_ESS.tif</t>
  </si>
  <si>
    <t>https://dd3ka9h4chfr8.cloudfront.net/image/725136000567/image_1iu4ksd3l53oh6q6kend6tgk0q/-FJPG/108950-012_DET_2.jpg</t>
  </si>
  <si>
    <t>https://dd3ka9h4chfr8.cloudfront.net/image/725136000567/image_js1hd03l353jhcpd1f663hu40i/-FJPG/108950-012_BCK_1.jpg</t>
  </si>
  <si>
    <t>https://dd3ka9h4chfr8.cloudfront.net/image/725136000567/image_335p80flrl2upa2f2p2d6tiv6r/-FJPG/108950-012_INF_1.jpg</t>
  </si>
  <si>
    <t>https://dd3ka9h4chfr8.cloudfront.net/image/725136000567/image_verh20ofqt6839peqi0fleo40h/-FJPG/108950-012_DET_1.jpg</t>
  </si>
  <si>
    <t>https://dd3ka9h4chfr8.cloudfront.net/image/725136000567/image_ul53drtk0132be37ob1d6vro2q/-FJPG/108950-012_DET_3.jpg</t>
  </si>
  <si>
    <t>108950-016</t>
  </si>
  <si>
    <t>Lyla Chair - Valencia Camel</t>
  </si>
  <si>
    <t>Valencia Camel</t>
  </si>
  <si>
    <t>Terra Brown Ash</t>
  </si>
  <si>
    <t>This updated take on the traditional tub chair pairs rich, camel-colored top-grain leather with solid ash to shape a sculpted seat with exaggerated depth.</t>
  </si>
  <si>
    <t>https://dd3ka9h4chfr8.cloudfront.net/image/725136000567/image_0dmm2j0mcp3mh4m1n7i446uv2p/-S150x150-FJPG/108950-016_PRM_1.jpg</t>
  </si>
  <si>
    <t>https://dd3ka9h4chfr8.cloudfront.net/image/725136000567/image_63qa3rp7lp7it6po2ohd8j025s/-FJPG/108950-016_FRT_1.jpg</t>
  </si>
  <si>
    <t>https://dd3ka9h4chfr8.cloudfront.net/image/725136000567/image_0dmm2j0mcp3mh4m1n7i446uv2p/-FJPG/108950-016_PRM_1.jpg</t>
  </si>
  <si>
    <t>https://dd3ka9h4chfr8.cloudfront.net/image/725136000567/image_4mjiuad7mh5e5de9vum02jva3b/-FJPG/108950-016_SID_1.jpg</t>
  </si>
  <si>
    <t>https://dd3ka9h4chfr8.cloudfront.net/image/725136000567/image_r4kov5uje124lb6c51ig6k9v56/-FJPG/108950-016_ESS_1.jpg</t>
  </si>
  <si>
    <t>https://dd3ka9h4chfr8.cloudfront.net/image/725136000567/image_dvsk0odcbh0hld1l4k0rdets0h/-FJPG/108950-016_DET_2.jpg</t>
  </si>
  <si>
    <t>https://dd3ka9h4chfr8.cloudfront.net/image/725136000567/image_f2bn09r65d1ur5lf4kus9jp456/-FJPG/108950-016_BCK_1.jpg</t>
  </si>
  <si>
    <t>https://dd3ka9h4chfr8.cloudfront.net/image/725136000567/image_7ik3n5ru8p7hn9otnaaqn7qh0a/-FJPG/108950-016_DET_1.jpg</t>
  </si>
  <si>
    <t>https://dd3ka9h4chfr8.cloudfront.net/image/725136000567/image_1pcp24o5t17812gj62u77l846d/-FJPG/108950-016_DET_3.jpg</t>
  </si>
  <si>
    <t>https://dd3ka9h4chfr8.cloudfront.net/image/725136000567/image_fke1qae5il7nf2rtopo9e7vj2r/-FJPG/108950-016_DET_4.jpg</t>
  </si>
  <si>
    <t>https://dd3ka9h4chfr8.cloudfront.net/image/725136000567/image_jnrdb92ht11qr49ejgu7dmrg6f/-FJPG/108950-016_PRM_2.jpg</t>
  </si>
  <si>
    <t>108950-018</t>
  </si>
  <si>
    <t>Lyla Chair - Sheepskin Camel</t>
  </si>
  <si>
    <t>Sheepskin Camel</t>
  </si>
  <si>
    <t>A fresh take on the traditional tub chair, with exaggerated depth for drama and comfort. Solid wood legs intersect sheepskin upholstery for clean contrast and scale.</t>
  </si>
  <si>
    <t>https://dd3ka9h4chfr8.cloudfront.net/image/725136000567/image_u6vp0hsdhd3qn2fkicj0tmbl3a/-S150x150-FJPG/108950-018_PRM_1.jpg</t>
  </si>
  <si>
    <t>https://dd3ka9h4chfr8.cloudfront.net/image/725136000567/image_ja765osu0p6gf5upuoc47d954s/-FJPG/108950-018_FRT_1.jpg</t>
  </si>
  <si>
    <t>https://dd3ka9h4chfr8.cloudfront.net/image/725136000567/image_u6vp0hsdhd3qn2fkicj0tmbl3a/-FJPG/108950-018_PRM_1.jpg</t>
  </si>
  <si>
    <t>https://dd3ka9h4chfr8.cloudfront.net/image/725136000567/image_ccjecsniod179foq9dalpis64i/-FJPG/108950-018_SID_1.jpg</t>
  </si>
  <si>
    <t>https://dd3ka9h4chfr8.cloudfront.net/image/725136000567/image_5gcn05h84d5ad9u7htfrrge81q/-FJPG/108950-018_ESS_1.jpg</t>
  </si>
  <si>
    <t>https://dd3ka9h4chfr8.cloudfront.net/image/725136000567/image_71okdp4tsl68v9arc4pucpc23e/-FJPG/108950-018_DET_2.jpg</t>
  </si>
  <si>
    <t>https://dd3ka9h4chfr8.cloudfront.net/image/725136000567/image_pqngjuqnat6fj9rtp611l45v2q/-FJPG/108950-018_BCK_1.jpg</t>
  </si>
  <si>
    <t>https://dd3ka9h4chfr8.cloudfront.net/image/725136000567/image_ujjhjglec97i1bico8camfob0m/-FJPG/108950-018_DET_1.jpg</t>
  </si>
  <si>
    <t>https://dd3ka9h4chfr8.cloudfront.net/image/725136000567/image_822isqe6kh7kd6ncokol0kct31/-FJPG/108950-018_DET_3.jpg</t>
  </si>
  <si>
    <t>https://dd3ka9h4chfr8.cloudfront.net/image/725136000567/image_jdmoegibot43f6nj9s5qg0m538/-FJPG/108950-018_DET_4.jpg</t>
  </si>
  <si>
    <t>108950-020</t>
  </si>
  <si>
    <t>Lyla Chair - Heirloom Black</t>
  </si>
  <si>
    <t>This updated take on the traditional tub chair pairs rich black top-grain leather with solid ash to shape a sculpted seat with exaggerated depth. Sourced from one of the oldest family-owned tanneries in Italyâ€™s Bassano del Grappa, heirloom leather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</si>
  <si>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https://dd3ka9h4chfr8.cloudfront.net/image/725136000567/image_fjfbg074p137ffcicft8om5e0e/-S150x150-FJPG/108950-020_PRM_1.jpg</t>
  </si>
  <si>
    <t>https://dd3ka9h4chfr8.cloudfront.net/image/725136000567/image_9438p6ndtp4d9famlmafs3nb19/-FJPG/108950-020_FRT_1.jpg</t>
  </si>
  <si>
    <t>https://dd3ka9h4chfr8.cloudfront.net/image/725136000567/image_fjfbg074p137ffcicft8om5e0e/-FJPG/108950-020_PRM_1.jpg</t>
  </si>
  <si>
    <t>https://dd3ka9h4chfr8.cloudfront.net/image/725136000567/image_bd46glhr893hh85saiiba9356l/-FJPG/108950-020_SID_1.jpg</t>
  </si>
  <si>
    <t>https://dd3ka9h4chfr8.cloudfront.net/image/725136000567/image_142povff4d5918jqh1fqb3a47o/-FJPG/108950-020_ESS.tif</t>
  </si>
  <si>
    <t>https://dd3ka9h4chfr8.cloudfront.net/image/725136000567/image_ldd615njc55nn3ketebgqkg55t/-FJPG/108950-020_DET_2.jpg</t>
  </si>
  <si>
    <t>https://dd3ka9h4chfr8.cloudfront.net/image/725136000567/image_17tqe07oj91931sc5j8eko3r0i/-FJPG/108950-020_BCK_1.jpg</t>
  </si>
  <si>
    <t>https://dd3ka9h4chfr8.cloudfront.net/image/725136000567/image_eec6ubttu17nd4qmqcgtl08l5d/-FJPG/108950-020_DET_1.jpg</t>
  </si>
  <si>
    <t>https://dd3ka9h4chfr8.cloudfront.net/image/725136000567/image_di516hveo10h55q2u3da79k21j/-FJPG/108950-020_DET_3.jpg</t>
  </si>
  <si>
    <t>https://dd3ka9h4chfr8.cloudfront.net/image/725136000567/image_fivomjdo750ejemo3nel0g2k7b/-FJPG/108950-020_DET_4.jpg</t>
  </si>
  <si>
    <t>https://dd3ka9h4chfr8.cloudfront.net/image/725136000567/image_5urf2fk4n91l5anr3f411bgt5b/-FJPG/108950-020_DET_5.jpg</t>
  </si>
  <si>
    <t>https://dd3ka9h4chfr8.cloudfront.net/image/725136000567/image_7qbsgr0mst7j93b1q5rf7npi3l/-FJPG/108950-020_DET_6.jpg</t>
  </si>
  <si>
    <t>108952-002</t>
  </si>
  <si>
    <t>Benito Sofa - Plushtone Linen</t>
  </si>
  <si>
    <t>Distressed Sienna</t>
  </si>
  <si>
    <t>Pump up the volume. Sculptural, statement-making sofa seating meets shapely curves with fine tailoring. Plush chenille-like upholstery emits highs and lows for a refined look and textural feel with eye-catching highs and lows. Rounded edges and roomy seating space, plus pleated back cushions for comfort.</t>
  </si>
  <si>
    <t>https://dd3ka9h4chfr8.cloudfront.net/image/725136000567/image_makoabs6al5mbeiqvqfhf7as16/-S150x150-FJPG/108952-002_PRM_1.jpg</t>
  </si>
  <si>
    <t>https://dd3ka9h4chfr8.cloudfront.net/image/725136000567/image_htmmca9ce97qre9inbe3hen31g/-FJPG/108952-002_FRT_1.jpg</t>
  </si>
  <si>
    <t>https://dd3ka9h4chfr8.cloudfront.net/image/725136000567/image_makoabs6al5mbeiqvqfhf7as16/-FJPG/108952-002_PRM_1.jpg</t>
  </si>
  <si>
    <t>https://dd3ka9h4chfr8.cloudfront.net/image/725136000567/image_6e7cbj31l55of4kkvcuaia5b1b/-FJPG/108952-002_SID_1.jpg</t>
  </si>
  <si>
    <t>https://dd3ka9h4chfr8.cloudfront.net/image/725136000567/image_eo64ddi88h49v9nudfnboto935/-FJPG/108952-002_ESS.tif</t>
  </si>
  <si>
    <t>https://dd3ka9h4chfr8.cloudfront.net/image/725136000567/image_rvp226rs997vv55d04bvppao3m/-FJPG/108952-002_DET_2.jpg</t>
  </si>
  <si>
    <t>https://dd3ka9h4chfr8.cloudfront.net/image/725136000567/image_t1bi82qp6l43j7pkqr2c7d1a23/-FJPG/108952-002_BCK_1.jpg</t>
  </si>
  <si>
    <t>https://dd3ka9h4chfr8.cloudfront.net/image/725136000567/image_qq5vc3cf3l2e56kfbcvef82m2g/-FJPG/108952-002_DET_3.jpg</t>
  </si>
  <si>
    <t>https://dd3ka9h4chfr8.cloudfront.net/image/725136000567/image_imaj8skjlt6ircv61t4fdgq814/-FJPG/108952-002_DET_4.jpg</t>
  </si>
  <si>
    <t>https://dd3ka9h4chfr8.cloudfront.net/image/725136000567/image_asu1odgv9h1o92kjemf7h4cu1u/-FJPG/108952-002_DET_5.jpg</t>
  </si>
  <si>
    <t>https://dd3ka9h4chfr8.cloudfront.net/image/725136000567/image_v2euljc85t33tdqnv5uejog35e/-FJPG/108952-002_DET_6.jpg</t>
  </si>
  <si>
    <t>https://dd3ka9h4chfr8.cloudfront.net/image/725136000567/image_o2kj8qpq2d6b53q9n24fhd1b26/-FJPG/108952-002_VIG_1.jpg</t>
  </si>
  <si>
    <t>https://dd3ka9h4chfr8.cloudfront.net/image/725136000567/image_uknlb3t98l7hf74bp5ftjp213g/-FJPG/108952-002_VIG_2.jpg</t>
  </si>
  <si>
    <t>Benito</t>
  </si>
  <si>
    <t>60% Polyester Fiber</t>
  </si>
  <si>
    <t xml:space="preserve"> 40% Waterfowl Feather</t>
  </si>
  <si>
    <t>90.00"</t>
  </si>
  <si>
    <t>108952-004</t>
  </si>
  <si>
    <t>Benito Sofa - Surrey Olive</t>
  </si>
  <si>
    <t>Pump up the volume. Sculptural, shapely and finely tailored. Plush chenille-like upholstery emits highs and lows for a refined look and textural feel with eye-catching highs and lows. Rounded edges and roomy seating space, plus pleated back cushions for comfort.</t>
  </si>
  <si>
    <t>https://dd3ka9h4chfr8.cloudfront.net/image/725136000567/image_r8ug07d79d6rn5ft045tj9fg79/-S150x150-FJPG/108952-004_PRM_1.jpg</t>
  </si>
  <si>
    <t>https://dd3ka9h4chfr8.cloudfront.net/image/725136000567/image_scohchcpph7bn5p4rjikcbd81n/-FJPG/108952-004_FRT_1.jpg</t>
  </si>
  <si>
    <t>https://dd3ka9h4chfr8.cloudfront.net/image/725136000567/image_r8ug07d79d6rn5ft045tj9fg79/-FJPG/108952-004_PRM_1.jpg</t>
  </si>
  <si>
    <t>https://dd3ka9h4chfr8.cloudfront.net/image/725136000567/image_up8kbtki0t38t3har80e1cev5q/-FJPG/108952-004_SID_1.jpg</t>
  </si>
  <si>
    <t>https://dd3ka9h4chfr8.cloudfront.net/image/725136000567/image_n3gqrrl22l3b72m00mnsvnge1m/-FJPG/108952-004_ESS_1.jpg</t>
  </si>
  <si>
    <t>https://dd3ka9h4chfr8.cloudfront.net/image/725136000567/image_65ske1rgu55hvacupe0d6jp52j/-FJPG/108952-004_DET_2.jpg</t>
  </si>
  <si>
    <t>https://dd3ka9h4chfr8.cloudfront.net/image/725136000567/image_oched1jvkl0h1435d2srs6j42r/-FJPG/108952-004_BCK_1.jpg</t>
  </si>
  <si>
    <t>https://dd3ka9h4chfr8.cloudfront.net/image/725136000567/image_mr4166ulu92bn26d18npqgka1e/-FJPG/108952-004_DET_1.jpg</t>
  </si>
  <si>
    <t>https://dd3ka9h4chfr8.cloudfront.net/image/725136000567/image_81t7g830550mtfjj5c55mh7o3u/-FJPG/108952-004_DET_3.jpg</t>
  </si>
  <si>
    <t>https://dd3ka9h4chfr8.cloudfront.net/image/725136000567/image_r2j9p92ke97lnadvjsqi4oek61/-FJPG/108952-004_DET_4.jpg</t>
  </si>
  <si>
    <t>https://dd3ka9h4chfr8.cloudfront.net/image/725136000567/image_oiptugeqdd1jlfsok9n7eo0005/-FJPG/108952-004_DET_5.jpg</t>
  </si>
  <si>
    <t>https://dd3ka9h4chfr8.cloudfront.net/image/725136000567/image_1g3t9dakep6fn55ijhf135pq31/-FJPG/108952-004_DET_6.jpg</t>
  </si>
  <si>
    <t>https://dd3ka9h4chfr8.cloudfront.net/image/725136000567/image_jdescjv0hl49r57oohlb0hsp0b/-FJPG/108952-004_DET_11.jpg</t>
  </si>
  <si>
    <t>108952-010</t>
  </si>
  <si>
    <t>Benito Sofa - Surrey Cocoa</t>
  </si>
  <si>
    <t>Surrey Cocoa</t>
  </si>
  <si>
    <t>https://dd3ka9h4chfr8.cloudfront.net/image/725136000567/image_4st12vkr9t0cn981ogb6rdnp60/-S150x150-FJPG/108952-010_PRM_1.jpg</t>
  </si>
  <si>
    <t>https://dd3ka9h4chfr8.cloudfront.net/image/725136000567/image_9m49gdsrvl7cd822gh41gdc63b/-FJPG/108952-010_FRT_1.jpg</t>
  </si>
  <si>
    <t>https://dd3ka9h4chfr8.cloudfront.net/image/725136000567/image_4st12vkr9t0cn981ogb6rdnp60/-FJPG/108952-010_PRM_1.jpg</t>
  </si>
  <si>
    <t>https://dd3ka9h4chfr8.cloudfront.net/image/725136000567/image_148t0305rh39fae3ilugpl6f3p/-FJPG/108952-010_SID_1.jpg</t>
  </si>
  <si>
    <t>https://dd3ka9h4chfr8.cloudfront.net/image/725136000567/image_b0o30eb24l5p111kfb503c5t6b/-FJPG/108952-010_ESS.tif</t>
  </si>
  <si>
    <t>https://dd3ka9h4chfr8.cloudfront.net/image/725136000567/image_r2ds93lb3t2o9431hma0dsus37/-FJPG/108952-010_DET_2.jpg</t>
  </si>
  <si>
    <t>https://dd3ka9h4chfr8.cloudfront.net/image/725136000567/image_gqkn29plgd2cpd5t74o0dk3h16/-FJPG/108952-010_BCK_1.jpg</t>
  </si>
  <si>
    <t>https://dd3ka9h4chfr8.cloudfront.net/image/725136000567/image_fvsv49dl2d1f90lt91g9ichi32/-FJPG/108952-010_DET_1.jpg</t>
  </si>
  <si>
    <t>https://dd3ka9h4chfr8.cloudfront.net/image/725136000567/image_ip38kf5plt18fecrdshdu30434/-FJPG/108952-010_DET_3.jpg</t>
  </si>
  <si>
    <t>https://dd3ka9h4chfr8.cloudfront.net/image/725136000567/image_r2agd2b25p4jlaa50fp0lqit0r/-FJPG/108952-010_DET_4.jpg</t>
  </si>
  <si>
    <t>https://dd3ka9h4chfr8.cloudfront.net/image/725136000567/image_66fbvhpekd1vh9gfrckpk3oc6k/-FJPG/108952-010_DET_9.tif</t>
  </si>
  <si>
    <t>108962-001</t>
  </si>
  <si>
    <t>Reza Media Console - Smoked Honey</t>
  </si>
  <si>
    <t>Merritt</t>
  </si>
  <si>
    <t>Smoked Honey</t>
  </si>
  <si>
    <t>Toasted Acacia</t>
  </si>
  <si>
    <t>A midcentury form with Shaker spirit. Finished in a smoked honey, a clean-lined parawood console sits in an arched cradle base of toasted acacia. Twist-lock metal hardware adds a clever finishing touch. Rear cutouts for media cord management.</t>
  </si>
  <si>
    <t>https://dd3ka9h4chfr8.cloudfront.net/image/725136000567/image_27abcjt8a56c18dc4tqqh3ci04/-S150x150-FJPG/108962-001_PRM_1.jpg</t>
  </si>
  <si>
    <t>https://dd3ka9h4chfr8.cloudfront.net/image/725136000567/image_kilecgp7qt369a2e0h8v3vmf48/-FJPG/108962-001_FRT_1.jpg</t>
  </si>
  <si>
    <t>https://dd3ka9h4chfr8.cloudfront.net/image/725136000567/image_27abcjt8a56c18dc4tqqh3ci04/-FJPG/108962-001_PRM_1.jpg</t>
  </si>
  <si>
    <t>https://dd3ka9h4chfr8.cloudfront.net/image/725136000567/image_84cmgf88vh5cfaqs2f7qo4kh65/-FJPG/108962-001_SID_1.jpg</t>
  </si>
  <si>
    <t>https://dd3ka9h4chfr8.cloudfront.net/image/725136000567/image_0vto0m0pid4ctb6bonkampj850/-FJPG/108962-001_ESS_1.jpg</t>
  </si>
  <si>
    <t>https://dd3ka9h4chfr8.cloudfront.net/image/725136000567/image_vq1rn60nqt3jnac1ualte9nb7n/-FJPG/108962-001_DET_2.jpg</t>
  </si>
  <si>
    <t>https://dd3ka9h4chfr8.cloudfront.net/image/725136000567/image_an7ku7od1t6g51kiemu60a0d5u/-FJPG/108962-001_BCK_1.jpg</t>
  </si>
  <si>
    <t>https://dd3ka9h4chfr8.cloudfront.net/image/725136000567/image_urit1jvu1902rf8vj7ms03ui37/-FJPG/108962-001_DET_3.jpg</t>
  </si>
  <si>
    <t>https://dd3ka9h4chfr8.cloudfront.net/image/725136000567/image_h3aq82gtk10q11sbf9gut9964l/-FJPG/108962-001_OPN_1.jpg</t>
  </si>
  <si>
    <t>https://dd3ka9h4chfr8.cloudfront.net/image/725136000567/image_7v9u3k0h851bpftirctikkhj5e/-FJPG/108962-001_DET_4.jpg</t>
  </si>
  <si>
    <t>https://dd3ka9h4chfr8.cloudfront.net/image/725136000567/image_6g5n3dg43p50jbmatq3bokj82p/-FJPG/108962-001_DET_5.jpg</t>
  </si>
  <si>
    <t>https://dd3ka9h4chfr8.cloudfront.net/image/725136000567/image_f9ltvts8717dteobk0rtg1a93d/-FJPG/108962-001_DET_6.jpg</t>
  </si>
  <si>
    <t>https://dd3ka9h4chfr8.cloudfront.net/image/725136000567/image_cl81fkhldt44l2lojdrnt6q84v/-FJPG/108962-001_DET_7.jpg</t>
  </si>
  <si>
    <t>https://dd3ka9h4chfr8.cloudfront.net/image/725136000567/image_5tkiekq46p1f52kofpuphago6m/-FJPG/108962-001_DET_8.jpg</t>
  </si>
  <si>
    <t>https://dd3ka9h4chfr8.cloudfront.net/image/725136000567/image_6svm9mmc311p5cd4ipulpc912d/-FJPG/108962-001_DET_9.jpg</t>
  </si>
  <si>
    <t>https://dd3ka9h4chfr8.cloudfront.net/image/725136000567/image_pgqbesqkk12e5ft97mb3aicm7n/-FJPG/108962-001_DET_10.jpg</t>
  </si>
  <si>
    <t>https://dd3ka9h4chfr8.cloudfront.net/image/725136000567/image_6u2tk9lm2d6bv3mk4mh5bg7u52/-FJPG/108962-001_ROM_1.jpg</t>
  </si>
  <si>
    <t>Reza</t>
  </si>
  <si>
    <t>18.75"</t>
  </si>
  <si>
    <t>108962-003</t>
  </si>
  <si>
    <t>Reza Media Console - Worn Black Parawood</t>
  </si>
  <si>
    <t>Worn Black Parawood</t>
  </si>
  <si>
    <t>Worn Black Acacia</t>
  </si>
  <si>
    <t>A midcentury form with Shaker spirit. Finished in a worn black, a parawood console sits in an arched cradle base of black acacia. Twist-lock metal hardware adds a clever finishing touch. Rear cutouts for media cord management.</t>
  </si>
  <si>
    <t>https://dd3ka9h4chfr8.cloudfront.net/image/725136000567/image_hjdb7bmm0l3d7biq2n71s6ub4s/-S150x150-FJPG/108962-003_PRM_1.jpg</t>
  </si>
  <si>
    <t>https://dd3ka9h4chfr8.cloudfront.net/image/725136000567/image_l0ce5mb3rt4vp6r2cuujk9to3m/-FJPG/108962-003_FRT_1.jpg</t>
  </si>
  <si>
    <t>https://dd3ka9h4chfr8.cloudfront.net/image/725136000567/image_hjdb7bmm0l3d7biq2n71s6ub4s/-FJPG/108962-003_PRM_1.jpg</t>
  </si>
  <si>
    <t>https://dd3ka9h4chfr8.cloudfront.net/image/725136000567/image_sscg578f590elf84hrr59rhb0d/-FJPG/108962-003_SID_1.jpg</t>
  </si>
  <si>
    <t>https://dd3ka9h4chfr8.cloudfront.net/image/725136000567/image_mefviqhm3p2cnf18pc8jke4n4b/-FJPG/108962-003_ESS.tif</t>
  </si>
  <si>
    <t>https://dd3ka9h4chfr8.cloudfront.net/image/725136000567/image_tudoemeab57vb0a3pbcp4ero0b/-FJPG/108962-003_DET_2.jpg</t>
  </si>
  <si>
    <t>https://dd3ka9h4chfr8.cloudfront.net/image/725136000567/image_pukc91h1v540r6210uonrbpb12/-FJPG/108962-003_BCK_1.jpg</t>
  </si>
  <si>
    <t>https://dd3ka9h4chfr8.cloudfront.net/image/725136000567/image_jba64lfdlh19h06qp5s03er64b/-FJPG/108962-003_DET_1.jpg</t>
  </si>
  <si>
    <t>https://dd3ka9h4chfr8.cloudfront.net/image/725136000567/image_cjibomuci14kf8tisqpoajkm0m/-FJPG/108962-003_DET_3.jpg</t>
  </si>
  <si>
    <t>https://dd3ka9h4chfr8.cloudfront.net/image/725136000567/image_lrmcrj9tid0v9cu7e6s1v6nk7m/-FJPG/108962-003_OPN_1.jpg</t>
  </si>
  <si>
    <t>https://dd3ka9h4chfr8.cloudfront.net/image/725136000567/image_337037gce964p6jn6iln5ijo3s/-FJPG/108962-003_TOP_1.jpg</t>
  </si>
  <si>
    <t>https://dd3ka9h4chfr8.cloudfront.net/image/725136000567/image_e5h7omt5114uf63dm34h287m3v/-FJPG/108962-003_DET_4.jpg</t>
  </si>
  <si>
    <t>https://dd3ka9h4chfr8.cloudfront.net/image/725136000567/image_lf563t7u5d6jt052h8d8i1671n/-FJPG/108962-003_DET_5.jpg</t>
  </si>
  <si>
    <t>108998-002</t>
  </si>
  <si>
    <t>Rosedale Sideboard - Yucca Oak Veneer</t>
  </si>
  <si>
    <t>Accented with iron hardware wrapped in tan top-grain leather, light-finished oak veneer forms a clean silhouette with plenty of storage. Outset legs add an element of interest.</t>
  </si>
  <si>
    <t>https://dd3ka9h4chfr8.cloudfront.net/image/725136000567/image_v75lgftf7d3ebbos1khjannv66/-S150x150-FJPG/108998-002_PRM_1.jpg</t>
  </si>
  <si>
    <t>https://dd3ka9h4chfr8.cloudfront.net/image/725136000567/image_85dnh75m653id0ta2u855ka77l/-FJPG/108998-002_FRT_1.jpg</t>
  </si>
  <si>
    <t>https://dd3ka9h4chfr8.cloudfront.net/image/725136000567/image_v75lgftf7d3ebbos1khjannv66/-FJPG/108998-002_PRM_1.jpg</t>
  </si>
  <si>
    <t>https://dd3ka9h4chfr8.cloudfront.net/image/725136000567/image_6a9cjsut5d1rv2gggds55i8830/-FJPG/108998-002_SID_1.jpg</t>
  </si>
  <si>
    <t>https://dd3ka9h4chfr8.cloudfront.net/image/725136000567/image_ngln02q00h6bj1i25deiaocg7s/-FJPG/108998-002_ESS.tif</t>
  </si>
  <si>
    <t>https://dd3ka9h4chfr8.cloudfront.net/image/725136000567/image_2s6rae2vht3kfc2tqa3p9d6n7t/-FJPG/108998-002_DET_2.jpg</t>
  </si>
  <si>
    <t>https://dd3ka9h4chfr8.cloudfront.net/image/725136000567/image_dem9t18s5p3br3nr8d57muj93i/-FJPG/108998-002_BCK_1.jpg</t>
  </si>
  <si>
    <t>https://dd3ka9h4chfr8.cloudfront.net/image/725136000567/image_igo2pfr03l13h4kjkfsdfik01m/-FJPG/108998-002_DET_1.jpg</t>
  </si>
  <si>
    <t>https://dd3ka9h4chfr8.cloudfront.net/image/725136000567/image_vlvt4mvuq95jlbm7uf74oi5q5s/-FJPG/108998-002_DET_3.jpg</t>
  </si>
  <si>
    <t>https://dd3ka9h4chfr8.cloudfront.net/image/725136000567/image_94edqf53ed7cr761q7isdfq85t/-FJPG/108998-002_OPN_1.jpg</t>
  </si>
  <si>
    <t>https://dd3ka9h4chfr8.cloudfront.net/image/725136000567/image_9l0bcmm43p3gj5bbluc58lq41p/-FJPG/108998-002_DET_4.jpg</t>
  </si>
  <si>
    <t>https://dd3ka9h4chfr8.cloudfront.net/image/725136000567/image_di2uniad1t4qj92n0etb2qet38/-FJPG/108998-002_DET_5.jpg</t>
  </si>
  <si>
    <t>https://dd3ka9h4chfr8.cloudfront.net/image/725136000567/image_302thkg7m56ut8hitk1t436k0e/-FJPG/108998-002_DET_6.jpg</t>
  </si>
  <si>
    <t>https://dd3ka9h4chfr8.cloudfront.net/image/725136000567/image_53oknfkahd589722f4spg8e95s/-FJPG/108998-002_DET_7.jpg</t>
  </si>
  <si>
    <t>19.72"</t>
  </si>
  <si>
    <t>34.11"</t>
  </si>
  <si>
    <t>Frame and Panel Construction</t>
  </si>
  <si>
    <t>17.62"</t>
  </si>
  <si>
    <t>Roller Catch</t>
  </si>
  <si>
    <t>108998-003</t>
  </si>
  <si>
    <t>Rosedale Sideboard - Ebony Oak Veneer</t>
  </si>
  <si>
    <t>Accented with iron hardware wrapped in top-grain leather, black-finished oak veneer forms a clean silhouette with plenty of storage. Outset legs add an element of interest. Rear cutouts for cord management.</t>
  </si>
  <si>
    <t>https://dd3ka9h4chfr8.cloudfront.net/image/725136000567/image_qg10hsgt2d1ot98ib1s75fmf4j/-S150x150-FJPG/108998-003_PRM_1.jpg</t>
  </si>
  <si>
    <t>https://dd3ka9h4chfr8.cloudfront.net/image/725136000567/image_ebel1hq46h5il9jahr7hu4pp7n/-FJPG/108998-003_FRT_1.jpg</t>
  </si>
  <si>
    <t>https://dd3ka9h4chfr8.cloudfront.net/image/725136000567/image_qg10hsgt2d1ot98ib1s75fmf4j/-FJPG/108998-003_PRM_1.jpg</t>
  </si>
  <si>
    <t>https://dd3ka9h4chfr8.cloudfront.net/image/725136000567/image_3a9q635eb5741b0f3oe4m0rs2e/-FJPG/108998-003_SID_1.jpg</t>
  </si>
  <si>
    <t>https://dd3ka9h4chfr8.cloudfront.net/image/725136000567/image_05nmitis4d19p2s7llf8uv4051/-FJPG/108998-003_DET_2.jpg</t>
  </si>
  <si>
    <t>https://dd3ka9h4chfr8.cloudfront.net/image/725136000567/image_lvgne1ld890lbao5tmvilkf83n/-FJPG/108998-003_BCK_1.jpg</t>
  </si>
  <si>
    <t>https://dd3ka9h4chfr8.cloudfront.net/image/725136000567/image_edkrl0h96t5vj7qm3o60i56e7a/-FJPG/108998-003_DET_1.jpg</t>
  </si>
  <si>
    <t>https://dd3ka9h4chfr8.cloudfront.net/image/725136000567/image_r927jg0lth7erdtei6g02jnb03/-FJPG/108998-003_DET_3.jpg</t>
  </si>
  <si>
    <t>https://dd3ka9h4chfr8.cloudfront.net/image/725136000567/image_4dna31vi3l3ul6quk08rcfr20e/-FJPG/108998-003_OPN_1.jpg</t>
  </si>
  <si>
    <t>https://dd3ka9h4chfr8.cloudfront.net/image/725136000567/image_it969ovvud2el24ns4gbvptm05/-FJPG/108998-003_TOP_1.jpg</t>
  </si>
  <si>
    <t>https://dd3ka9h4chfr8.cloudfront.net/image/725136000567/image_jnhe6vv6q53rv0mi8m7geeo170/-FJPG/108998-003_DET_4.jpg</t>
  </si>
  <si>
    <t>https://dd3ka9h4chfr8.cloudfront.net/image/725136000567/image_j1b8u0hmel3hd58rlm9fcngv6k/-FJPG/108998-003_DET_5.jpg</t>
  </si>
  <si>
    <t>https://dd3ka9h4chfr8.cloudfront.net/image/725136000567/image_r6m7eio1kh45n3q6bjq91rub71/-FJPG/108998-003_DET_6.jpg</t>
  </si>
  <si>
    <t>https://dd3ka9h4chfr8.cloudfront.net/image/725136000567/image_oe63hbluf919d4699g4gruoh1e/-FJPG/108998-003_DET_7.jpg</t>
  </si>
  <si>
    <t>109010-004</t>
  </si>
  <si>
    <t>Parker Trunk - Orly Natural</t>
  </si>
  <si>
    <t>For cleverly practicality, upholstered bench seating opens to reveal trunk-style storage, perfect for the bedroom or entryway, or as a stylish piano bench for sheet music storage.</t>
  </si>
  <si>
    <t>https://dd3ka9h4chfr8.cloudfront.net/image/725136000567/image_99eoj7enid183dq4c11mrln31h/-S150x150-FJPG/109010-004_PRM_1.jpg</t>
  </si>
  <si>
    <t>https://dd3ka9h4chfr8.cloudfront.net/image/725136000567/image_99eoj7enid183dq4c11mrln31h/-FJPG/109010-004_PRM_1.jpg</t>
  </si>
  <si>
    <t>https://dd3ka9h4chfr8.cloudfront.net/image/725136000567/image_kekn5gq12t11t1p9iu190f8304/-FJPG/109010-004_SID_1.jpg</t>
  </si>
  <si>
    <t>https://dd3ka9h4chfr8.cloudfront.net/image/725136000567/image_92iulb2vep4r595kjqt6iumr0g/-FJPG/109010-004_ESS_1.jpg</t>
  </si>
  <si>
    <t>https://dd3ka9h4chfr8.cloudfront.net/image/725136000567/image_ojiegfldsp5vl56nmclh4i4m6n/-FJPG/109010-004_BCK_1.jpg</t>
  </si>
  <si>
    <t>https://dd3ka9h4chfr8.cloudfront.net/image/725136000567/image_vsdth8f8op1k7chrua7bl5f03q/-FJPG/109010-004_DET_1.jpg</t>
  </si>
  <si>
    <t>https://dd3ka9h4chfr8.cloudfront.net/image/725136000567/image_umjg21gbnh0thbeq09rooit910/-FJPG/109010-004_DET_3.jpg</t>
  </si>
  <si>
    <t>https://dd3ka9h4chfr8.cloudfront.net/image/725136000567/image_d49o2s4p590mvbdkp4odo3350p/-FJPG/109010-004_OPN_1.jpg</t>
  </si>
  <si>
    <t>https://dd3ka9h4chfr8.cloudfront.net/image/725136000567/image_k7l504offp67t6o43dl8j7b06d/-FJPG/109010-004_DET_4.jpg</t>
  </si>
  <si>
    <t>https://dd3ka9h4chfr8.cloudfront.net/image/725136000567/image_9pg8a46egl05rd87fltehncc1d/-FJPG/109010-004_DET_5.jpg</t>
  </si>
  <si>
    <t>https://dd3ka9h4chfr8.cloudfront.net/image/725136000567/image_vqdr4hdp257af9erfs8tivkb3l/-FJPG/109010-004_DET_6.jpg</t>
  </si>
  <si>
    <t>https://dd3ka9h4chfr8.cloudfront.net/image/725136000567/image_dp9igncpbd5iv6s3456740uk4r/-FJPG/109010-004_OPN_2.jpg</t>
  </si>
  <si>
    <t>Parker</t>
  </si>
  <si>
    <t>12.32"</t>
  </si>
  <si>
    <t>48.03"</t>
  </si>
  <si>
    <t>109029-001</t>
  </si>
  <si>
    <t>Reza Sideboard - Smoked Honey</t>
  </si>
  <si>
    <t>Mid-century styling with a Shaker spirit. Finished in a light, smoked honey, a clean-lined parawood console sits in an arched cradle base of toasted acacia, for fresh contrast. Twist-lock metal hardware adds a clever finishing touch. Rear cutouts for cord management.</t>
  </si>
  <si>
    <t>https://dd3ka9h4chfr8.cloudfront.net/image/725136000567/image_4hcbl2tpt17ln7obnjqvokq42t/-S150x150-FJPG/109029-001_PRM_1.jpg</t>
  </si>
  <si>
    <t>https://dd3ka9h4chfr8.cloudfront.net/image/725136000567/image_pph8dhbvs540v25bfh16c8om65/-FJPG/109029-001_FRT_1.jpg</t>
  </si>
  <si>
    <t>https://dd3ka9h4chfr8.cloudfront.net/image/725136000567/image_4hcbl2tpt17ln7obnjqvokq42t/-FJPG/109029-001_PRM_1.jpg</t>
  </si>
  <si>
    <t>https://dd3ka9h4chfr8.cloudfront.net/image/725136000567/image_hitdgp42ih45tabi6ul1ggc41k/-FJPG/109029-001_SID_1.jpg</t>
  </si>
  <si>
    <t>https://dd3ka9h4chfr8.cloudfront.net/image/725136000567/image_j11ia1fki11ij8ln9v7poqcr7g/-FJPG/109029-001_ESS_1.jpg</t>
  </si>
  <si>
    <t>https://dd3ka9h4chfr8.cloudfront.net/image/725136000567/image_b92dh1tllh1rn0nkeid21dsn50/-FJPG/109029-001_DET_2.jpg</t>
  </si>
  <si>
    <t>https://dd3ka9h4chfr8.cloudfront.net/image/725136000567/image_njqc197jtp5738csthlj37vm4t/-FJPG/109029-001_BCK_1.jpg</t>
  </si>
  <si>
    <t>https://dd3ka9h4chfr8.cloudfront.net/image/725136000567/image_mk70fdj9m10kjan01djsosps1m/-FJPG/109029-001_DET_1.jpg</t>
  </si>
  <si>
    <t>https://dd3ka9h4chfr8.cloudfront.net/image/725136000567/image_nqkn3gqvq11vp680ikdhdsej58/-FJPG/109029-001_DET_3.jpg</t>
  </si>
  <si>
    <t>https://dd3ka9h4chfr8.cloudfront.net/image/725136000567/image_0fer52340d6irbikg4akusqs55/-FJPG/109029-001_OPN_1.jpg</t>
  </si>
  <si>
    <t>https://dd3ka9h4chfr8.cloudfront.net/image/725136000567/image_c46avnlned5m986e1of16pdj58/-FJPG/109029-001_DET_4.jpg</t>
  </si>
  <si>
    <t>https://dd3ka9h4chfr8.cloudfront.net/image/725136000567/image_4rk0831ps17ghajcjgaiampn4i/-FJPG/109029-001_DET_5.jpg</t>
  </si>
  <si>
    <t>https://dd3ka9h4chfr8.cloudfront.net/image/725136000567/image_6j725a5u9143t2v6ctnnj7b26r/-FJPG/109029-001_DET_6.jpg</t>
  </si>
  <si>
    <t>https://dd3ka9h4chfr8.cloudfront.net/image/725136000567/image_1cp4ccjr413uv9h9e8i2gpb06t/-FJPG/109029-001_DET_7.jpg</t>
  </si>
  <si>
    <t>https://dd3ka9h4chfr8.cloudfront.net/image/725136000567/image_ljn5a07efl1db259slop79pa4j/-FJPG/109029-001_DET_8.jpg</t>
  </si>
  <si>
    <t>https://dd3ka9h4chfr8.cloudfront.net/image/725136000567/image_ngmjat1vgt3jf5ihp2t3bpru5d/-FJPG/109029-001_VIG_1.jpg</t>
  </si>
  <si>
    <t>109064-003</t>
  </si>
  <si>
    <t>Rosedale Nightstand - Ebony Oak Veneer</t>
  </si>
  <si>
    <t>Ebony-finished oak forms a clean silhouette for dual drawers with iron hardware wrapped in tan top-grain leather.</t>
  </si>
  <si>
    <t>https://dd3ka9h4chfr8.cloudfront.net/image/725136000567/image_rtudfo07q96cj2benpfplea906/-S150x150-FJPG/109064-003_PRM_1.jpg</t>
  </si>
  <si>
    <t>https://dd3ka9h4chfr8.cloudfront.net/image/725136000567/image_mf4f7fkqvd57d43o94vg74v775/-FJPG/109064-003_FRT_1.jpg</t>
  </si>
  <si>
    <t>https://dd3ka9h4chfr8.cloudfront.net/image/725136000567/image_rtudfo07q96cj2benpfplea906/-FJPG/109064-003_PRM_1.jpg</t>
  </si>
  <si>
    <t>https://dd3ka9h4chfr8.cloudfront.net/image/725136000567/image_1mrdnlhvm53j1e2m74fbm6c05h/-FJPG/109064-003_SID_1.jpg</t>
  </si>
  <si>
    <t>https://dd3ka9h4chfr8.cloudfront.net/image/725136000567/image_dd8n2i8rdt0ble172k694b972c/-FJPG/109064-003_ESS_1.jpg</t>
  </si>
  <si>
    <t>https://dd3ka9h4chfr8.cloudfront.net/image/725136000567/image_uat3aeon4l5v70mbgbvl1qcp5m/-FJPG/109064-003_DET_2.jpg</t>
  </si>
  <si>
    <t>https://dd3ka9h4chfr8.cloudfront.net/image/725136000567/image_46m7ov98j9579fnkhlkp0hkg4g/-FJPG/109064-003_BCK_1.jpg</t>
  </si>
  <si>
    <t>https://dd3ka9h4chfr8.cloudfront.net/image/725136000567/image_ah61n65jld6et7c8db64u8ng7s/-FJPG/109064-003_DET_1.jpg</t>
  </si>
  <si>
    <t>https://dd3ka9h4chfr8.cloudfront.net/image/725136000567/image_dcm4hbm9hp6ip9splnljf5rg00/-FJPG/109064-003_DET_3.jpg</t>
  </si>
  <si>
    <t>https://dd3ka9h4chfr8.cloudfront.net/image/725136000567/image_7rh34u8dl560jbsvqkv9ci345k/-FJPG/109064-003_OPN_1.jpg</t>
  </si>
  <si>
    <t>https://dd3ka9h4chfr8.cloudfront.net/image/725136000567/image_59m9p8v9pl0q37kr9fr3lgrt66/-FJPG/109064-003_DET_4.jpg</t>
  </si>
  <si>
    <t>https://dd3ka9h4chfr8.cloudfront.net/image/725136000567/image_85daso5jdh2e57iacvohi9p03e/-FJPG/109064-003_DET_5.jpg</t>
  </si>
  <si>
    <t>Nightstand</t>
  </si>
  <si>
    <t>14.75"</t>
  </si>
  <si>
    <t>109064-004</t>
  </si>
  <si>
    <t>Rosedale Nightstand - Yucca Oak Veneer</t>
  </si>
  <si>
    <t>Light-finished oak forms a clean silhouette for dual drawers with iron hardware wrapped in tan top-grain leather.</t>
  </si>
  <si>
    <t>https://dd3ka9h4chfr8.cloudfront.net/image/725136000567/image_qop0r8entd0nv0sdsj9b5fc40j/-S150x150-FJPG/109064-004_PRM_1.jpg</t>
  </si>
  <si>
    <t>https://dd3ka9h4chfr8.cloudfront.net/image/725136000567/image_g76vr67i1l3u1e6uanjv4d476q/-FJPG/109064-004_FRT_1.jpg</t>
  </si>
  <si>
    <t>https://dd3ka9h4chfr8.cloudfront.net/image/725136000567/image_qop0r8entd0nv0sdsj9b5fc40j/-FJPG/109064-004_PRM_1.jpg</t>
  </si>
  <si>
    <t>https://dd3ka9h4chfr8.cloudfront.net/image/725136000567/image_ng48h53n6h5n91psihja6b7422/-FJPG/109064-004_SID_1.jpg</t>
  </si>
  <si>
    <t>https://dd3ka9h4chfr8.cloudfront.net/image/725136000567/image_th7kk8ih2l191etdptd0m86i1e/-FJPG/109064-004_ESS_1.jpg</t>
  </si>
  <si>
    <t>https://dd3ka9h4chfr8.cloudfront.net/image/725136000567/image_e06if1im850urd7a9i5l7h8u0n/-FJPG/109064-004_DET_2.jpg</t>
  </si>
  <si>
    <t>https://dd3ka9h4chfr8.cloudfront.net/image/725136000567/image_jk5g9bu24p2vh3rukp2017fi5s/-FJPG/109064-004_BCK_1.jpg</t>
  </si>
  <si>
    <t>https://dd3ka9h4chfr8.cloudfront.net/image/725136000567/image_11v9tko6al6q1550t7p8bsul7q/-FJPG/109064-004_DET_1.jpg</t>
  </si>
  <si>
    <t>https://dd3ka9h4chfr8.cloudfront.net/image/725136000567/image_tt0p3l9bvt1d5bbgvfk83omu3a/-FJPG/109064-004_DET_3.jpg</t>
  </si>
  <si>
    <t>https://dd3ka9h4chfr8.cloudfront.net/image/725136000567/image_hp3rd93rdl1hfc5qgs7hsn1h6k/-FJPG/109064-004_OPN_1.jpg</t>
  </si>
  <si>
    <t>https://dd3ka9h4chfr8.cloudfront.net/image/725136000567/image_e1h6hnnp5l4c7a5em941q00558/-FJPG/109064-004_DET_4.jpg</t>
  </si>
  <si>
    <t>https://dd3ka9h4chfr8.cloudfront.net/image/725136000567/image_it1l5njr695ff4jjn8v8po3416/-FJPG/109064-004_DET_5.jpg</t>
  </si>
  <si>
    <t>https://dd3ka9h4chfr8.cloudfront.net/image/725136000567/image_uehj1td0k50130im3fnqdl444t/-FJPG/109064-004_DET_6.jpg</t>
  </si>
  <si>
    <t>https://dd3ka9h4chfr8.cloudfront.net/image/725136000567/image_df2dtvhffh5gv1jb93btqffm60/-FJPG/109064-004_DET_7.jpg</t>
  </si>
  <si>
    <t>109065-002</t>
  </si>
  <si>
    <t>Rosedale 6 Drawer Dresser - Yucca Oak Veneer</t>
  </si>
  <si>
    <t>https://dd3ka9h4chfr8.cloudfront.net/image/725136000567/image_3tdp034rfp2oj1ev7si6itjj3q/-S150x150-FJPG/109065-002_PRM_1.jpg</t>
  </si>
  <si>
    <t>https://dd3ka9h4chfr8.cloudfront.net/image/725136000567/image_kp9anrr97d51b22si4uvtj9a2f/-FJPG/109065-002_FRT_1.jpg</t>
  </si>
  <si>
    <t>https://dd3ka9h4chfr8.cloudfront.net/image/725136000567/image_3tdp034rfp2oj1ev7si6itjj3q/-FJPG/109065-002_PRM_1.jpg</t>
  </si>
  <si>
    <t>https://dd3ka9h4chfr8.cloudfront.net/image/725136000567/image_o69dtq8uoh0ab1riqhc3bp7s7m/-FJPG/109065-002_SID_1.jpg</t>
  </si>
  <si>
    <t>https://dd3ka9h4chfr8.cloudfront.net/image/725136000567/image_j5lt0vgvjt3st2mt0eenbmpp7g/-FJPG/109065-002_ESS_1.jpg</t>
  </si>
  <si>
    <t>https://dd3ka9h4chfr8.cloudfront.net/image/725136000567/image_7r10cmmr150ob1dio4iu9dso70/-FJPG/109065-002_DET_2.jpg</t>
  </si>
  <si>
    <t>https://dd3ka9h4chfr8.cloudfront.net/image/725136000567/image_ue8db2o9it5832r7lsgu47jn7b/-FJPG/109065-002_BCK_1.jpg</t>
  </si>
  <si>
    <t>https://dd3ka9h4chfr8.cloudfront.net/image/725136000567/image_8n88vj1ue50d739drj2t3h841i/-FJPG/109065-002_DET_1.jpg</t>
  </si>
  <si>
    <t>https://dd3ka9h4chfr8.cloudfront.net/image/725136000567/image_j39ebh5r9d2uh81rb6l6j76h5j/-FJPG/109065-002_DET_3.jpg</t>
  </si>
  <si>
    <t>https://dd3ka9h4chfr8.cloudfront.net/image/725136000567/image_25g3o9l7b95cb9rm69eab57e7q/-FJPG/109065-002_OPN_1.jpg</t>
  </si>
  <si>
    <t>https://dd3ka9h4chfr8.cloudfront.net/image/725136000567/image_3qajf39u0p4rpbbld4a8uht36o/-FJPG/109065-002_GRP_1.jpg</t>
  </si>
  <si>
    <t>https://dd3ka9h4chfr8.cloudfront.net/image/725136000567/image_ft4cakbk0p4at6disnsoo26a3q/-FJPG/109065-002_DET_4.jpg</t>
  </si>
  <si>
    <t>https://dd3ka9h4chfr8.cloudfront.net/image/725136000567/image_hp18bjm7md1apap9tmf31jnh56/-FJPG/109065-002_DET_5.jpg</t>
  </si>
  <si>
    <t>https://dd3ka9h4chfr8.cloudfront.net/image/725136000567/image_c2jh8e45311cv0f7ga0et52g49/-FJPG/109065-002_DET_6.jpg</t>
  </si>
  <si>
    <t>https://dd3ka9h4chfr8.cloudfront.net/image/725136000567/image_c643e5kl7l73r3dvqu4m8tjs0b/-FJPG/109065-002_DET_7.jpg</t>
  </si>
  <si>
    <t>https://dd3ka9h4chfr8.cloudfront.net/image/725136000567/image_7vqg6nqh4l03h722rk6n01e52c/-FJPG/109065-002_DET_8.jpg</t>
  </si>
  <si>
    <t>https://dd3ka9h4chfr8.cloudfront.net/image/725136000567/image_h79c329gi51hf0s20j6s636r72/-FJPG/109065-002_GRP_2.jpg</t>
  </si>
  <si>
    <t>https://dd3ka9h4chfr8.cloudfront.net/image/725136000567/image_nitjnhc0hl5333a5srcugb681d/-FJPG/109065-002_GRP_3.jpg</t>
  </si>
  <si>
    <t>27.09"</t>
  </si>
  <si>
    <t>109065-003</t>
  </si>
  <si>
    <t>Rosedale 6 Drawer Dresser - Ebony Oak Veneer</t>
  </si>
  <si>
    <t>https://dd3ka9h4chfr8.cloudfront.net/image/725136000567/image_dj7gjhlj3h2bf136ad77puqd65/-S150x150-FJPG/109065-003_PRM_1.jpg</t>
  </si>
  <si>
    <t>https://dd3ka9h4chfr8.cloudfront.net/image/725136000567/image_s0tal2hl353g10onfsp1a3pm0d/-FJPG/109065-003_FRT_1.jpg</t>
  </si>
  <si>
    <t>https://dd3ka9h4chfr8.cloudfront.net/image/725136000567/image_dj7gjhlj3h2bf136ad77puqd65/-FJPG/109065-003_PRM_1.jpg</t>
  </si>
  <si>
    <t>https://dd3ka9h4chfr8.cloudfront.net/image/725136000567/image_p26f8kojtd1517jnifks1lhn59/-FJPG/109065-003_SID_1.jpg</t>
  </si>
  <si>
    <t>https://dd3ka9h4chfr8.cloudfront.net/image/725136000567/image_pmtkjhuljp0ad76qev8vsfr137/-FJPG/109065-003_ESS_1.jpg</t>
  </si>
  <si>
    <t>https://dd3ka9h4chfr8.cloudfront.net/image/725136000567/image_s86pb4d6f96gj18sm1qrj2es5h/-FJPG/109065-003_DET_2.jpg</t>
  </si>
  <si>
    <t>https://dd3ka9h4chfr8.cloudfront.net/image/725136000567/image_aab0uu7jkp46t8vfe6l46on761/-FJPG/109065-003_BCK_1.jpg</t>
  </si>
  <si>
    <t>https://dd3ka9h4chfr8.cloudfront.net/image/725136000567/image_mbr289ba655n73tiq883k4h54f/-FJPG/109065-003_DET_1.jpg</t>
  </si>
  <si>
    <t>https://dd3ka9h4chfr8.cloudfront.net/image/725136000567/image_mn2nuo281l5k5aq0k7ct2v6423/-FJPG/109065-003_DET_3.jpg</t>
  </si>
  <si>
    <t>https://dd3ka9h4chfr8.cloudfront.net/image/725136000567/image_rfst3ffqhp4jv668ekmvrfqd6o/-FJPG/109065-003_OPN_1.jpg</t>
  </si>
  <si>
    <t>https://dd3ka9h4chfr8.cloudfront.net/image/725136000567/image_0ad4e8ijkl21tfp989vhkntf2g/-FJPG/109065-003_DET_4.jpg</t>
  </si>
  <si>
    <t>https://dd3ka9h4chfr8.cloudfront.net/image/725136000567/image_vpemrpe20d21davm2pvntqfc36/-FJPG/109065-003_DET_5.jpg</t>
  </si>
  <si>
    <t>109097-002</t>
  </si>
  <si>
    <t>Kelby Media Console - Carved Vintage Brown</t>
  </si>
  <si>
    <t>https://dd3ka9h4chfr8.cloudfront.net/image/725136000567/image_4kuqjjnugp5mr7o002es450j32/-S150x150-FJPG/109097-002_PRM_1.jpg</t>
  </si>
  <si>
    <t>https://dd3ka9h4chfr8.cloudfront.net/image/725136000567/image_fmcas3r0h54ap0i69eouk81820/-FJPG/109097-002_FRT_1.jpg</t>
  </si>
  <si>
    <t>https://dd3ka9h4chfr8.cloudfront.net/image/725136000567/image_4kuqjjnugp5mr7o002es450j32/-FJPG/109097-002_PRM_1.jpg</t>
  </si>
  <si>
    <t>https://dd3ka9h4chfr8.cloudfront.net/image/725136000567/image_do2ek77tc138b6c2v5frhenn5j/-FJPG/109097-002_SID_1.jpg</t>
  </si>
  <si>
    <t>https://dd3ka9h4chfr8.cloudfront.net/image/725136000567/image_0827lf6f1l31r3d5a92ba64j6d/-FJPG/109097-002_DET_2.jpg</t>
  </si>
  <si>
    <t>https://dd3ka9h4chfr8.cloudfront.net/image/725136000567/image_cvie9pia311or5h0s9agt98939/-FJPG/109097-002_BCK_1.jpg</t>
  </si>
  <si>
    <t>https://dd3ka9h4chfr8.cloudfront.net/image/725136000567/image_kgj10rme315j36j7food1ee96n/-FJPG/109097-002_DET_1.jpg</t>
  </si>
  <si>
    <t>https://dd3ka9h4chfr8.cloudfront.net/image/725136000567/image_pch32opo750klbeqm43o10pn38/-FJPG/109097-002_DET_3.jpg</t>
  </si>
  <si>
    <t>https://dd3ka9h4chfr8.cloudfront.net/image/725136000567/image_vtp6sadfct4159pu7c6igg157h/-FJPG/109097-002_OPN_1.jpg</t>
  </si>
  <si>
    <t>https://dd3ka9h4chfr8.cloudfront.net/image/725136000567/image_k68p89f9o56j5dtvbmeguis458/-FJPG/109097-002_DET_4.jpg</t>
  </si>
  <si>
    <t>https://dd3ka9h4chfr8.cloudfront.net/image/725136000567/image_01vtff4mgt45pf161pennsua18/-FJPG/109097-002_OPN_2.jpg</t>
  </si>
  <si>
    <t>https://dd3ka9h4chfr8.cloudfront.net/image/725136000567/image_t3isb1u9596md2h35b81icne1g/-FJPG/109097-002_OPN_3.jpg</t>
  </si>
  <si>
    <t>16.25"</t>
  </si>
  <si>
    <t>Glass</t>
  </si>
  <si>
    <t>12.80"</t>
  </si>
  <si>
    <t>4.21"</t>
  </si>
  <si>
    <t>16.61"</t>
  </si>
  <si>
    <t>38.75"</t>
  </si>
  <si>
    <t>109283-002</t>
  </si>
  <si>
    <t>Eaton 9 Drawer Dresser - Amber Oak Resin</t>
  </si>
  <si>
    <t>Amber Oak Resin</t>
  </si>
  <si>
    <t>Dark Gunmetal</t>
  </si>
  <si>
    <t>This item has been modified to comply with the STURDY Act. See a full list of modified products and data changes in the â€œSTURDY Actâ€ file in the Downloads section below.</t>
  </si>
  <si>
    <t>https://dd3ka9h4chfr8.cloudfront.net/image/725136000567/image_kkj6a1r4np1a99cskpetu6ei5e/-S150x150-FJPG/109283-002_PRM_1.jpg</t>
  </si>
  <si>
    <t>https://dd3ka9h4chfr8.cloudfront.net/image/725136000567/image_7d8olki07l27d01pem3dnt6i0j/-FJPG/109283-002_FRT_1.jpg</t>
  </si>
  <si>
    <t>https://dd3ka9h4chfr8.cloudfront.net/image/725136000567/image_kkj6a1r4np1a99cskpetu6ei5e/-FJPG/109283-002_PRM_1.jpg</t>
  </si>
  <si>
    <t>https://dd3ka9h4chfr8.cloudfront.net/image/725136000567/image_nni81mnsol53r5e81o6qqpdj1i/-FJPG/109283-002_SID_1.jpg</t>
  </si>
  <si>
    <t>https://dd3ka9h4chfr8.cloudfront.net/image/725136000567/image_jhds7ocq4t6j3bhvm3lrb0cb34/-FJPG/109283-002_ESS_1.jpg</t>
  </si>
  <si>
    <t>https://dd3ka9h4chfr8.cloudfront.net/image/725136000567/image_liro5tc0b10kd7tp8805glp92l/-FJPG/109283-002_DET_2.jpg</t>
  </si>
  <si>
    <t>https://dd3ka9h4chfr8.cloudfront.net/image/725136000567/image_ubc1km445p66v0g7brsjt3ro28/-FJPG/109283-002_BCK_1.jpg</t>
  </si>
  <si>
    <t>https://dd3ka9h4chfr8.cloudfront.net/image/725136000567/image_rl5bn2lrfp3qh0omv1v22umc0j/-FJPG/109283-002_DET_1.jpg</t>
  </si>
  <si>
    <t>https://dd3ka9h4chfr8.cloudfront.net/image/725136000567/image_gn4v96pe8t35b6t9vte40qtg2d/-FJPG/109283-002_DET_3.jpg</t>
  </si>
  <si>
    <t>https://dd3ka9h4chfr8.cloudfront.net/image/725136000567/image_7t4sq3f7651330nrt8qln3ef66/-FJPG/109283-002_OPN_1.jpg</t>
  </si>
  <si>
    <t>https://dd3ka9h4chfr8.cloudfront.net/image/725136000567/image_e6hr8bkb9t4hfd7hbicua0fs1o/-FJPG/109283-002_DET_4.jpg</t>
  </si>
  <si>
    <t>https://dd3ka9h4chfr8.cloudfront.net/image/725136000567/image_c2kcs462q93creu9papemmhq7l/-FJPG/109283-002_DET_5.jpg</t>
  </si>
  <si>
    <t>https://dd3ka9h4chfr8.cloudfront.net/image/725136000567/image_8o7olr69993k53cu27n0t06p21/-FJPG/109283-002_DET_6.jpg</t>
  </si>
  <si>
    <t>https://dd3ka9h4chfr8.cloudfront.net/image/725136000567/image_gqoug6a9jd4gfc3edko21dq10m/-FJPG/109283-002_DET_7.jpg</t>
  </si>
  <si>
    <t>Undermount Metal</t>
  </si>
  <si>
    <t>Eaton</t>
  </si>
  <si>
    <t>6.02"</t>
  </si>
  <si>
    <t>5.28"</t>
  </si>
  <si>
    <t>15.20"</t>
  </si>
  <si>
    <t>109284-002</t>
  </si>
  <si>
    <t>Eaton 5 Drawer Dresser - Amber Oak Resin</t>
  </si>
  <si>
    <t>https://dd3ka9h4chfr8.cloudfront.net/image/725136000567/image_i0lgkmf96t6h12q4sqn37u3a3r/-S150x150-FJPG/109284-002_PRM_1.jpg</t>
  </si>
  <si>
    <t>https://dd3ka9h4chfr8.cloudfront.net/image/725136000567/image_bpls39tam10o75hp0ngub6a72e/-FJPG/109284-002_FRT_1.jpg</t>
  </si>
  <si>
    <t>https://dd3ka9h4chfr8.cloudfront.net/image/725136000567/image_i0lgkmf96t6h12q4sqn37u3a3r/-FJPG/109284-002_PRM_1.jpg</t>
  </si>
  <si>
    <t>https://dd3ka9h4chfr8.cloudfront.net/image/725136000567/image_frj5r9bvdl2f5dmfpjnu4s9a3o/-FJPG/109284-002_SID_1.jpg</t>
  </si>
  <si>
    <t>https://dd3ka9h4chfr8.cloudfront.net/image/725136000567/image_0dgh0ob6v12db61cntk6qr5c2d/-FJPG/109284-002_ESS_1.jpg</t>
  </si>
  <si>
    <t>https://dd3ka9h4chfr8.cloudfront.net/image/725136000567/image_bcgpg3pb2p1jne397fld0uk26n/-FJPG/109284-002_DET_2.jpg</t>
  </si>
  <si>
    <t>https://dd3ka9h4chfr8.cloudfront.net/image/725136000567/image_tls14at4v57ghafnus1j7hvg4v/-FJPG/109284-002_BCK_1.jpg</t>
  </si>
  <si>
    <t>https://dd3ka9h4chfr8.cloudfront.net/image/725136000567/image_lfigd4of1p1pt947b1321b8m7g/-FJPG/109284-002_DET_1.jpg</t>
  </si>
  <si>
    <t>https://dd3ka9h4chfr8.cloudfront.net/image/725136000567/image_5v1qu0d0nd2krc0cq8pnvhnt4e/-FJPG/109284-002_DET_3.jpg</t>
  </si>
  <si>
    <t>https://dd3ka9h4chfr8.cloudfront.net/image/725136000567/image_4vocir219l1e50vgr3pbvl6m0h/-FJPG/109284-002_OPN_1.jpg</t>
  </si>
  <si>
    <t>https://dd3ka9h4chfr8.cloudfront.net/image/725136000567/image_57mdnr2qud3nt4icik513h5j3a/-FJPG/109284-002_DET_4.jpg</t>
  </si>
  <si>
    <t>https://dd3ka9h4chfr8.cloudfront.net/image/725136000567/image_4hil51n66t64r236gm2lmiqi3u/-FJPG/109284-002_DET_5.jpg</t>
  </si>
  <si>
    <t>https://dd3ka9h4chfr8.cloudfront.net/image/725136000567/image_k60ajatni15av5rn15ipbl9m5e/-FJPG/109284-002_DET_6.jpg</t>
  </si>
  <si>
    <t>https://dd3ka9h4chfr8.cloudfront.net/image/725136000567/image_c61o3uos996s3ac2ehh8i2cl3l/-FJPG/109284-002_DET_7.jpg</t>
  </si>
  <si>
    <t>https://dd3ka9h4chfr8.cloudfront.net/image/725136000567/image_qonmbkm8kp7bv8v0btftftpj7q/-FJPG/109284-002_DET_8.jpg</t>
  </si>
  <si>
    <t>6.65"</t>
  </si>
  <si>
    <t>36.85"</t>
  </si>
  <si>
    <t>109286-002</t>
  </si>
  <si>
    <t>Eaton Nightstand - Amber Oak Resin</t>
  </si>
  <si>
    <t>https://dd3ka9h4chfr8.cloudfront.net/image/725136000567/image_am8efff2g156r56qfic32hrs1a/-S150x150-FJPG/109286-002_PRM_1.jpg</t>
  </si>
  <si>
    <t>https://dd3ka9h4chfr8.cloudfront.net/image/725136000567/image_cdvn37sh515dr7tbojlcvnvl01/-FJPG/109286-002_FRT_1.jpg</t>
  </si>
  <si>
    <t>https://dd3ka9h4chfr8.cloudfront.net/image/725136000567/image_am8efff2g156r56qfic32hrs1a/-FJPG/109286-002_PRM_1.jpg</t>
  </si>
  <si>
    <t>https://dd3ka9h4chfr8.cloudfront.net/image/725136000567/image_qq2q88j65l54f1c2au5ki5sq02/-FJPG/109286-002_SID_1.jpg</t>
  </si>
  <si>
    <t>https://dd3ka9h4chfr8.cloudfront.net/image/725136000567/image_tv4f9dgdct1hf9l8sh6ho7g42i/-FJPG/109286-002_ESS_1.jpg</t>
  </si>
  <si>
    <t>https://dd3ka9h4chfr8.cloudfront.net/image/725136000567/image_ml6sclpa3p02vcfn5ioqdcvb19/-FJPG/109286-002_DET_2.jpg</t>
  </si>
  <si>
    <t>https://dd3ka9h4chfr8.cloudfront.net/image/725136000567/image_dhqi5g5ep96nv9bksdc6sms900/-FJPG/109286-002_BCK_1.jpg</t>
  </si>
  <si>
    <t>https://dd3ka9h4chfr8.cloudfront.net/image/725136000567/image_n3g5mkq5jl6sv2ap4dhbufvo7p/-FJPG/109286-002_DET_1.jpg</t>
  </si>
  <si>
    <t>https://dd3ka9h4chfr8.cloudfront.net/image/725136000567/image_nkpov7jj6l5q134gm0drc1644s/-FJPG/109286-002_DET_3.jpg</t>
  </si>
  <si>
    <t>https://dd3ka9h4chfr8.cloudfront.net/image/725136000567/image_mncfg5v4mp6id6f12m68tbtv6o/-FJPG/109286-002_OPN_1.jpg</t>
  </si>
  <si>
    <t>https://dd3ka9h4chfr8.cloudfront.net/image/725136000567/image_gs4fc7m40970hd4k8089oa6n06/-FJPG/109286-002_DET_4.jpg</t>
  </si>
  <si>
    <t>https://dd3ka9h4chfr8.cloudfront.net/image/725136000567/image_kkg26hdjb17tj56j0rn6q42u7n/-FJPG/109286-002_DET_5.jpg</t>
  </si>
  <si>
    <t>https://dd3ka9h4chfr8.cloudfront.net/image/725136000567/image_bpevob1mb90fp3903e7ojahu6m/-FJPG/109286-002_DET_6.jpg</t>
  </si>
  <si>
    <t>https://dd3ka9h4chfr8.cloudfront.net/image/725136000567/image_mcj8tvjdrh66t78sj1dq7v5b4g/-FJPG/109286-002_DET_7.jpg</t>
  </si>
  <si>
    <t>6.06"</t>
  </si>
  <si>
    <t>18.86"</t>
  </si>
  <si>
    <t>109286-003</t>
  </si>
  <si>
    <t>Eaton Nightstand - Light Oak Resin</t>
  </si>
  <si>
    <t>Light Oak Resin</t>
  </si>
  <si>
    <t>https://dd3ka9h4chfr8.cloudfront.net/image/725136000567/image_ra76n1trfd1e34ffnkugac0v75/-S150x150-FJPG/109286-003_PRM_1.jpg</t>
  </si>
  <si>
    <t>https://dd3ka9h4chfr8.cloudfront.net/image/725136000567/image_j3cseng9d50jd760cldan7au6i/-FJPG/109286-003_FRT_1.jpg</t>
  </si>
  <si>
    <t>https://dd3ka9h4chfr8.cloudfront.net/image/725136000567/image_ra76n1trfd1e34ffnkugac0v75/-FJPG/109286-003_PRM_1.jpg</t>
  </si>
  <si>
    <t>https://dd3ka9h4chfr8.cloudfront.net/image/725136000567/image_7222b8s5lt5cfck1cjou3drj0u/-FJPG/109286-003_SID_1.jpg</t>
  </si>
  <si>
    <t>https://dd3ka9h4chfr8.cloudfront.net/image/725136000567/image_f4du0jm9tp4k94mlv6g5evcu52/-FJPG/109286-003_ESS_1.jpg</t>
  </si>
  <si>
    <t>https://dd3ka9h4chfr8.cloudfront.net/image/725136000567/image_oc6nfgostd41jfas266btjtp1e/-FJPG/109286-003_DET_2.jpg</t>
  </si>
  <si>
    <t>https://dd3ka9h4chfr8.cloudfront.net/image/725136000567/image_jslco11i9139t74spneo8bs607/-FJPG/109286-003_DET_1.jpg</t>
  </si>
  <si>
    <t>https://dd3ka9h4chfr8.cloudfront.net/image/725136000567/image_rglggutka93932cttl3tgbhl1g/-FJPG/109286-003_DET_3.jpg</t>
  </si>
  <si>
    <t>https://dd3ka9h4chfr8.cloudfront.net/image/725136000567/image_ff5nemniut15vbmbd16n7ihq6h/-FJPG/109286-003_OPN_1.jpg</t>
  </si>
  <si>
    <t>https://dd3ka9h4chfr8.cloudfront.net/image/725136000567/image_2scuuqoiih23h49o9l6bnhgu7a/-FJPG/109286-003_DET_4.jpg</t>
  </si>
  <si>
    <t>https://dd3ka9h4chfr8.cloudfront.net/image/725136000567/image_f563obvn5h4g96dsav86957b1o/-FJPG/109286-003_DET_5.jpg</t>
  </si>
  <si>
    <t>https://dd3ka9h4chfr8.cloudfront.net/image/725136000567/image_ku1hd6nuc524j9s7vdrqctjc6i/-FJPG/109286-003_DET_6.jpg</t>
  </si>
  <si>
    <t>https://dd3ka9h4chfr8.cloudfront.net/image/725136000567/image_5l46qb9tn149pcd2f0m5s50j50/-FJPG/109286-003_VIG_1.jpg</t>
  </si>
  <si>
    <t>109337-001</t>
  </si>
  <si>
    <t>Trey Bed - Auburn Poplar</t>
  </si>
  <si>
    <t>A simply stylish platform bed inspired by clean mid-century design, crafted from auburn-finished poplar for a fashion-forward feel.</t>
  </si>
  <si>
    <t>https://dd3ka9h4chfr8.cloudfront.net/image/725136000567/image_0f0rgpcgth4654nic7ola23l0d/-S150x150-FJPG/109337-001_PRM_1.jpg</t>
  </si>
  <si>
    <t>https://dd3ka9h4chfr8.cloudfront.net/image/725136000567/image_fe5kvtqb6d6khfrql1d5gem959/-FJPG/109337-001_FRT_1.jpg</t>
  </si>
  <si>
    <t>https://dd3ka9h4chfr8.cloudfront.net/image/725136000567/image_0f0rgpcgth4654nic7ola23l0d/-FJPG/109337-001_PRM_1.jpg</t>
  </si>
  <si>
    <t>https://dd3ka9h4chfr8.cloudfront.net/image/725136000567/image_bn5dai2uit3itentgcg6psr75o/-FJPG/109337-001_SID_1.jpg</t>
  </si>
  <si>
    <t>https://dd3ka9h4chfr8.cloudfront.net/image/725136000567/image_1l6felhd1p67125kgf1l4trd34/-FJPG/109337-001_ESS_1.jpg</t>
  </si>
  <si>
    <t>https://dd3ka9h4chfr8.cloudfront.net/image/725136000567/image_vf7sfulmu16b18qn96rsafso2s/-FJPG/109337-001_DET_2.jpg</t>
  </si>
  <si>
    <t>https://dd3ka9h4chfr8.cloudfront.net/image/725136000567/image_kt5db7g5c50935jb23v8c8qe4s/-FJPG/109337-001_BCK_1.jpg</t>
  </si>
  <si>
    <t>https://dd3ka9h4chfr8.cloudfront.net/image/725136000567/image_ba43e3gpn10kb6g5ck7pteti1q/-FJPG/109337-001_DET_1.jpg</t>
  </si>
  <si>
    <t>https://dd3ka9h4chfr8.cloudfront.net/image/725136000567/image_3ehek1rd613onc58ma5emsfm2m/-FJPG/109337-001_DET_3.jpg</t>
  </si>
  <si>
    <t>https://dd3ka9h4chfr8.cloudfront.net/image/725136000567/image_0d2nprtg396kfescpvjjq6ps03/-FJPG/109337-001_DET_4.jpg</t>
  </si>
  <si>
    <t>https://dd3ka9h4chfr8.cloudfront.net/image/725136000567/image_m00doig5394i568c79n8gjq00k/-FJPG/109337-001_DET_5.jpg</t>
  </si>
  <si>
    <t>https://dd3ka9h4chfr8.cloudfront.net/image/725136000567/image_abil5f57gd5cr7ocp3s3br3b6i/-FJPG/109337-001_DET_6.jpg</t>
  </si>
  <si>
    <t>https://dd3ka9h4chfr8.cloudfront.net/image/725136000567/image_nmc8j8hefp6b5a75tamrd8ch47/-FJPG/109337-001_DET_7.jpg</t>
  </si>
  <si>
    <t>Footboard, Slats</t>
  </si>
  <si>
    <t>Side Rails, Center Support</t>
  </si>
  <si>
    <t>1.18"</t>
  </si>
  <si>
    <t>61.02"</t>
  </si>
  <si>
    <t>13.19"</t>
  </si>
  <si>
    <t>109337-002</t>
  </si>
  <si>
    <t>https://dd3ka9h4chfr8.cloudfront.net/image/725136000567/image_efvak12h3h0hd1ldqe5ekmcp5e/-S150x150-FJPG/109337-002_PRM_1.jpg</t>
  </si>
  <si>
    <t>https://dd3ka9h4chfr8.cloudfront.net/image/725136000567/image_722ihomb9941d0ohqarshe7173/-FJPG/109337-002_FRT_1.jpg</t>
  </si>
  <si>
    <t>https://dd3ka9h4chfr8.cloudfront.net/image/725136000567/image_efvak12h3h0hd1ldqe5ekmcp5e/-FJPG/109337-002_PRM_1.jpg</t>
  </si>
  <si>
    <t>https://dd3ka9h4chfr8.cloudfront.net/image/725136000567/image_6ci43cbc9l69p377mm6sg8314v/-FJPG/109337-002_SID_1.jpg</t>
  </si>
  <si>
    <t>https://dd3ka9h4chfr8.cloudfront.net/image/725136000567/image_hulkfmvke50gnd35g55pm0qm6n/-FJPG/109337-002_DET_2.jpg</t>
  </si>
  <si>
    <t>https://dd3ka9h4chfr8.cloudfront.net/image/725136000567/image_rs8cpisaap6lj664mjpbjocr6q/-FJPG/109337-002_BCK_1.jpg</t>
  </si>
  <si>
    <t>https://dd3ka9h4chfr8.cloudfront.net/image/725136000567/image_a41h4ijgrp4sd5tngn9e3m2m53/-FJPG/109337-002_DET_1.jpg</t>
  </si>
  <si>
    <t>https://dd3ka9h4chfr8.cloudfront.net/image/725136000567/image_nb192tdcat6874nun3duhml14e/-FJPG/109337-002_DET_3.jpg</t>
  </si>
  <si>
    <t>https://dd3ka9h4chfr8.cloudfront.net/image/725136000567/image_78sv8t1ar90m3bf9sk1ogr5m5o/-FJPG/109337-002_DET_4.jpg</t>
  </si>
  <si>
    <t>https://dd3ka9h4chfr8.cloudfront.net/image/725136000567/image_n18fu4d6fp1hr6ei6vj3dt0706/-FJPG/109337-002_DET_5.jpg</t>
  </si>
  <si>
    <t>https://dd3ka9h4chfr8.cloudfront.net/image/725136000567/image_njjia51n1p7rf7l0n9kkbms94e/-FJPG/109337-002_DET_6.jpg</t>
  </si>
  <si>
    <t>https://dd3ka9h4chfr8.cloudfront.net/image/725136000567/image_lu3cm62asp43r8rh1ai4d4t02h/-FJPG/109337-002_DET_7.jpg</t>
  </si>
  <si>
    <t>109337-003</t>
  </si>
  <si>
    <t>Trey Bed - Black Wash Poplar</t>
  </si>
  <si>
    <t>A simply stylish platform bed inspired by clean mid-century design, crafted from black-washed poplar for a fashion-forward feel.</t>
  </si>
  <si>
    <t>https://dd3ka9h4chfr8.cloudfront.net/image/725136000567/image_3ffj2jfnt918j7uhrqd7fvfa6s/-S150x150-FJPG/109337-003_PRM_1.jpg</t>
  </si>
  <si>
    <t>https://dd3ka9h4chfr8.cloudfront.net/image/725136000567/image_tnkgcrncjp42p3lme9mbm8ie3t/-FJPG/109337-003_FRT_1.jpg</t>
  </si>
  <si>
    <t>https://dd3ka9h4chfr8.cloudfront.net/image/725136000567/image_3ffj2jfnt918j7uhrqd7fvfa6s/-FJPG/109337-003_PRM_1.jpg</t>
  </si>
  <si>
    <t>https://dd3ka9h4chfr8.cloudfront.net/image/725136000567/image_ubjvubeu6t1mtclvv81timf465/-FJPG/109337-003_SID_1.jpg</t>
  </si>
  <si>
    <t>https://dd3ka9h4chfr8.cloudfront.net/image/725136000567/image_cuc37tq9o146dae19nfdngqf0i/-FJPG/109337-003_DET_2.jpg</t>
  </si>
  <si>
    <t>https://dd3ka9h4chfr8.cloudfront.net/image/725136000567/image_1hb6q9i8ap1q73btjfr46pjd27/-FJPG/109337-003_BCK_1.jpg</t>
  </si>
  <si>
    <t>https://dd3ka9h4chfr8.cloudfront.net/image/725136000567/image_oov5553l1d2tv2frhjnd5fen33/-FJPG/109337-003_DET_1.jpg</t>
  </si>
  <si>
    <t>https://dd3ka9h4chfr8.cloudfront.net/image/725136000567/image_mdsh6srv99333auob7shm59b0e/-FJPG/109337-003_DET_3.jpg</t>
  </si>
  <si>
    <t>https://dd3ka9h4chfr8.cloudfront.net/image/725136000567/image_6vso5slo9l2uhdhhfi98tos47c/-FJPG/109337-003_DET_4.jpg</t>
  </si>
  <si>
    <t>https://dd3ka9h4chfr8.cloudfront.net/image/725136000567/image_vb4t2veqap3072p7isc2vvb408/-FJPG/109337-003_DET_5.jpg</t>
  </si>
  <si>
    <t>https://dd3ka9h4chfr8.cloudfront.net/image/725136000567/image_f6p10qm25l77v07odscdarsc6m/-FJPG/109337-003_DET_6.jpg</t>
  </si>
  <si>
    <t>109337-004</t>
  </si>
  <si>
    <t>https://dd3ka9h4chfr8.cloudfront.net/image/725136000567/image_dofuqkpni95onb92gfns8iss3f/-S150x150-FJPG/109337-004_PRM_1.jpg</t>
  </si>
  <si>
    <t>https://dd3ka9h4chfr8.cloudfront.net/image/725136000567/image_52p31pefa91if4du2f8ll0ae3p/-FJPG/109337-004_FRT_1.jpg</t>
  </si>
  <si>
    <t>https://dd3ka9h4chfr8.cloudfront.net/image/725136000567/image_dofuqkpni95onb92gfns8iss3f/-FJPG/109337-004_PRM_1.jpg</t>
  </si>
  <si>
    <t>https://dd3ka9h4chfr8.cloudfront.net/image/725136000567/image_oiiagetr2140h2odohgep2nu1b/-FJPG/109337-004_SID_1.jpg</t>
  </si>
  <si>
    <t>https://dd3ka9h4chfr8.cloudfront.net/image/725136000567/image_sc2h2vfk555un4mbuk5d9lu920/-FJPG/109337-004_DET_2.jpg</t>
  </si>
  <si>
    <t>https://dd3ka9h4chfr8.cloudfront.net/image/725136000567/image_7ko9pmn6050dp76r66l2hfkq27/-FJPG/109337-004_BCK_1.jpg</t>
  </si>
  <si>
    <t>https://dd3ka9h4chfr8.cloudfront.net/image/725136000567/image_auegaa5icd12tahr72iqb5pl4r/-FJPG/109337-004_DET_1.jpg</t>
  </si>
  <si>
    <t>https://dd3ka9h4chfr8.cloudfront.net/image/725136000567/image_02e61ue9th3p9ab2n7ii138k2b/-FJPG/109337-004_DET_3.jpg</t>
  </si>
  <si>
    <t>https://dd3ka9h4chfr8.cloudfront.net/image/725136000567/image_55p3rh3psh4mh8ih7g1at9op63/-FJPG/109337-004_DET_4.jpg</t>
  </si>
  <si>
    <t>https://dd3ka9h4chfr8.cloudfront.net/image/725136000567/image_3d0tcs890h7in1jd156eg0bp14/-FJPG/109337-004_DET_5.jpg</t>
  </si>
  <si>
    <t>https://dd3ka9h4chfr8.cloudfront.net/image/725136000567/image_6b9fj7ated3ht32750621rki54/-FJPG/109337-004_DET_6.jpg</t>
  </si>
  <si>
    <t>https://dd3ka9h4chfr8.cloudfront.net/image/725136000567/image_sb7c9tfe5d59l2cbrctb6afv03/-FJPG/109337-004_VIG_1.jpg</t>
  </si>
  <si>
    <t>109337-005</t>
  </si>
  <si>
    <t>Trey Bed - Dove Poplar</t>
  </si>
  <si>
    <t>A simple platform bed inspired by clean midcentury design, crafted from solid poplar for an organic, fashion-forward feel.</t>
  </si>
  <si>
    <t>https://dd3ka9h4chfr8.cloudfront.net/image/725136000567/image_rudv6ck5kd7br3rpgqbpbm3t1p/-S150x150-FJPG/109337-005_PRM_1.jpg</t>
  </si>
  <si>
    <t>https://dd3ka9h4chfr8.cloudfront.net/image/725136000567/image_uhsmcr44o13kt3n6ico527r27g/-FJPG/109337-005_FRT_1.jpg</t>
  </si>
  <si>
    <t>https://dd3ka9h4chfr8.cloudfront.net/image/725136000567/image_rudv6ck5kd7br3rpgqbpbm3t1p/-FJPG/109337-005_PRM_1.jpg</t>
  </si>
  <si>
    <t>https://dd3ka9h4chfr8.cloudfront.net/image/725136000567/image_lrge8707j149nba5msgoq7ds17/-FJPG/109337-005_SID_1.jpg</t>
  </si>
  <si>
    <t>https://dd3ka9h4chfr8.cloudfront.net/image/725136000567/image_n54g2o1a3p4v98h6eolr6vsm22/-FJPG/109337-005_DET_2.jpg</t>
  </si>
  <si>
    <t>https://dd3ka9h4chfr8.cloudfront.net/image/725136000567/image_dn73ijoedt0st9qvv8m0bv8a2g/-FJPG/109337-005_BCK_1.jpg</t>
  </si>
  <si>
    <t>https://dd3ka9h4chfr8.cloudfront.net/image/725136000567/image_59oqf7kcf53g34t4e34t3f997d/-FJPG/109337-005_DET_1.jpg</t>
  </si>
  <si>
    <t>https://dd3ka9h4chfr8.cloudfront.net/image/725136000567/image_larjig78653vlfpcolqq92tc2v/-FJPG/109337-005_DET_3.jpg</t>
  </si>
  <si>
    <t>https://dd3ka9h4chfr8.cloudfront.net/image/725136000567/image_vbv77ld17967152nvm9aoqv72d/-FJPG/109337-005_DET_4.jpg</t>
  </si>
  <si>
    <t>https://dd3ka9h4chfr8.cloudfront.net/image/725136000567/image_cbtltq172h0dn2gtef7ahsku4r/-FJPG/109337-005_DET_5.jpg</t>
  </si>
  <si>
    <t>https://dd3ka9h4chfr8.cloudfront.net/image/725136000567/image_6f8ah6rle161r002fad44ro203/-FJPG/109337-005_DET_6.jpg</t>
  </si>
  <si>
    <t>https://dd3ka9h4chfr8.cloudfront.net/image/725136000567/image_9eek834mc528teh2s6bdkub172/-FJPG/109337-005_DET_7.jpg</t>
  </si>
  <si>
    <t>https://dd3ka9h4chfr8.cloudfront.net/image/725136000567/image_0u5uhc5j6d5grbc46j19n3g918/-FJPG/109337-005_FRT_2.jpg</t>
  </si>
  <si>
    <t>https://dd3ka9h4chfr8.cloudfront.net/image/725136000567/image_p8s8844r396en9u7asfdiaga15/-FJPG/109337-005_SID_2.jpg</t>
  </si>
  <si>
    <t>https://dd3ka9h4chfr8.cloudfront.net/image/725136000567/image_ssj04ud74h79v2415avn22cv4k/-FJPG/109337-005_PRM_2.jpg</t>
  </si>
  <si>
    <t>Box 1 Headboard</t>
  </si>
  <si>
    <t>Box 2 Footboard</t>
  </si>
  <si>
    <t>Box 3 Side Rails, Center Support</t>
  </si>
  <si>
    <t>109337-006</t>
  </si>
  <si>
    <t>https://dd3ka9h4chfr8.cloudfront.net/image/725136000567/image_6kdmill5850d1ckmfb096df323/-S150x150-FJPG/109337-006_PRM_1.jpg</t>
  </si>
  <si>
    <t>https://dd3ka9h4chfr8.cloudfront.net/image/725136000567/image_r2st2jeff13i74h4voflu2bt0m/-FJPG/109337-006_FRT_1.jpg</t>
  </si>
  <si>
    <t>https://dd3ka9h4chfr8.cloudfront.net/image/725136000567/image_6kdmill5850d1ckmfb096df323/-FJPG/109337-006_PRM_1.jpg</t>
  </si>
  <si>
    <t>https://dd3ka9h4chfr8.cloudfront.net/image/725136000567/image_h8af0luub50ab5p956j0a5h44c/-FJPG/109337-006_SID_1.jpg</t>
  </si>
  <si>
    <t>https://dd3ka9h4chfr8.cloudfront.net/image/725136000567/image_icvj5en9e94qr7ubn2d2uasv2p/-FJPG/109337-006_DET_2.jpg</t>
  </si>
  <si>
    <t>https://dd3ka9h4chfr8.cloudfront.net/image/725136000567/image_9o8rr7hb2h7e942140dlcj4321/-FJPG/109337-006_BCK_1.jpg</t>
  </si>
  <si>
    <t>https://dd3ka9h4chfr8.cloudfront.net/image/725136000567/image_e8gt5067t17kr8iilqt03oiq08/-FJPG/109337-006_DET_1.jpg</t>
  </si>
  <si>
    <t>https://dd3ka9h4chfr8.cloudfront.net/image/725136000567/image_g6qa69i7t922v51cqeaiigus0s/-FJPG/109337-006_DET_3.jpg</t>
  </si>
  <si>
    <t>https://dd3ka9h4chfr8.cloudfront.net/image/725136000567/image_iui1gsqacl44taf8q8pd056s7t/-FJPG/109337-006_DET_4.jpg</t>
  </si>
  <si>
    <t>https://dd3ka9h4chfr8.cloudfront.net/image/725136000567/image_1h1f1usnp972n6861bnmgj4t0i/-FJPG/109337-006_DET_5.jpg</t>
  </si>
  <si>
    <t>https://dd3ka9h4chfr8.cloudfront.net/image/725136000567/image_mfiscfbj2h4536fvq8ncpgk91s/-FJPG/109337-006_DET_6.jpg</t>
  </si>
  <si>
    <t>https://dd3ka9h4chfr8.cloudfront.net/image/725136000567/image_uedc1sruhh4a55hmr4qgim704q/-FJPG/109337-006_DET_7.jpg</t>
  </si>
  <si>
    <t>https://dd3ka9h4chfr8.cloudfront.net/image/725136000567/image_nd4gc88a8905rb7lahpfnnmt6h/-FJPG/109337-006_VIG_1.jpg</t>
  </si>
  <si>
    <t>https://dd3ka9h4chfr8.cloudfront.net/image/725136000567/image_sci2h514p91jv811asck7v6j61/-FJPG/109337-006_SID_2.jpg</t>
  </si>
  <si>
    <t>https://dd3ka9h4chfr8.cloudfront.net/image/725136000567/image_7gq9omsrql4uhd5k5v161jsn40/-FJPG/109337-006_PRM_2.jpg</t>
  </si>
  <si>
    <t>https://dd3ka9h4chfr8.cloudfront.net/image/725136000567/image_i3cg4dbup17278ohu2erftau5m/-FJPG/109337-006_FRT_2.jpg</t>
  </si>
  <si>
    <t>109378-005</t>
  </si>
  <si>
    <t>Inwood Bed - Merino Porcelain</t>
  </si>
  <si>
    <t>Merino Porcelain</t>
  </si>
  <si>
    <t>Bring a billowy look to the bedroom. Oversized pillow-like cushioning creates the headboard for this low-profile bed, for a grand-but-cozy look.</t>
  </si>
  <si>
    <t>https://dd3ka9h4chfr8.cloudfront.net/image/725136000567/image_14dk4t6es13pj7n81bpr6i9f2b/-S150x150-FJPG/109378-005_PRM_1.jpg</t>
  </si>
  <si>
    <t>https://dd3ka9h4chfr8.cloudfront.net/image/725136000567/image_23dp6uk8912bt158mrqccenk6d/-FJPG/109378-005_FRT_1.jpg</t>
  </si>
  <si>
    <t>https://dd3ka9h4chfr8.cloudfront.net/image/725136000567/image_14dk4t6es13pj7n81bpr6i9f2b/-FJPG/109378-005_PRM_1.jpg</t>
  </si>
  <si>
    <t>https://dd3ka9h4chfr8.cloudfront.net/image/725136000567/image_kdsrdbg6216u3ag8ice5t8i80t/-FJPG/109378-005_SID_1.jpg</t>
  </si>
  <si>
    <t>https://dd3ka9h4chfr8.cloudfront.net/image/725136000567/image_k32jrlqdmp6cp1kr0qjar0vi1o/-FJPG/109378-005_ESS_1.jpg</t>
  </si>
  <si>
    <t>https://dd3ka9h4chfr8.cloudfront.net/image/725136000567/image_it92d72o0l0b93jrokjnbr1v69/-FJPG/109378-006_ESS_1.jpg</t>
  </si>
  <si>
    <t>https://dd3ka9h4chfr8.cloudfront.net/image/725136000567/image_9kqvmjhs514apedkav110v6u2t/-FJPG/109378-005_DET_2.jpg</t>
  </si>
  <si>
    <t>https://dd3ka9h4chfr8.cloudfront.net/image/725136000567/image_vdf9ubgqm53f16gusima7oam2m/-FJPG/109378-005_BCK_1.jpg</t>
  </si>
  <si>
    <t>https://dd3ka9h4chfr8.cloudfront.net/image/725136000567/image_6b5orpu95534776rsiap7n541a/-FJPG/109378-005_INF_1.jpg</t>
  </si>
  <si>
    <t>https://dd3ka9h4chfr8.cloudfront.net/image/725136000567/image_sf7a2uv43d541aqj2dmon9oh68/-FJPG/109378-005_DET_1.jpg</t>
  </si>
  <si>
    <t>https://dd3ka9h4chfr8.cloudfront.net/image/725136000567/image_tondsdd9cp5gta5vrq4vv2fa23/-FJPG/109378-005_DET_3.jpg</t>
  </si>
  <si>
    <t>https://dd3ka9h4chfr8.cloudfront.net/image/725136000567/image_at241ih0jl56b83ebik4osd82k/-FJPG/109378-005_DET_4.jpg</t>
  </si>
  <si>
    <t>https://dd3ka9h4chfr8.cloudfront.net/image/725136000567/image_s7esfavkl13ir0geh8o5m5ft16/-FJPG/109378-005_DET_5.jpg</t>
  </si>
  <si>
    <t>https://dd3ka9h4chfr8.cloudfront.net/image/725136000567/image_m22fhv579h4efbv63013s5qe0u/-FJPG/109378-005_DET_6.jpg</t>
  </si>
  <si>
    <t>https://dd3ka9h4chfr8.cloudfront.net/image/725136000567/image_5qglkdhrhl6q304fbo39kf1m7a/-FJPG/109378-005_DET_7.jpg</t>
  </si>
  <si>
    <t>https://dd3ka9h4chfr8.cloudfront.net/image/725136000567/image_6fpgmrgth96kd88t6q0tm15m7v/-FJPG/109378-005_DET_8.jpg</t>
  </si>
  <si>
    <t>https://dd3ka9h4chfr8.cloudfront.net/image/725136000567/image_o75c6gefht6r736hp9u5ks3p0i/-FJPG/109378-005_PRM_2.jpg</t>
  </si>
  <si>
    <t>https://dd3ka9h4chfr8.cloudfront.net/image/725136000567/image_imt934aj8p03ddplvjddtvpe6q/-FJPG/109378-005_SID_2.jpg</t>
  </si>
  <si>
    <t>Footboad/Slat</t>
  </si>
  <si>
    <t>Inwood</t>
  </si>
  <si>
    <t>69.13"</t>
  </si>
  <si>
    <t>43.50"</t>
  </si>
  <si>
    <t>74.80"</t>
  </si>
  <si>
    <t>Fully Upholstered (In selected Colored Material)</t>
  </si>
  <si>
    <t>109378-006</t>
  </si>
  <si>
    <t>https://dd3ka9h4chfr8.cloudfront.net/image/725136000567/image_dp0hj8dne979t9ae34hvr3i75e/-S150x150-FJPG/109378-006_PRM_1.jpg</t>
  </si>
  <si>
    <t>https://dd3ka9h4chfr8.cloudfront.net/image/725136000567/image_ioait17e2d0vdfh5jc2u1som76/-FJPG/109378-006_FRT_1.jpg</t>
  </si>
  <si>
    <t>https://dd3ka9h4chfr8.cloudfront.net/image/725136000567/image_dp0hj8dne979t9ae34hvr3i75e/-FJPG/109378-006_PRM_1.jpg</t>
  </si>
  <si>
    <t>https://dd3ka9h4chfr8.cloudfront.net/image/725136000567/image_idn55hgm1940l0slmq534rt10q/-FJPG/109378-006_SID_1.jpg</t>
  </si>
  <si>
    <t>https://dd3ka9h4chfr8.cloudfront.net/image/725136000567/image_tk1lpqahf93j5e5m7bi8vt8t64/-FJPG/109378-006_DET_2.jpg</t>
  </si>
  <si>
    <t>https://dd3ka9h4chfr8.cloudfront.net/image/725136000567/image_h5h8tkshp16j7ej3v4d4vuc511/-FJPG/109378-006_BCK_1.jpg</t>
  </si>
  <si>
    <t>https://dd3ka9h4chfr8.cloudfront.net/image/725136000567/image_hdc7amd3d919ba79c6g4nsp130/-FJPG/109378-006_INF_1.jpg</t>
  </si>
  <si>
    <t>https://dd3ka9h4chfr8.cloudfront.net/image/725136000567/image_1ah6lpt8ud1plbnbehveug5b3h/-FJPG/109378-006_DET_1.jpg</t>
  </si>
  <si>
    <t>https://dd3ka9h4chfr8.cloudfront.net/image/725136000567/image_f27m9uf4ql2tj0acgodq84fe2b/-FJPG/109378-006_DET_3.jpg</t>
  </si>
  <si>
    <t>https://dd3ka9h4chfr8.cloudfront.net/image/725136000567/image_uauhn7s2ad5qjbnj6opvknn50r/-FJPG/109378-006_DET_4.jpg</t>
  </si>
  <si>
    <t>https://dd3ka9h4chfr8.cloudfront.net/image/725136000567/image_kdv3rgsgqd7s5erdaa090dnm0j/-FJPG/109378-006_DET_5.jpg</t>
  </si>
  <si>
    <t>https://dd3ka9h4chfr8.cloudfront.net/image/725136000567/image_u6saiqtdhd5jv86da9laeck04p/-FJPG/109378-006_DET_6.jpg</t>
  </si>
  <si>
    <t>https://dd3ka9h4chfr8.cloudfront.net/image/725136000567/image_1as0rgvvsd4et4ofoaadp81t0f/-FJPG/109378-006_DET_7.jpg</t>
  </si>
  <si>
    <t>https://dd3ka9h4chfr8.cloudfront.net/image/725136000567/image_eo7vkf02395ip537vda660il18/-FJPG/109378-006_DET_8.jpg</t>
  </si>
  <si>
    <t>85.28"</t>
  </si>
  <si>
    <t>90.94"</t>
  </si>
  <si>
    <t>109378-007</t>
  </si>
  <si>
    <t>Inwood Bed - Surrey Taupe</t>
  </si>
  <si>
    <t>Surrey Taupe</t>
  </si>
  <si>
    <t>Bring a billowy look to the bedroom. Oversized pillow-like cushioning creates the headboard for this low-profile bed, for a sophisticated-while-cozy look.</t>
  </si>
  <si>
    <t>https://dd3ka9h4chfr8.cloudfront.net/image/725136000567/image_n6ivlq7gpd5nt9k1pb7ibhe76o/-S150x150-FJPG/109378-007_PRM_1.jpg</t>
  </si>
  <si>
    <t>https://dd3ka9h4chfr8.cloudfront.net/image/725136000567/image_m04q4hpk8h26femh3ilqahlb20/-FJPG/109378-007_FRT_1.jpg</t>
  </si>
  <si>
    <t>https://dd3ka9h4chfr8.cloudfront.net/image/725136000567/image_n6ivlq7gpd5nt9k1pb7ibhe76o/-FJPG/109378-007_PRM_1.jpg</t>
  </si>
  <si>
    <t>https://dd3ka9h4chfr8.cloudfront.net/image/725136000567/image_ls2f0ae05t1bf2rot8e327290e/-FJPG/109378-007_SID_1.jpg</t>
  </si>
  <si>
    <t>https://dd3ka9h4chfr8.cloudfront.net/image/725136000567/image_j8opo5k3ph7mj48q51jsfg6b3n/-FJPG/109378-007_ESS_1.jpg</t>
  </si>
  <si>
    <t>https://dd3ka9h4chfr8.cloudfront.net/image/725136000567/image_qur77pfvo50o961ituhcfb0r03/-FJPG/109378-007_DET_2.jpg</t>
  </si>
  <si>
    <t>https://dd3ka9h4chfr8.cloudfront.net/image/725136000567/image_j0eafsp8ad35tc1rv8pqp9rr68/-FJPG/109378-007_BCK_1.jpg</t>
  </si>
  <si>
    <t>https://dd3ka9h4chfr8.cloudfront.net/image/725136000567/image_6m2tukm4054ctc86jvnt6jk71l/-FJPG/109378-007_DET_1.jpg</t>
  </si>
  <si>
    <t>https://dd3ka9h4chfr8.cloudfront.net/image/725136000567/image_ssv1ija7ih5sddsbfq0gpvq92p/-FJPG/109378-007_DET_3.jpg</t>
  </si>
  <si>
    <t>https://dd3ka9h4chfr8.cloudfront.net/image/725136000567/image_cfqbkn0rl95lh9un4i5n5j9g72/-FJPG/109378-007_DET_4.jpg</t>
  </si>
  <si>
    <t>https://dd3ka9h4chfr8.cloudfront.net/image/725136000567/image_qcslkng2pp26f75tbbd69sg046/-FJPG/109378-007_DET_5.jpg</t>
  </si>
  <si>
    <t>https://dd3ka9h4chfr8.cloudfront.net/image/725136000567/image_b447vbjt2t5dld4v3s82hit84m/-FJPG/109378-007_DET_6.jpg</t>
  </si>
  <si>
    <t>https://dd3ka9h4chfr8.cloudfront.net/image/725136000567/image_o9uqcinkk535tc6qkbijc5km2m/-FJPG/109378-007_PRM_2.jpg</t>
  </si>
  <si>
    <t>https://dd3ka9h4chfr8.cloudfront.net/image/725136000567/image_r0571ncs392c70umdaucfrtb4r/-FJPG/109378-007_FRT_2.jpg</t>
  </si>
  <si>
    <t>https://dd3ka9h4chfr8.cloudfront.net/image/725136000567/image_vav0arm1jt2ove3ogfnhcdcs4c/-FJPG/109378-007_SID_2.jpg</t>
  </si>
  <si>
    <t>109378-008</t>
  </si>
  <si>
    <t>https://dd3ka9h4chfr8.cloudfront.net/image/725136000567/image_b3rtrqp71l7mt860og7j0ha75i/-S150x150-FJPG/109378-008_PRM_1.jpg</t>
  </si>
  <si>
    <t>https://dd3ka9h4chfr8.cloudfront.net/image/725136000567/image_ok1egpvah90pnekb6jdg139j49/-FJPG/109378-008_FRT_1.jpg</t>
  </si>
  <si>
    <t>https://dd3ka9h4chfr8.cloudfront.net/image/725136000567/image_b3rtrqp71l7mt860og7j0ha75i/-FJPG/109378-008_PRM_1.jpg</t>
  </si>
  <si>
    <t>https://dd3ka9h4chfr8.cloudfront.net/image/725136000567/image_7b2ml0s3kp7hj9ju45trj8q26b/-FJPG/109378-008_SID_1.jpg</t>
  </si>
  <si>
    <t>https://dd3ka9h4chfr8.cloudfront.net/image/725136000567/image_e6s10epo5t71f2af7rbp4oqk5b/-FJPG/109378-008_DET_2.jpg</t>
  </si>
  <si>
    <t>https://dd3ka9h4chfr8.cloudfront.net/image/725136000567/image_14adpjqg912o91c5rdq3h93j5q/-FJPG/109378-008_BCK_1.jpg</t>
  </si>
  <si>
    <t>https://dd3ka9h4chfr8.cloudfront.net/image/725136000567/image_vmt5cl4or10h56bmi0ejm5l67o/-FJPG/109378-008_DET_1.jpg</t>
  </si>
  <si>
    <t>https://dd3ka9h4chfr8.cloudfront.net/image/725136000567/image_i8ll2bbq651sffr4uptsc37b1n/-FJPG/109378-008_DET_3.jpg</t>
  </si>
  <si>
    <t>https://dd3ka9h4chfr8.cloudfront.net/image/725136000567/image_ecahof553h50104vqjkkqr8u52/-FJPG/109378-008_DET_4.jpg</t>
  </si>
  <si>
    <t>https://dd3ka9h4chfr8.cloudfront.net/image/725136000567/image_t238jem6g12gj3ldd1kjmk672v/-FJPG/109378-008_DET_5.jpg</t>
  </si>
  <si>
    <t>https://dd3ka9h4chfr8.cloudfront.net/image/725136000567/image_fr751hur315vh1i2fcvhh8fo3c/-FJPG/109378-008_DET_6.jpg</t>
  </si>
  <si>
    <t>https://dd3ka9h4chfr8.cloudfront.net/image/725136000567/image_9d304vo4kd41p6bm6o5gbjcn78/-FJPG/109378-008_PRM_2.jpg</t>
  </si>
  <si>
    <t>https://dd3ka9h4chfr8.cloudfront.net/image/725136000567/image_r4bs3ibtm959h7t7acni86sm6b/-FJPG/109378-008_FRT_2.jpg</t>
  </si>
  <si>
    <t>https://dd3ka9h4chfr8.cloudfront.net/image/725136000567/image_n42eroso1p3hrb2tu422j0vp16/-FJPG/109378-008_SID_2.jpg</t>
  </si>
  <si>
    <t>109378-009</t>
  </si>
  <si>
    <t>Inwood Bed - Surrey Cocoa</t>
  </si>
  <si>
    <t>https://dd3ka9h4chfr8.cloudfront.net/image/725136000567/image_j0kqgojrvd7qffqrq479k4v66m/-S150x150-FJPG/109378-009_PRM_1.jpg</t>
  </si>
  <si>
    <t>https://dd3ka9h4chfr8.cloudfront.net/image/725136000567/image_f97h9efpn54fv7k5u72mi6n950/-FJPG/109378-009_FRT_1.jpg</t>
  </si>
  <si>
    <t>https://dd3ka9h4chfr8.cloudfront.net/image/725136000567/image_j0kqgojrvd7qffqrq479k4v66m/-FJPG/109378-009_PRM_1.jpg</t>
  </si>
  <si>
    <t>https://dd3ka9h4chfr8.cloudfront.net/image/725136000567/image_8l8gec60it3ad35acqqc2lt75a/-FJPG/109378-009_SID_1.jpg</t>
  </si>
  <si>
    <t>https://dd3ka9h4chfr8.cloudfront.net/image/725136000567/image_3tv866rh95531fmg15frsabn7i/-FJPG/109378-009_ESS.tif</t>
  </si>
  <si>
    <t>https://dd3ka9h4chfr8.cloudfront.net/image/725136000567/image_o9ls3uv6d148v9ic096v90gh1k/-FJPG/109378-009_DET_2.jpg</t>
  </si>
  <si>
    <t>https://dd3ka9h4chfr8.cloudfront.net/image/725136000567/image_ndvt9hvl8d2879rql13jltse29/-FJPG/109378-009_BCK_1.jpg</t>
  </si>
  <si>
    <t>https://dd3ka9h4chfr8.cloudfront.net/image/725136000567/image_kq0tuq9d8t0erf83bt26sdhj63/-FJPG/109378-009_DET_1.jpg</t>
  </si>
  <si>
    <t>https://dd3ka9h4chfr8.cloudfront.net/image/725136000567/image_rhe17ksq9d6jlami8e4jub1a4j/-FJPG/109378-009_DET_3.jpg</t>
  </si>
  <si>
    <t>https://dd3ka9h4chfr8.cloudfront.net/image/725136000567/image_kiirt1fa2911974802vibqo30g/-FJPG/109378-009_DET_4.jpg</t>
  </si>
  <si>
    <t>https://dd3ka9h4chfr8.cloudfront.net/image/725136000567/image_ns9d9bhqkh3up90ufh2588c259/-FJPG/109378-009_DET_5.jpg</t>
  </si>
  <si>
    <t>https://dd3ka9h4chfr8.cloudfront.net/image/725136000567/image_cklgmgfgnh5j19vifh6q3acp3t/-FJPG/109378-009_DET_6.jpg</t>
  </si>
  <si>
    <t>https://dd3ka9h4chfr8.cloudfront.net/image/725136000567/image_ltm9c6s0nt2o1aipr2ihrviv3l/-FJPG/109378-009_DET_7.jpg</t>
  </si>
  <si>
    <t>https://dd3ka9h4chfr8.cloudfront.net/image/725136000567/image_gn8nn63jmt7od7nrvgttsikg52/-FJPG/109378-009_PRM_2.jpg</t>
  </si>
  <si>
    <t>https://dd3ka9h4chfr8.cloudfront.net/image/725136000567/image_n8nrltjgf15470b1me7od3a349/-FJPG/109378-009_FRT_2.jpg</t>
  </si>
  <si>
    <t>https://dd3ka9h4chfr8.cloudfront.net/image/725136000567/image_l5r56shgmt6734stv1294goq54/-FJPG/109378-009_SID_2.jpg</t>
  </si>
  <si>
    <t>Footboard/Slat</t>
  </si>
  <si>
    <t>109378-010</t>
  </si>
  <si>
    <t>https://dd3ka9h4chfr8.cloudfront.net/image/725136000567/image_terlminhol3nb83f2ggidr8a4i/-S150x150-FJPG/109378-010_PRM_1.jpg</t>
  </si>
  <si>
    <t>https://dd3ka9h4chfr8.cloudfront.net/image/725136000567/image_mprtl6n59l4nhdp0722jp0op3l/-FJPG/109378-010_FRT_1.jpg</t>
  </si>
  <si>
    <t>https://dd3ka9h4chfr8.cloudfront.net/image/725136000567/image_terlminhol3nb83f2ggidr8a4i/-FJPG/109378-010_PRM_1.jpg</t>
  </si>
  <si>
    <t>https://dd3ka9h4chfr8.cloudfront.net/image/725136000567/image_345movn9l500r3b9hp0f944e6t/-FJPG/109378-010_SID_1.jpg</t>
  </si>
  <si>
    <t>https://dd3ka9h4chfr8.cloudfront.net/image/725136000567/image_jfg4e08sm12hp0hu5tc2l4da2c/-FJPG/109378-010_DET_2.jpg</t>
  </si>
  <si>
    <t>https://dd3ka9h4chfr8.cloudfront.net/image/725136000567/image_ldkk6t09at7pba1r0icsu1431b/-FJPG/109378-010_BCK_1.jpg</t>
  </si>
  <si>
    <t>https://dd3ka9h4chfr8.cloudfront.net/image/725136000567/image_qggmb7vgl11874orpdih43e17v/-FJPG/109378-010_DET_1.jpg</t>
  </si>
  <si>
    <t>https://dd3ka9h4chfr8.cloudfront.net/image/725136000567/image_l5li0c01md76pbvdo5q063lf3j/-FJPG/109378-010_DET_3.jpg</t>
  </si>
  <si>
    <t>https://dd3ka9h4chfr8.cloudfront.net/image/725136000567/image_tf96h1c3l941n528p2sc3i6677/-FJPG/109378-010_DET_4.jpg</t>
  </si>
  <si>
    <t>https://dd3ka9h4chfr8.cloudfront.net/image/725136000567/image_ld8t7bv0ld5iffsot220u76n6g/-FJPG/109378-010_DET_5.jpg</t>
  </si>
  <si>
    <t>https://dd3ka9h4chfr8.cloudfront.net/image/725136000567/image_2brmub84gp31jfe42bqhglv772/-FJPG/109378-010_DET_6.jpg</t>
  </si>
  <si>
    <t>https://dd3ka9h4chfr8.cloudfront.net/image/725136000567/image_7bo3i8c7vl1kh9apdq821rij6p/-FJPG/109378-010_DET_7.jpg</t>
  </si>
  <si>
    <t>https://dd3ka9h4chfr8.cloudfront.net/image/725136000567/image_eoe2b5b1q9583aih11ot6d655q/-FJPG/109378-010_SID_2.jpg</t>
  </si>
  <si>
    <t>https://dd3ka9h4chfr8.cloudfront.net/image/725136000567/image_i8b4lns7tp5lh48oko9of9fg38/-FJPG/109378-010_FRT_2.jpg</t>
  </si>
  <si>
    <t>https://dd3ka9h4chfr8.cloudfront.net/image/725136000567/image_fsjgrs3inp3417uka6bdc9674j/-FJPG/109378-010_PRM_2.jpg</t>
  </si>
  <si>
    <t>109492-002</t>
  </si>
  <si>
    <t>https://dd3ka9h4chfr8.cloudfront.net/image/725136000567/image_01ov5has654rr61bprn709rk7h/-S150x150-FJPG/109492-002_PRM_1.JPG</t>
  </si>
  <si>
    <t>https://dd3ka9h4chfr8.cloudfront.net/image/725136000567/image_me9kd0cdal7cj0rqfpokpdn90q/-FJPG/109492-002_FRT_1.JPG</t>
  </si>
  <si>
    <t>https://dd3ka9h4chfr8.cloudfront.net/image/725136000567/image_01ov5has654rr61bprn709rk7h/-FJPG/109492-002_PRM_1.JPG</t>
  </si>
  <si>
    <t>https://dd3ka9h4chfr8.cloudfront.net/image/725136000567/image_0bvurf6pfl1rt4f5b047hpl36m/-FJPG/109492-002_SID_1.JPG</t>
  </si>
  <si>
    <t>https://dd3ka9h4chfr8.cloudfront.net/image/725136000567/image_4mkutr046p15v4fi72vs5u8j73/-FJPG/109492-002_ESS_1.jpg</t>
  </si>
  <si>
    <t>https://dd3ka9h4chfr8.cloudfront.net/image/725136000567/image_kd9468ghf94rbdkpqpfkqc3h73/-FJPG/109492-002_DET_2.JPG</t>
  </si>
  <si>
    <t>https://dd3ka9h4chfr8.cloudfront.net/image/725136000567/image_e1ks14vanp31tcpnjijupl3i2b/-FJPG/109492-002_BCK_1.JPG</t>
  </si>
  <si>
    <t>https://dd3ka9h4chfr8.cloudfront.net/image/725136000567/image_apts8lp86t53f7f5nnqifkea78/-FJPG/109492-002_DET_1.JPG</t>
  </si>
  <si>
    <t>https://dd3ka9h4chfr8.cloudfront.net/image/725136000567/image_48tqt8h19l4cbb9i9a4q4tqh1r/-FJPG/109492-002_DET_3.JPG</t>
  </si>
  <si>
    <t>https://dd3ka9h4chfr8.cloudfront.net/image/725136000567/image_nee8lblg0108n58ntknkvlg87h/-FJPG/109492-002_DET_4.JPG</t>
  </si>
  <si>
    <t>https://dd3ka9h4chfr8.cloudfront.net/image/725136000567/image_isno3enol55k3fqslejfnd3311/-FJPG/109492-002_DET_5.JPG</t>
  </si>
  <si>
    <t>https://dd3ka9h4chfr8.cloudfront.net/image/725136000567/image_pm4k39s2d1753507o3kl5ju90g/-FJPG/109492-002_PRM_2.JPG</t>
  </si>
  <si>
    <t>73.75"</t>
  </si>
  <si>
    <t>109492-003</t>
  </si>
  <si>
    <t>This creative take on the classic library sofa is covered in a slightly distressed top-grain leather in warm brown tones and mounted on a solid wood base. Aged bronze nailheads add modernity. Finished with a specially designed formula that creates intentional cracking and distressing for a naturally aged look.</t>
  </si>
  <si>
    <t>https://dd3ka9h4chfr8.cloudfront.net/image/725136000567/image_uu0huhgf5t03t6mo786i8e3n5c/-S150x150-FJPG/109492-003_PRM_1.jpg</t>
  </si>
  <si>
    <t>https://dd3ka9h4chfr8.cloudfront.net/image/725136000567/image_q4ps347iul39b0qtppuav4b00u/-FJPG/109492-003_FRT_1.jpg</t>
  </si>
  <si>
    <t>https://dd3ka9h4chfr8.cloudfront.net/image/725136000567/image_uu0huhgf5t03t6mo786i8e3n5c/-FJPG/109492-003_PRM_1.jpg</t>
  </si>
  <si>
    <t>https://dd3ka9h4chfr8.cloudfront.net/image/725136000567/image_00n297clbd3u96kmvslfmv2k1c/-FJPG/109492-003_SID_1.jpg</t>
  </si>
  <si>
    <t>https://dd3ka9h4chfr8.cloudfront.net/image/725136000567/image_i9dfe517sp5ovag3226gp3r46s/-FJPG/109492-003_ESS_1.jpg</t>
  </si>
  <si>
    <t>https://dd3ka9h4chfr8.cloudfront.net/image/725136000567/image_qq0anoecmh17l20ma65psl6s7j/-FJPG/109492-003_DET_2.jpg</t>
  </si>
  <si>
    <t>https://dd3ka9h4chfr8.cloudfront.net/image/725136000567/image_l3c6invcuh2p7595n5s5btj40p/-FJPG/109492-003_BCK_1.jpg</t>
  </si>
  <si>
    <t>https://dd3ka9h4chfr8.cloudfront.net/image/725136000567/image_25bpq629n505t2g5r7bld8s83j/-FJPG/109492-003_DET_1.jpg</t>
  </si>
  <si>
    <t>https://dd3ka9h4chfr8.cloudfront.net/image/725136000567/image_kqcrs73kl97njdtjbrn65e6i01/-FJPG/109492-003_DET_3.jpg</t>
  </si>
  <si>
    <t>https://dd3ka9h4chfr8.cloudfront.net/image/725136000567/image_s33jkgdqk53t73u54h8ientk24/-FJPG/109492-003_DET_4.jpg</t>
  </si>
  <si>
    <t>https://dd3ka9h4chfr8.cloudfront.net/image/725136000567/image_n85ka4hegl4il4p6sme2safn6c/-FJPG/109492-003_DET_5.jpg</t>
  </si>
  <si>
    <t>109525-009</t>
  </si>
  <si>
    <t>Bloor Sleeper Sofa-95'' - Essence Natural</t>
  </si>
  <si>
    <t>Essence Natural</t>
  </si>
  <si>
    <t>49% Viscose (Rayon)</t>
  </si>
  <si>
    <t>22% Flax/Linen</t>
  </si>
  <si>
    <t>18% Polyester</t>
  </si>
  <si>
    <t>11% Cotton</t>
  </si>
  <si>
    <t>Deep, modern and seductive. A Queen-size sofa bed is covered in a light, durable woven fabric. Pull out with ease for overnight guests.</t>
  </si>
  <si>
    <t>https://dd3ka9h4chfr8.cloudfront.net/image/725136000567/image_udrbtn9av556h7g3l09c8fil04/-S150x150-FJPG/109525-009_PRM_1.jpg</t>
  </si>
  <si>
    <t>https://dd3ka9h4chfr8.cloudfront.net/image/725136000567/image_3ht9cu20qp16ff5il26g1s1a72/-FJPG/109525-009_FRT_1.jpg</t>
  </si>
  <si>
    <t>https://dd3ka9h4chfr8.cloudfront.net/image/725136000567/image_udrbtn9av556h7g3l09c8fil04/-FJPG/109525-009_PRM_1.jpg</t>
  </si>
  <si>
    <t>https://dd3ka9h4chfr8.cloudfront.net/image/725136000567/image_0kaeadq4et3u3epho9i5bqus11/-FJPG/109525-009_SID_1.jpg</t>
  </si>
  <si>
    <t>https://dd3ka9h4chfr8.cloudfront.net/image/725136000567/image_0t1p8m2bqh7pv3gcbjp88hdk45/-FJPG/109525-009_ESS_1.jpg</t>
  </si>
  <si>
    <t>https://dd3ka9h4chfr8.cloudfront.net/image/725136000567/image_486thvobld1ojcungig47t084f/-FJPG/109525-009_BCK_1.jpg</t>
  </si>
  <si>
    <t>https://dd3ka9h4chfr8.cloudfront.net/image/725136000567/image_d02dsbckcd2i374tf5mdajes03/-FJPG/109525-009_TOP_1.jpg</t>
  </si>
  <si>
    <t>https://dd3ka9h4chfr8.cloudfront.net/image/725136000567/image_kialv1cuk16jn7t3ehdinr7d71/-FJPG/109525-009_ESS_2.jpg</t>
  </si>
  <si>
    <t>https://dd3ka9h4chfr8.cloudfront.net/image/725136000567/image_vki8ta54bl1517ilvq215di46g/-FJPG/109525-009_PRM_2.jpg</t>
  </si>
  <si>
    <t>https://dd3ka9h4chfr8.cloudfront.net/image/725136000567/image_hpcunm1qrd71tck9f0lkmkm02q/-FJPG/109525-009_PRM_3.jpg</t>
  </si>
  <si>
    <t>79.00"</t>
  </si>
  <si>
    <t>Sofa Bed</t>
  </si>
  <si>
    <t>86.00"</t>
  </si>
  <si>
    <t>Locking</t>
  </si>
  <si>
    <t>109573-019</t>
  </si>
  <si>
    <t>Emery Sofa - Sapphire Bay</t>
  </si>
  <si>
    <t>Norwood</t>
  </si>
  <si>
    <t>Sapphire Bay</t>
  </si>
  <si>
    <t>Clean, mid-century styling adopts regality via jewel tone upholstery. A velvety blend of polyester and cotton forms tailored lines while slim legs of antique brass add a sophisticated finishing touch.</t>
  </si>
  <si>
    <t>https://dd3ka9h4chfr8.cloudfront.net/image/725136000567/image_ak9625ueid5bd3vgsg3gmbo34g/-S150x150-FJPG/109573-019_PRM_1.jpg</t>
  </si>
  <si>
    <t>https://dd3ka9h4chfr8.cloudfront.net/image/725136000567/image_2ufi6du8ll1avb8n1nj1rb770r/-FJPG/109573-019_FRT_1.jpg</t>
  </si>
  <si>
    <t>https://dd3ka9h4chfr8.cloudfront.net/image/725136000567/image_ak9625ueid5bd3vgsg3gmbo34g/-FJPG/109573-019_PRM_1.jpg</t>
  </si>
  <si>
    <t>https://dd3ka9h4chfr8.cloudfront.net/image/725136000567/image_lgrujn54nl1rpfo6qmdgkgjt76/-FJPG/109573-019_SID_1.jpg</t>
  </si>
  <si>
    <t>https://dd3ka9h4chfr8.cloudfront.net/image/725136000567/image_fduqma48nd5sffmrvbg0ub8j34/-FJPG/109573-019_DET_2.jpg</t>
  </si>
  <si>
    <t>https://dd3ka9h4chfr8.cloudfront.net/image/725136000567/image_qo9v0a3bbh6pre6tk1e85v7u5a/-FJPG/109573-019_BCK_1.jpg</t>
  </si>
  <si>
    <t>https://dd3ka9h4chfr8.cloudfront.net/image/725136000567/image_iinc4fqhmt4ht67rio2nlkak40/-FJPG/109573-019_DET_1.jpg</t>
  </si>
  <si>
    <t>https://dd3ka9h4chfr8.cloudfront.net/image/725136000567/image_put01dk8pl7r35j2gdviotp151/-FJPG/109573-019_DET_3.jpg</t>
  </si>
  <si>
    <t>https://dd3ka9h4chfr8.cloudfront.net/image/725136000567/image_rtqtqamvch2d5dm0evrenc2s4f/-FJPG/109573-019_DET_4.jpg</t>
  </si>
  <si>
    <t>https://dd3ka9h4chfr8.cloudfront.net/image/725136000567/image_abr99385j10off32kh47k3r77s/-FJPG/109573-019_DET_5.jpg</t>
  </si>
  <si>
    <t>https://dd3ka9h4chfr8.cloudfront.net/image/725136000567/image_d2c50eeu9522hf7a3eb7jf2v1d/-FJPG/109573-019_ROM_1.jpg</t>
  </si>
  <si>
    <t>Emery</t>
  </si>
  <si>
    <t>7.75"</t>
  </si>
  <si>
    <t>81.00"</t>
  </si>
  <si>
    <t>109573-020</t>
  </si>
  <si>
    <t>Emery Sofa - Sapphire Birch</t>
  </si>
  <si>
    <t>Sapphire Birch</t>
  </si>
  <si>
    <t>Clean, mid-century styling adopts regality via plush birch-grey upholstery. A soft blend of polyester and cotton forms tailored lines while slim legs of antique brass add a sophisticated finishing touch. Distressed velvet upholstery with subtle highs and lows that change in appearance depending on the direction of the fabric's nap and the lighting in the room.</t>
  </si>
  <si>
    <t>https://dd3ka9h4chfr8.cloudfront.net/image/725136000567/image_e7p214tac55lpfcrgjbgsbqf0i/-S150x150-FJPG/109573-020_PRM_1.jpg</t>
  </si>
  <si>
    <t>https://dd3ka9h4chfr8.cloudfront.net/image/725136000567/image_q77t2596fp7q317fitmfio167i/-FJPG/109573-020_FRT_1.jpg</t>
  </si>
  <si>
    <t>https://dd3ka9h4chfr8.cloudfront.net/image/725136000567/image_e7p214tac55lpfcrgjbgsbqf0i/-FJPG/109573-020_PRM_1.jpg</t>
  </si>
  <si>
    <t>https://dd3ka9h4chfr8.cloudfront.net/image/725136000567/image_hsld3i3bq91kfejvb5p2o8sl7i/-FJPG/109573-020_SID_1.jpg</t>
  </si>
  <si>
    <t>https://dd3ka9h4chfr8.cloudfront.net/image/725136000567/image_r68ik6g1vd3tr996qf63fpa07r/-FJPG/109573-020_ESS_1.jpg</t>
  </si>
  <si>
    <t>https://dd3ka9h4chfr8.cloudfront.net/image/725136000567/image_1v8p4c09mh7q51ho9mahvo1n2m/-FJPG/109573-020_DET_2.jpg</t>
  </si>
  <si>
    <t>https://dd3ka9h4chfr8.cloudfront.net/image/725136000567/image_9ab69movjp7b103h3h15j12v7e/-FJPG/109573-020_BCK_1.jpg</t>
  </si>
  <si>
    <t>https://dd3ka9h4chfr8.cloudfront.net/image/725136000567/image_ch53t24gol061aekl9dampvl18/-FJPG/Color Variance Card_Sapphire Birch.jpg</t>
  </si>
  <si>
    <t>https://dd3ka9h4chfr8.cloudfront.net/image/725136000567/image_n97hcflak94aj5hq85mvjn6m22/-FJPG/109573-020_DET_1.jpg</t>
  </si>
  <si>
    <t>https://dd3ka9h4chfr8.cloudfront.net/image/725136000567/image_qlg54ccj1t791757o7n01jks6k/-FJPG/109573-020_DET_3.jpg</t>
  </si>
  <si>
    <t>https://dd3ka9h4chfr8.cloudfront.net/image/725136000567/image_gfqnmp9gml2mf5ctjcecjb6r1d/-FJPG/109573-020_DET_4.jpg</t>
  </si>
  <si>
    <t>https://dd3ka9h4chfr8.cloudfront.net/image/725136000567/image_e2irpvjom559f6sfe3r0qkr51o/-FJPG/109573-020_DET_5.jpg</t>
  </si>
  <si>
    <t>https://dd3ka9h4chfr8.cloudfront.net/image/725136000567/image_iq7vnln1u91i913q1gqmddts41/-FJPG/109573-020_DET_6.jpg</t>
  </si>
  <si>
    <t>https://dd3ka9h4chfr8.cloudfront.net/image/725136000567/image_q7ht0c8df15tdf1pbaahmuhi2h/-FJPG/109573-020_ROM_1.jpg</t>
  </si>
  <si>
    <t>109573-022</t>
  </si>
  <si>
    <t>Emery Sofa - Sonoma Butterscotch</t>
  </si>
  <si>
    <t>Sonoma Butterscotch</t>
  </si>
  <si>
    <t>Clean, mid-century styling adopts regality via jewel tone upholstery. Rich butterscotch top-grain leather forms tailored lines while slim legs of antique brass add a sophisticated finishing touch.</t>
  </si>
  <si>
    <t>https://dd3ka9h4chfr8.cloudfront.net/image/725136000567/image_6at2sud7sh0k59c94qbvof6f4b/-S150x150-FJPG/109573-022_PRM_1.jpg</t>
  </si>
  <si>
    <t>https://dd3ka9h4chfr8.cloudfront.net/image/725136000567/image_d677fjtajt74f4g3ugstkuj11q/-FJPG/109573-022_FRT_1.jpg</t>
  </si>
  <si>
    <t>https://dd3ka9h4chfr8.cloudfront.net/image/725136000567/image_6at2sud7sh0k59c94qbvof6f4b/-FJPG/109573-022_PRM_1.jpg</t>
  </si>
  <si>
    <t>https://dd3ka9h4chfr8.cloudfront.net/image/725136000567/image_rt99fdp99932h8jpujfppcc06a/-FJPG/109573-022_SID_1.jpg</t>
  </si>
  <si>
    <t>https://dd3ka9h4chfr8.cloudfront.net/image/725136000567/image_oaan47t09p04ha2ag2g7jucj6b/-FJPG/109573-022_DET_2.jpg</t>
  </si>
  <si>
    <t>https://dd3ka9h4chfr8.cloudfront.net/image/725136000567/image_fk4ebd2vt95a91eguqjjm73519/-FJPG/109573-022_BCK_1.jpg</t>
  </si>
  <si>
    <t>https://dd3ka9h4chfr8.cloudfront.net/image/725136000567/image_6bueh4u6td7d1a03f3sufi2m57/-FJPG/109573-022_DET_1.jpg</t>
  </si>
  <si>
    <t>https://dd3ka9h4chfr8.cloudfront.net/image/725136000567/image_hke011r2dl3kl2tbiqmpfa9r3g/-FJPG/109573-022_DET_3.jpg</t>
  </si>
  <si>
    <t>https://dd3ka9h4chfr8.cloudfront.net/image/725136000567/image_7nld22fj4h57h6tlr07eo2rm3j/-FJPG/109573-022_DET_4.jpg</t>
  </si>
  <si>
    <t>https://dd3ka9h4chfr8.cloudfront.net/image/725136000567/image_qpmsufeked6dn1utng61l5p45i/-FJPG/109573-022_DET_5.jpg</t>
  </si>
  <si>
    <t>https://dd3ka9h4chfr8.cloudfront.net/image/725136000567/image_8l7emfe5it79vc33rdvqlajh42/-FJPG/109573-022_ROM_1.jpg</t>
  </si>
  <si>
    <t>109573-024</t>
  </si>
  <si>
    <t>Emery Sofa - Thames Coal</t>
  </si>
  <si>
    <t>Thames Coal</t>
  </si>
  <si>
    <t>Brushed Bronze</t>
  </si>
  <si>
    <t>Clean, mid-century styling adopts modernity via textural upholstery in an inviting cream-infused grey. Tailored lines meet slim legs of bronze-finished aluminum for a sophisticated finishing touch.</t>
  </si>
  <si>
    <t>https://dd3ka9h4chfr8.cloudfront.net/image/725136000567/image_f8gpvo7rs9429ab3t907uete32/-S150x150-FJPG/109573-024_PRM_1.jpg</t>
  </si>
  <si>
    <t>https://dd3ka9h4chfr8.cloudfront.net/image/725136000567/image_v6c0ssncdh3qv57ek8plb6hj00/-FJPG/109573-024_FRT_1.jpg</t>
  </si>
  <si>
    <t>https://dd3ka9h4chfr8.cloudfront.net/image/725136000567/image_f8gpvo7rs9429ab3t907uete32/-FJPG/109573-024_PRM_1.jpg</t>
  </si>
  <si>
    <t>https://dd3ka9h4chfr8.cloudfront.net/image/725136000567/image_d7ppor39d907p211qcg2bcgn2v/-FJPG/109573-024_SID_1.jpg</t>
  </si>
  <si>
    <t>https://dd3ka9h4chfr8.cloudfront.net/image/725136000567/image_b5si56uph52nd8b2kkm69itj45/-FJPG/109573-024_DET_2.jpg</t>
  </si>
  <si>
    <t>https://dd3ka9h4chfr8.cloudfront.net/image/725136000567/image_rl6te75drl11r8cqlcphdmvs5c/-FJPG/109573-024_BCK_1.jpg</t>
  </si>
  <si>
    <t>https://dd3ka9h4chfr8.cloudfront.net/image/725136000567/image_pfbjk0am0p18h5rdnsfoc4uq6u/-FJPG/109573-024_INF_1.jpg</t>
  </si>
  <si>
    <t>https://dd3ka9h4chfr8.cloudfront.net/image/725136000567/image_io8kmgv0s54i7645a4siub217j/-FJPG/109573-024_DET_1.jpg</t>
  </si>
  <si>
    <t>https://dd3ka9h4chfr8.cloudfront.net/image/725136000567/image_lkl98kvmbl0rb8bkp89191ub0s/-FJPG/109573-024_DET_3.jpg</t>
  </si>
  <si>
    <t>https://dd3ka9h4chfr8.cloudfront.net/image/725136000567/image_mv9bt7ip4t1ofcnfelulpkh643/-FJPG/109573-024_DET_4.jpg</t>
  </si>
  <si>
    <t>https://dd3ka9h4chfr8.cloudfront.net/image/725136000567/image_2rbass80el5v1fujnb1s8l4h1j/-FJPG/109573-024_DET_5.jpg</t>
  </si>
  <si>
    <t>https://dd3ka9h4chfr8.cloudfront.net/image/725136000567/image_rcou48gh5d0n9aonp0458ibk77/-FJPG/109573-024_DET_6.jpg</t>
  </si>
  <si>
    <t>https://dd3ka9h4chfr8.cloudfront.net/image/725136000567/image_bqq0ajvp5d3hn4lm8366kt3v27/-FJPG/109573-024_DET_7.jpg</t>
  </si>
  <si>
    <t>221246-005</t>
  </si>
  <si>
    <t>Harper Extension Dining Table - Fawn Oak Veneer</t>
  </si>
  <si>
    <t>Patten</t>
  </si>
  <si>
    <t>Fawn Oak Veneer</t>
  </si>
  <si>
    <t>Umber Bronze</t>
  </si>
  <si>
    <t>Style with flexibility. This rectangular tabletop is finished with cone-tapered legs and iron detailing, speaking to Scandinavian modernism. Expansion from 84" to 104" means more space when company calls.</t>
  </si>
  <si>
    <t>https://dd3ka9h4chfr8.cloudfront.net/image/725136000567/image_nh1ml6hgg91pda65hre9db9n71/-S150x150-FJPG/221246-005_PRM_1.jpg</t>
  </si>
  <si>
    <t>https://dd3ka9h4chfr8.cloudfront.net/image/725136000567/image_833f6puecl1qbcu79sajmdqb1v/-FJPG/221246-005_FRT_1.jpg</t>
  </si>
  <si>
    <t>https://dd3ka9h4chfr8.cloudfront.net/image/725136000567/image_nh1ml6hgg91pda65hre9db9n71/-FJPG/221246-005_PRM_1.jpg</t>
  </si>
  <si>
    <t>https://dd3ka9h4chfr8.cloudfront.net/image/725136000567/image_ab13j74kp54jl024k4o9mukj0o/-FJPG/221246-005_SID_1.jpg</t>
  </si>
  <si>
    <t>https://dd3ka9h4chfr8.cloudfront.net/image/725136000567/image_omj8l4ev8h30n46s90qdsdcn5r/-FJPG/221246-005_DET_2.jpg</t>
  </si>
  <si>
    <t>https://dd3ka9h4chfr8.cloudfront.net/image/725136000567/image_co37nai5ll6gr4l5ai896hrl4u/-FJPG/221246-005_DET_1.jpg</t>
  </si>
  <si>
    <t>https://dd3ka9h4chfr8.cloudfront.net/image/725136000567/image_ntt9p8t6t53ple4omdiuqhac5r/-FJPG/221246-005_DET_3.jpg</t>
  </si>
  <si>
    <t>https://dd3ka9h4chfr8.cloudfront.net/image/725136000567/image_10vgh4gu0l7d1310lq761cbp1t/-FJPG/221246-005_OPN_1.jpg</t>
  </si>
  <si>
    <t>https://dd3ka9h4chfr8.cloudfront.net/image/725136000567/image_nlbtvsh6oh2j5bb71imv60qf5m/-FJPG/221246-005_TOP_1.jpg</t>
  </si>
  <si>
    <t>https://dd3ka9h4chfr8.cloudfront.net/image/725136000567/image_84huna2mfd7pp7f746r958rk0n/-FJPG/221246-005_DET_4.jpg</t>
  </si>
  <si>
    <t>https://dd3ka9h4chfr8.cloudfront.net/image/725136000567/image_kanve0eni96c13a1nl9qtrku35/-FJPG/221246-005_DET_5.jpg</t>
  </si>
  <si>
    <t>https://dd3ka9h4chfr8.cloudfront.net/image/725136000567/image_e70v5oee6t4v34dfht5223da1u/-FJPG/221246-005_DET_6.jpg</t>
  </si>
  <si>
    <t>https://dd3ka9h4chfr8.cloudfront.net/image/725136000567/image_ev8g9emoed0k18v1il87l5e96v/-FJPG/221246-005_DET_7.jpg</t>
  </si>
  <si>
    <t>https://dd3ka9h4chfr8.cloudfront.net/image/725136000567/image_ha0me3q48d2b3248n897lj597q/-FJPG/221246-005_PRM_2.jpg</t>
  </si>
  <si>
    <t>Extension</t>
  </si>
  <si>
    <t>Harper</t>
  </si>
  <si>
    <t>27.80"</t>
  </si>
  <si>
    <t>75.24"</t>
  </si>
  <si>
    <t>1.22"</t>
  </si>
  <si>
    <t>28.74"</t>
  </si>
  <si>
    <t>3.17"</t>
  </si>
  <si>
    <t>Four Leg</t>
  </si>
  <si>
    <t>104.02"</t>
  </si>
  <si>
    <t>84.02"</t>
  </si>
  <si>
    <t>Metal Ball Bearing</t>
  </si>
  <si>
    <t>Self-Storing</t>
  </si>
  <si>
    <t>223086-006</t>
  </si>
  <si>
    <t>Brennan Dining Table - Dove Oak</t>
  </si>
  <si>
    <t>Dove Oak</t>
  </si>
  <si>
    <t>Ombre Antique Pewter</t>
  </si>
  <si>
    <t>Wide, plank-style legs of pewter-finishedÂ steel features an ombre pattern for eye-catching effect, with an intersecting beam adding intrigue. A rectangular soft-grey oak tabletop flaunts its materials' natural graining, for a richly organic takeaway.</t>
  </si>
  <si>
    <t>https://dd3ka9h4chfr8.cloudfront.net/image/725136000567/image_4qis8ass3917951lvhc0l6gh7d/-S150x150-FJPG/223086-006_PRM_1.jpg</t>
  </si>
  <si>
    <t>https://dd3ka9h4chfr8.cloudfront.net/image/725136000567/image_65dtm1vcqd5td1rpimic7cv708/-FJPG/223086-006_FRT_1.jpg</t>
  </si>
  <si>
    <t>https://dd3ka9h4chfr8.cloudfront.net/image/725136000567/image_4qis8ass3917951lvhc0l6gh7d/-FJPG/223086-006_PRM_1.jpg</t>
  </si>
  <si>
    <t>https://dd3ka9h4chfr8.cloudfront.net/image/725136000567/image_uker38h2o95mv1agbcqp7rgj1i/-FJPG/223086-006_SID_1.jpg</t>
  </si>
  <si>
    <t>https://dd3ka9h4chfr8.cloudfront.net/image/725136000567/image_stf48lpkc144fcglrplimf9e7b/-FJPG/223086-006_DET_1.jpg</t>
  </si>
  <si>
    <t>https://dd3ka9h4chfr8.cloudfront.net/image/725136000567/image_tpe9allald3t155utjmjij503m/-FJPG/223086-006_DET_3.jpg</t>
  </si>
  <si>
    <t>https://dd3ka9h4chfr8.cloudfront.net/image/725136000567/image_o41m0h13tp2in8fpveqnqmag1l/-FJPG/223086-006_DET_4.jpg</t>
  </si>
  <si>
    <t>https://dd3ka9h4chfr8.cloudfront.net/image/725136000567/image_gqkeuic6u91552gf2377plmh60/-FJPG/223086-006_DET_5.jpg</t>
  </si>
  <si>
    <t>https://dd3ka9h4chfr8.cloudfront.net/image/725136000567/image_prch77t9ah33jfrr4468d32p5s/-FJPG/223086-006_DET_6.jpg</t>
  </si>
  <si>
    <t>https://dd3ka9h4chfr8.cloudfront.net/image/725136000567/image_li919at0654k7e36013iojfl3i/-FJPG/223086-006_DET_7.jpg</t>
  </si>
  <si>
    <t>https://dd3ka9h4chfr8.cloudfront.net/image/725136000567/image_2sg99fif09097ehltb7gjlll3j/-FJPG/223086-006_DET_8.jpg</t>
  </si>
  <si>
    <t>https://dd3ka9h4chfr8.cloudfront.net/image/725136000567/image_9cnmlubsc91478oqis897i3n14/-FJPG/223086-006_VIG_1.jpg</t>
  </si>
  <si>
    <t>https://dd3ka9h4chfr8.cloudfront.net/image/725136000567/image_7b9c4gv2kt57j3r5mnhvucqp7n/-FJPG/223086-006_VIG_2.jpg</t>
  </si>
  <si>
    <t>Stretcher</t>
  </si>
  <si>
    <t>Brennan</t>
  </si>
  <si>
    <t>28.38"</t>
  </si>
  <si>
    <t>223315-003</t>
  </si>
  <si>
    <t>Fawkes Bench - Sonoma Black</t>
  </si>
  <si>
    <t>Townsend</t>
  </si>
  <si>
    <t>A uniquely modern statement piece inspired by the functional mid-centuryâ€“style telephone bench, top-grain leather seating features a sliding tray of solid beechwood â€“ the perfect place for a favorite book or cocktail. Great in the entryway or living room.</t>
  </si>
  <si>
    <t>https://dd3ka9h4chfr8.cloudfront.net/image/725136000567/image_5fdd591jrd0cr1e7ec84anlg4b/-S150x150-FJPG/223315-003_PRM_1.jpg</t>
  </si>
  <si>
    <t>https://dd3ka9h4chfr8.cloudfront.net/image/725136000567/image_th6o1oomld40l7vlem794q8d14/-FJPG/223315-003_FRT_1.jpg</t>
  </si>
  <si>
    <t>https://dd3ka9h4chfr8.cloudfront.net/image/725136000567/image_5fdd591jrd0cr1e7ec84anlg4b/-FJPG/223315-003_PRM_1.jpg</t>
  </si>
  <si>
    <t>https://dd3ka9h4chfr8.cloudfront.net/image/725136000567/image_vmj8vajcj55fhdkrggoolu9e3u/-FJPG/223315-003_SID_1.jpg</t>
  </si>
  <si>
    <t>https://dd3ka9h4chfr8.cloudfront.net/image/725136000567/image_nuatga9v9912v8ujk9s67bfs0r/-FJPG/223315-003_DET_2.jpg</t>
  </si>
  <si>
    <t>https://dd3ka9h4chfr8.cloudfront.net/image/725136000567/image_rkg5acc3ol36le2jsi4vl9nb1d/-FJPG/223315-003_DET_1.jpg</t>
  </si>
  <si>
    <t>https://dd3ka9h4chfr8.cloudfront.net/image/725136000567/image_2nv3k0o8tl7ov814mat8l5a031/-FJPG/223315-003_DET_3.jpg</t>
  </si>
  <si>
    <t>https://dd3ka9h4chfr8.cloudfront.net/image/725136000567/image_42skvic7054ov3eg6kih3pio0l/-FJPG/223315-003_DET_4.jpg</t>
  </si>
  <si>
    <t>https://dd3ka9h4chfr8.cloudfront.net/image/725136000567/image_22tf68vmrl1790j3hp2uonqc1i/-FJPG/223315-003_DET_5.jpg</t>
  </si>
  <si>
    <t>https://dd3ka9h4chfr8.cloudfront.net/image/725136000567/image_ndj0nthb556ndfn3mhllfhl97j/-FJPG/223315-003_DET_9.tif</t>
  </si>
  <si>
    <t>https://dd3ka9h4chfr8.cloudfront.net/image/725136000567/image_20fv0givil6trds653cn2i6r0s/-FJPG/223315-003_ESS.tif</t>
  </si>
  <si>
    <t>17.13"</t>
  </si>
  <si>
    <t>Fawkes</t>
  </si>
  <si>
    <t>55.12"</t>
  </si>
  <si>
    <t>223318-002</t>
  </si>
  <si>
    <t>Joanna Chaise - Sonoma Black</t>
  </si>
  <si>
    <t>Vintage Sienna</t>
  </si>
  <si>
    <t>With deep, dramatic tufting and removable bolster pillow, top-grain leather offers a plush place to sit, in an entryway or at the foot of a bed. Moderate seat height at 18.25".</t>
  </si>
  <si>
    <t>https://dd3ka9h4chfr8.cloudfront.net/image/725136000567/image_hpem5lvmbl17bbdj1fejhj5443/-S150x150-FJPG/223318-002_PRM_1.jpg</t>
  </si>
  <si>
    <t>https://dd3ka9h4chfr8.cloudfront.net/image/725136000567/image_12vlarmh5p4657jmasmvqfma7b/-FJPG/223318-002_FRT_1.jpg</t>
  </si>
  <si>
    <t>https://dd3ka9h4chfr8.cloudfront.net/image/725136000567/image_hpem5lvmbl17bbdj1fejhj5443/-FJPG/223318-002_PRM_1.jpg</t>
  </si>
  <si>
    <t>https://dd3ka9h4chfr8.cloudfront.net/image/725136000567/image_ipi3ttllk95cj3cnb6lmk4et2d/-FJPG/223318-002_SID_1.jpg</t>
  </si>
  <si>
    <t>https://dd3ka9h4chfr8.cloudfront.net/image/725136000567/image_b0tnbs34th7a5ct1uotua14640/-FJPG/223318-002_ESS.tif</t>
  </si>
  <si>
    <t>https://dd3ka9h4chfr8.cloudfront.net/image/725136000567/image_rj8n82fj6d0ojer4c5d8582m7k/-FJPG/223318-002_DET_2.jpg</t>
  </si>
  <si>
    <t>https://dd3ka9h4chfr8.cloudfront.net/image/725136000567/image_a24l77km097jj0q9ku6ikel31b/-FJPG/223318-002_BCK_1.jpg</t>
  </si>
  <si>
    <t>https://dd3ka9h4chfr8.cloudfront.net/image/725136000567/image_pojnh8nqqt7s17e57dv28oj57d/-FJPG/223318-002_DET_1.jpg</t>
  </si>
  <si>
    <t>https://dd3ka9h4chfr8.cloudfront.net/image/725136000567/image_5qo4c3t6jh22hbflo62d68330o/-FJPG/223318-002_DET_3.jpg</t>
  </si>
  <si>
    <t>https://dd3ka9h4chfr8.cloudfront.net/image/725136000567/image_hkkt5kq6ot791d88f6a6u61l7c/-FJPG/223318-002_DET_4.jpg</t>
  </si>
  <si>
    <t>https://dd3ka9h4chfr8.cloudfront.net/image/725136000567/image_t45vipluq14et1af63lmminl48/-FJPG/223318-002_PRM_2.jpg</t>
  </si>
  <si>
    <t>18.31"</t>
  </si>
  <si>
    <t>70.87"</t>
  </si>
  <si>
    <t>Joanna</t>
  </si>
  <si>
    <t>26.38"</t>
  </si>
  <si>
    <t>69.29"</t>
  </si>
  <si>
    <t>Removable Casing</t>
  </si>
  <si>
    <t>223406-052</t>
  </si>
  <si>
    <t>Braden Recliner - Sattley Fog</t>
  </si>
  <si>
    <t>Sattley Fog</t>
  </si>
  <si>
    <t>Rubbed Sienna Brown</t>
  </si>
  <si>
    <t>https://dd3ka9h4chfr8.cloudfront.net/image/725136000567/image_g5b1vl6os90hv4hd3m7ep9u575/-S150x150-FJPG/223406-052_PRM_1.jpg</t>
  </si>
  <si>
    <t>https://dd3ka9h4chfr8.cloudfront.net/image/725136000567/image_pkbnmkor7h3un1juv9gvkogu5l/-FJPG/223406-052_FRT_1.jpg</t>
  </si>
  <si>
    <t>https://dd3ka9h4chfr8.cloudfront.net/image/725136000567/image_g5b1vl6os90hv4hd3m7ep9u575/-FJPG/223406-052_PRM_1.jpg</t>
  </si>
  <si>
    <t>https://dd3ka9h4chfr8.cloudfront.net/image/725136000567/image_e286c7rsp13r96slibtp7d8i0d/-FJPG/223406-052_SID_1.jpg</t>
  </si>
  <si>
    <t>https://dd3ka9h4chfr8.cloudfront.net/image/725136000567/image_gpe4kqaq5t24100c4kjdoinp6f/-FJPG/223406-052_ESS.tif</t>
  </si>
  <si>
    <t>https://dd3ka9h4chfr8.cloudfront.net/image/725136000567/image_p251gguch56vh7orkr5n4qqn0k/-FJPG/223406-052_DET_2.jpg</t>
  </si>
  <si>
    <t>https://dd3ka9h4chfr8.cloudfront.net/image/725136000567/image_luh114tv0p7i1crdj8l6ujma59/-FJPG/223406-052_BCK_1.jpg</t>
  </si>
  <si>
    <t>https://dd3ka9h4chfr8.cloudfront.net/image/725136000567/image_b9uvvoie094cfeh4tao82vbv2t/-FJPG/223406-052_DET_1.jpg</t>
  </si>
  <si>
    <t>https://dd3ka9h4chfr8.cloudfront.net/image/725136000567/image_bu77mhnj0h7cjf37mihvh4tl2r/-FJPG/223406-052_DET_3.jpg</t>
  </si>
  <si>
    <t>https://dd3ka9h4chfr8.cloudfront.net/image/725136000567/image_6ra0btfaed3s74ij101npc2o3m/-FJPG/223406-052_DET_4.jpg</t>
  </si>
  <si>
    <t>https://dd3ka9h4chfr8.cloudfront.net/image/725136000567/image_gsivofk5r56jteuqnf7oo7ks1l/-FJPG/223406-052_DET_5.jpg</t>
  </si>
  <si>
    <t>https://dd3ka9h4chfr8.cloudfront.net/image/725136000567/image_oni4ueond57e9bl0mmoji4qs3t/-FJPG/223406-052_DET_6.jpg</t>
  </si>
  <si>
    <t>https://dd3ka9h4chfr8.cloudfront.net/image/725136000567/image_pq5sk36ktt2bfe0e6ealbvn62n/-FJPG/223406-052_DET_7.jpg</t>
  </si>
  <si>
    <t>https://dd3ka9h4chfr8.cloudfront.net/image/725136000567/image_i89e3k0rgh2bt75k2ucst8vm65/-FJPG/223406-052_DET_8.jpg</t>
  </si>
  <si>
    <t>https://dd3ka9h4chfr8.cloudfront.net/image/725136000567/image_64l47saf0d12f1ao6v5apbf02c/-FJPG/223406-052_DET_9.tif</t>
  </si>
  <si>
    <t>https://dd3ka9h4chfr8.cloudfront.net/image/725136000567/image_g2vmrovcqt1b3c1b9fd7g7j228/-FJPG/223406-052_DET_9.jpg</t>
  </si>
  <si>
    <t>https://dd3ka9h4chfr8.cloudfront.net/image/725136000567/image_p0a7mgkult66l6t1vmg7aslo0l/-FJPG/223406-052_PRM_2.jpg</t>
  </si>
  <si>
    <t>https://dd3ka9h4chfr8.cloudfront.net/image/725136000567/image_tfd15s30dt7s70ubk60jpopl4u/-FJPG/223406-052_SID_2.jpg</t>
  </si>
  <si>
    <t>https://dd3ka9h4chfr8.cloudfront.net/image/725136000567/image_6o99tc4sdp2af42mdhihsabh0v/-FJPG/223406-052_FRT_2.jpg</t>
  </si>
  <si>
    <t>https://dd3ka9h4chfr8.cloudfront.net/image/725136000567/image_a1kl4bkonh6rr8s3o47bc5jo3n/-FJPG/223406-052_BCK_2.jpg</t>
  </si>
  <si>
    <t>https://dd3ka9h4chfr8.cloudfront.net/image/725136000567/image_o1l3misp2p5330031uavudsh0f/-FJPG/223406-052_ESS_2.tif</t>
  </si>
  <si>
    <t>L Box : H1 38.25"h2 27.5"</t>
  </si>
  <si>
    <t>57.00"</t>
  </si>
  <si>
    <t>223550-001</t>
  </si>
  <si>
    <t>Bane Bookshelf - Smoked Pine</t>
  </si>
  <si>
    <t>Smoked Pine</t>
  </si>
  <si>
    <t>Black Iron</t>
  </si>
  <si>
    <t>Made from smoked solid pine, five specious shelves are ready to store favorite books and treasures. Removable ledges slant at an angle on each shelf, for even-better display of art- and coffee table-size books, plus a decorative-only slide ladder.</t>
  </si>
  <si>
    <t>https://dd3ka9h4chfr8.cloudfront.net/image/725136000567/image_bt6ti6ka4p32bcjh61ofr9de3g/-S150x150-FJPG/223550-001_PRM_1.jpg</t>
  </si>
  <si>
    <t>https://dd3ka9h4chfr8.cloudfront.net/image/725136000567/image_d2f4id2pkl1s9877vb7d0vtf4o/-FJPG/223550-001_FRT_1.jpg</t>
  </si>
  <si>
    <t>https://dd3ka9h4chfr8.cloudfront.net/image/725136000567/image_bt6ti6ka4p32bcjh61ofr9de3g/-FJPG/223550-001_PRM_1.jpg</t>
  </si>
  <si>
    <t>https://dd3ka9h4chfr8.cloudfront.net/image/725136000567/image_va9rbikn3t5d18i5gt48l90l2t/-FJPG/223550-001_SID_1.jpg</t>
  </si>
  <si>
    <t>https://dd3ka9h4chfr8.cloudfront.net/image/725136000567/image_5oibh0q1o54e12tr3m1a4ov460/-FJPG/223550-001_ESS.tif</t>
  </si>
  <si>
    <t>https://dd3ka9h4chfr8.cloudfront.net/image/725136000567/image_ehckm1noct51tf1q8ircvra745/-FJPG/223550-001_BCK_1.jpg</t>
  </si>
  <si>
    <t>https://dd3ka9h4chfr8.cloudfront.net/image/725136000567/image_48tbcodjp51ppdrn9utufe7t6k/-FJPG/223550-001_DET_1.jpg</t>
  </si>
  <si>
    <t>https://dd3ka9h4chfr8.cloudfront.net/image/725136000567/image_4spskj5o254p32q0ho7un6c73b/-FJPG/223550-001_DET_3.jpg</t>
  </si>
  <si>
    <t>https://dd3ka9h4chfr8.cloudfront.net/image/725136000567/image_00c1lvivv12aj3sh3ha3roha5o/-FJPG/223550-001_OPN_1.jpg</t>
  </si>
  <si>
    <t>https://dd3ka9h4chfr8.cloudfront.net/image/725136000567/image_qch2pk192t083450s6ja29sd2b/-FJPG/223550-001_DET_4.jpg</t>
  </si>
  <si>
    <t>https://dd3ka9h4chfr8.cloudfront.net/image/725136000567/image_rk6etqdp8t6uvb099tsd1tas6f/-FJPG/223550-001_DET_5.jpg</t>
  </si>
  <si>
    <t>https://dd3ka9h4chfr8.cloudfront.net/image/725136000567/image_u0dpabid7t5er4k51pvqlgur4b/-FJPG/223550-001_DET_6.jpg</t>
  </si>
  <si>
    <t>https://dd3ka9h4chfr8.cloudfront.net/image/725136000567/image_uqe4avntkl0uf9scl5pdid3n6d/-FJPG/223550-001_DET_7.jpg</t>
  </si>
  <si>
    <t>https://dd3ka9h4chfr8.cloudfront.net/image/725136000567/image_a9ol1l8rm568v40e8r6606aa2l/-FJPG/223550-001_DET_8.jpg</t>
  </si>
  <si>
    <t>https://dd3ka9h4chfr8.cloudfront.net/image/725136000567/image_lbe6egs4g14g7foaahatejnp1l/-FJPG/223550-001_ROM_2.jpg</t>
  </si>
  <si>
    <t>https://dd3ka9h4chfr8.cloudfront.net/image/725136000567/image_0313744nal6df8kgq2i0kej87t/-FJPG/223550-001_VIG_1.jpg</t>
  </si>
  <si>
    <t>Bane</t>
  </si>
  <si>
    <t>223615-001</t>
  </si>
  <si>
    <t>Avett Coffee Table Set - Bleached Guanacaste Oyster</t>
  </si>
  <si>
    <t>Bleached Guanacaste Oyster</t>
  </si>
  <si>
    <t>Thick Oyster Cut Guanacaste Veneer</t>
  </si>
  <si>
    <t>Natural beauty - total novelty. Oyster-cut Guanacaste forms kidney-shaped coffee tables in varied heights, creating a beautifully layered look. Visible veneer rings speak to woods' natural graining, while a dark gunmetal-finished base provides clean contrast to the whole look. Tables sold separately or as a set. Tall table measures 49.5"x24"x15.75"; short table measures 49.5"x24"x11.75".</t>
  </si>
  <si>
    <t>https://dd3ka9h4chfr8.cloudfront.net/image/725136000567/image_l5e1kjapel4fl7pmn59j0a716m/-S150x150-FJPG/223615-001_PRM_1.jpg</t>
  </si>
  <si>
    <t>https://dd3ka9h4chfr8.cloudfront.net/image/725136000567/image_9oonflkemp2d9d9ug1uct34t70/-FJPG/223615-001_FRT_1.jpg</t>
  </si>
  <si>
    <t>https://dd3ka9h4chfr8.cloudfront.net/image/725136000567/image_l5e1kjapel4fl7pmn59j0a716m/-FJPG/223615-001_PRM_1.jpg</t>
  </si>
  <si>
    <t>https://dd3ka9h4chfr8.cloudfront.net/image/725136000567/image_g9ka8eogi91vt4fd4o62011a50/-FJPG/223615-001_SID_1.jpg</t>
  </si>
  <si>
    <t>https://dd3ka9h4chfr8.cloudfront.net/image/725136000567/image_a81ldt5vt90vvcdbntg2bpcd3h/-FJPG/223615-001_ESS_1.jpg</t>
  </si>
  <si>
    <t>https://dd3ka9h4chfr8.cloudfront.net/image/725136000567/image_7g58af6p4p2ff66uqt9p7r6o1l/-FJPG/223615-001_DET_2.jpg</t>
  </si>
  <si>
    <t>https://dd3ka9h4chfr8.cloudfront.net/image/725136000567/image_o93gks5nqh3pr86ntbvbodlb4a/-FJPG/223615-001_BCK_1.jpg</t>
  </si>
  <si>
    <t>https://dd3ka9h4chfr8.cloudfront.net/image/725136000567/image_de7oheer1p2mlertr21gdg3o78/-FJPG/223615-001_DET_1.jpg</t>
  </si>
  <si>
    <t>https://dd3ka9h4chfr8.cloudfront.net/image/725136000567/image_3ejquvqjn12l9e329k78c5v038/-FJPG/223615-001_DET_3.jpg</t>
  </si>
  <si>
    <t>https://dd3ka9h4chfr8.cloudfront.net/image/725136000567/image_eubts20m7t275dgp13l0pnti5o/-FJPG/223615-001_TOP_1.jpg</t>
  </si>
  <si>
    <t>https://dd3ka9h4chfr8.cloudfront.net/image/725136000567/image_utlhdt3bkl7m30knic88751721/-FJPG/223615-001_DET_4.jpg</t>
  </si>
  <si>
    <t>https://dd3ka9h4chfr8.cloudfront.net/image/725136000567/image_r31lkvf5k94lp0qjtvt4mqd32m/-FJPG/223615-001_DET_5.jpg</t>
  </si>
  <si>
    <t>https://dd3ka9h4chfr8.cloudfront.net/image/725136000567/image_dmig6sgctl0ejddjedad4ep00v/-FJPG/223615-001_DET_6.jpg</t>
  </si>
  <si>
    <t>https://dd3ka9h4chfr8.cloudfront.net/image/725136000567/image_kcgcbauhdl1ehfse8nfnn1vn00/-FJPG/223615-001_DET_7.jpg</t>
  </si>
  <si>
    <t>https://dd3ka9h4chfr8.cloudfront.net/image/725136000567/image_jvl9f0mbp91un1q8r92o4udd62/-FJPG/223615-001_DET_10.jpg</t>
  </si>
  <si>
    <t>https://dd3ka9h4chfr8.cloudfront.net/image/725136000567/image_tsvj8jtcd14kh9mq4c7q0gcr7b/-FJPG/223615-001_DET_11.jpg</t>
  </si>
  <si>
    <t>https://dd3ka9h4chfr8.cloudfront.net/image/725136000567/image_bn9nq2dv2t61ld3anakss0o93n/-FJPG/223615-001_DET_12.jpg</t>
  </si>
  <si>
    <t>https://dd3ka9h4chfr8.cloudfront.net/image/725136000567/image_kcailt4rgl7377bprd1gl0b540/-FJPG/223615-001_DET_13.jpg</t>
  </si>
  <si>
    <t>https://dd3ka9h4chfr8.cloudfront.net/image/725136000567/image_tehhurk64d3ir88qek02b9ib6b/-FJPG/223615-001_DET_14.jpg</t>
  </si>
  <si>
    <t>https://dd3ka9h4chfr8.cloudfront.net/image/725136000567/image_ut3vthcmbl1999285pdqm2tk1i/-FJPG/223615-001_DET_15.jpg</t>
  </si>
  <si>
    <t>Tall Piece</t>
  </si>
  <si>
    <t>Short Piece</t>
  </si>
  <si>
    <t>Avett</t>
  </si>
  <si>
    <t>223615-002</t>
  </si>
  <si>
    <t>Avett Coffee Table Set - Smoked Guanacaste Oyster</t>
  </si>
  <si>
    <t>Smoked Guanacaste Oyster</t>
  </si>
  <si>
    <t>Natural beauty. Total novelty. Oyster-cut Guanacaste forms kidney-shaped coffee tables in varied heights, creating a beautifully layered look. Visible veneer rings speak to woods' natural graining, with a dark gunmetal-finished base. Tables sold separately or as a set. Tall table measures 49.5"x24"x15.75"; short table measures 49.5"x24"x11.75".</t>
  </si>
  <si>
    <t>https://dd3ka9h4chfr8.cloudfront.net/image/725136000567/image_rc811pq0cp0aj92nmiotncsp32/-S150x150-FJPG/223615-002_PRM_1.jpg</t>
  </si>
  <si>
    <t>https://dd3ka9h4chfr8.cloudfront.net/image/725136000567/image_rqe48ndpt50rtcj3f8gu9a0j1j/-FJPG/223615-002_FRT_1.jpg</t>
  </si>
  <si>
    <t>https://dd3ka9h4chfr8.cloudfront.net/image/725136000567/image_rc811pq0cp0aj92nmiotncsp32/-FJPG/223615-002_PRM_1.jpg</t>
  </si>
  <si>
    <t>https://dd3ka9h4chfr8.cloudfront.net/image/725136000567/image_p6cutp7b6d0u1eq62ba5dbn653/-FJPG/223615-002_SID_1.jpg</t>
  </si>
  <si>
    <t>https://dd3ka9h4chfr8.cloudfront.net/image/725136000567/image_rstd0gu7dt60da2o0ui9jsk650/-FJPG/223615-002_ESS_1.jpg</t>
  </si>
  <si>
    <t>https://dd3ka9h4chfr8.cloudfront.net/image/725136000567/image_ouc0d6ihkl079d0ktq96752l63/-FJPG/223615-002_BCK_1.jpg</t>
  </si>
  <si>
    <t>https://dd3ka9h4chfr8.cloudfront.net/image/725136000567/image_j8nu5qsm6911f87f43kukpd92q/-FJPG/223615-002_DET_1.jpg</t>
  </si>
  <si>
    <t>https://dd3ka9h4chfr8.cloudfront.net/image/725136000567/image_p4uv3jida97rfc1iu7oihi3r5h/-FJPG/223615-002_DET_3.jpg</t>
  </si>
  <si>
    <t>https://dd3ka9h4chfr8.cloudfront.net/image/725136000567/image_220thscpup74l6ir0k2hl96u68/-FJPG/223615-002_DET_4.jpg</t>
  </si>
  <si>
    <t>https://dd3ka9h4chfr8.cloudfront.net/image/725136000567/image_f6qf0mkpdl44r02or3i66rpv1i/-FJPG/223615-002_DET_5.jpg</t>
  </si>
  <si>
    <t>https://dd3ka9h4chfr8.cloudfront.net/image/725136000567/image_ttlmfjlugp3f10sqe3hdod6j50/-FJPG/223615-002_DET_6.jpg</t>
  </si>
  <si>
    <t>https://dd3ka9h4chfr8.cloudfront.net/image/725136000567/image_n5kc0ttl651er68mto8atbt95l/-FJPG/223615-002_DET_7.jpg</t>
  </si>
  <si>
    <t>223616-001</t>
  </si>
  <si>
    <t>Bates Bunching Table - Caramel Oak Veneer</t>
  </si>
  <si>
    <t>Caramel Oak Veneer</t>
  </si>
  <si>
    <t>Natural Yukas</t>
  </si>
  <si>
    <t>Thick Oyster Cut Oak Veneer</t>
  </si>
  <si>
    <t>Thick Eucalyptus Veneer</t>
  </si>
  <si>
    <t>Visible oyster cutting lends naturally beautiful depth to a stepped bunching table of natural yukas and caramel-colored oak.</t>
  </si>
  <si>
    <t>https://dd3ka9h4chfr8.cloudfront.net/image/725136000567/image_g2rn8q036d4lvd50meg1eakt7c/-S150x150-FJPG/223616-001_PRM_1.jpg</t>
  </si>
  <si>
    <t>https://dd3ka9h4chfr8.cloudfront.net/image/725136000567/image_m5np4f14711hfcd26rljq1m85n/-FJPG/223616-001_FRT_1.jpg</t>
  </si>
  <si>
    <t>https://dd3ka9h4chfr8.cloudfront.net/image/725136000567/image_g2rn8q036d4lvd50meg1eakt7c/-FJPG/223616-001_PRM_1.jpg</t>
  </si>
  <si>
    <t>https://dd3ka9h4chfr8.cloudfront.net/image/725136000567/image_7hkjr26db10np2j8dq8i78312n/-FJPG/223616-001_SID_1.jpg</t>
  </si>
  <si>
    <t>https://dd3ka9h4chfr8.cloudfront.net/image/725136000567/image_efk73p0tsd7s9bgokf3c60ee1l/-FJPG/223616-001_ESS_1.jpg</t>
  </si>
  <si>
    <t>https://dd3ka9h4chfr8.cloudfront.net/image/725136000567/image_c5eidodvst2bd85cer6rap0p2o/-FJPG/223616-001_DET_2.jpg</t>
  </si>
  <si>
    <t>https://dd3ka9h4chfr8.cloudfront.net/image/725136000567/image_mrrgicslb56bb4svv3frismb25/-FJPG/223616-001_BCK_1.jpg</t>
  </si>
  <si>
    <t>https://dd3ka9h4chfr8.cloudfront.net/image/725136000567/image_h3hfr0d3ah0anbg7jgd3cv2l0r/-FJPG/223616-001_DET_1.jpg</t>
  </si>
  <si>
    <t>https://dd3ka9h4chfr8.cloudfront.net/image/725136000567/image_209kvskff50496o37stlh76841/-FJPG/223616-001_DET_3.jpg</t>
  </si>
  <si>
    <t>https://dd3ka9h4chfr8.cloudfront.net/image/725136000567/image_09efhdiqh94br7kq6jhr217d29/-FJPG/223616-001_TOP_1.jpg</t>
  </si>
  <si>
    <t>https://dd3ka9h4chfr8.cloudfront.net/image/725136000567/image_2cb4elrq516atfh8hvq2eo0s4u/-FJPG/223616-001_DET_4.jpg</t>
  </si>
  <si>
    <t>https://dd3ka9h4chfr8.cloudfront.net/image/725136000567/image_t8rj97afc90d95duoe8dj15l2r/-FJPG/223616-001_DET_5.jpg</t>
  </si>
  <si>
    <t>https://dd3ka9h4chfr8.cloudfront.net/image/725136000567/image_e4u97hjdqh1pjdaaaidiijqm3e/-FJPG/223616-001_PRM_2.jpg</t>
  </si>
  <si>
    <t>Bates</t>
  </si>
  <si>
    <t>223619-001</t>
  </si>
  <si>
    <t>Bingham Coffee Table - Rustic Oak Veneer</t>
  </si>
  <si>
    <t>Rustic Oak Veneer</t>
  </si>
  <si>
    <t>Distressed Iron</t>
  </si>
  <si>
    <t>An organic-spirited statement piece. A drum-style coffee table of distressed iron rests within a sculptural cradle base of rustic, character-rich oak with beautiful highs and lows.</t>
  </si>
  <si>
    <t>https://dd3ka9h4chfr8.cloudfront.net/image/725136000567/image_lr619bj0fp5rrbb2bvcdo0t72j/-S150x150-FJPG/223619-001_PRM_1.jpg</t>
  </si>
  <si>
    <t>https://dd3ka9h4chfr8.cloudfront.net/image/725136000567/image_ib8jgskc6p2e72flus1fcfud66/-FJPG/223619-001_FRT_1.jpg</t>
  </si>
  <si>
    <t>https://dd3ka9h4chfr8.cloudfront.net/image/725136000567/image_lr619bj0fp5rrbb2bvcdo0t72j/-FJPG/223619-001_PRM_1.jpg</t>
  </si>
  <si>
    <t>https://dd3ka9h4chfr8.cloudfront.net/image/725136000567/image_6uncj8cos17bhbrm2gspumtb25/-FJPG/223619-001_SID_1.jpg</t>
  </si>
  <si>
    <t>https://dd3ka9h4chfr8.cloudfront.net/image/725136000567/image_67fpacpce52t1de8814a360m1o/-FJPG/223619-001_ESS_1.jpg</t>
  </si>
  <si>
    <t>https://dd3ka9h4chfr8.cloudfront.net/image/725136000567/image_6nkrjc72f53dren2f0kv7c123c/-FJPG/223619-001_DET_2.jpg</t>
  </si>
  <si>
    <t>https://dd3ka9h4chfr8.cloudfront.net/image/725136000567/image_bq4rrasqdt40v1id7gomli887s/-FJPG/223619-001_DET_1.jpg</t>
  </si>
  <si>
    <t>https://dd3ka9h4chfr8.cloudfront.net/image/725136000567/image_9oik2jrta142r9903ceo0msn38/-FJPG/223619-001_DET_3.jpg</t>
  </si>
  <si>
    <t>https://dd3ka9h4chfr8.cloudfront.net/image/725136000567/image_c6mcbhstit3slc9r74dlqdhp2h/-FJPG/223619-001_TOP_1.jpg</t>
  </si>
  <si>
    <t>https://dd3ka9h4chfr8.cloudfront.net/image/725136000567/image_v567n75j796gd4nulas6s3e87l/-FJPG/223619-001_DET_4.jpg</t>
  </si>
  <si>
    <t>https://dd3ka9h4chfr8.cloudfront.net/image/725136000567/image_3ps81qr9397ud17sb21ml2h86k/-FJPG/223619-001_DET_5.jpg</t>
  </si>
  <si>
    <t>https://dd3ka9h4chfr8.cloudfront.net/image/725136000567/image_nigdtcrp9h2jh56uunuq5loh3h/-FJPG/223619-001_DET_6.jpg</t>
  </si>
  <si>
    <t>https://dd3ka9h4chfr8.cloudfront.net/image/725136000567/image_k23pr3u6ct7tp1as5as4bpo971/-FJPG/223619-001_ROM_1.jpg</t>
  </si>
  <si>
    <t>Bingham</t>
  </si>
  <si>
    <t>9.13"</t>
  </si>
  <si>
    <t>41.38"</t>
  </si>
  <si>
    <t>2.13"</t>
  </si>
  <si>
    <t>8.63"</t>
  </si>
  <si>
    <t>223619-002</t>
  </si>
  <si>
    <t>An organic-spirited statement piece. A drum-style coffee table of character-rich oak and veneers rests within a sculptural cradle base of matching rustic oak with beautiful highs and lows.</t>
  </si>
  <si>
    <t>https://dd3ka9h4chfr8.cloudfront.net/image/725136000567/image_j6ssi532s501vcg1dlngjojk5u/-S150x150-FJPG/223619-002_PRM_1.jpg</t>
  </si>
  <si>
    <t>https://dd3ka9h4chfr8.cloudfront.net/image/725136000567/image_am6er8l2pl7vneskd6b44dnm42/-FJPG/223619-002_FRT_1.jpg</t>
  </si>
  <si>
    <t>https://dd3ka9h4chfr8.cloudfront.net/image/725136000567/image_j6ssi532s501vcg1dlngjojk5u/-FJPG/223619-002_PRM_1.jpg</t>
  </si>
  <si>
    <t>https://dd3ka9h4chfr8.cloudfront.net/image/725136000567/image_n765n1r5p10t7ctffgn7sgo23g/-FJPG/223619-002_ESS_1.jpg</t>
  </si>
  <si>
    <t>https://dd3ka9h4chfr8.cloudfront.net/image/725136000567/image_dffipp53nh2ah68aknq91fk63v/-FJPG/223619-002_DET_2.jpg</t>
  </si>
  <si>
    <t>https://dd3ka9h4chfr8.cloudfront.net/image/725136000567/image_cq357ska0t4n77n677pvsfoq50/-FJPG/223619-002_DET_1.jpg</t>
  </si>
  <si>
    <t>https://dd3ka9h4chfr8.cloudfront.net/image/725136000567/image_ucj018mhg96bf4gmdj9258lf3c/-FJPG/223619-002_DET_3.jpg</t>
  </si>
  <si>
    <t>https://dd3ka9h4chfr8.cloudfront.net/image/725136000567/image_0optd2hvdt1dt15pqivtbjg91l/-FJPG/223619-002_DET_4.jpg</t>
  </si>
  <si>
    <t>https://dd3ka9h4chfr8.cloudfront.net/image/725136000567/image_llapojhjut0n1fiou8qcjolc2l/-FJPG/223619-002_DET_5.jpg</t>
  </si>
  <si>
    <t>https://dd3ka9h4chfr8.cloudfront.net/image/725136000567/image_enc4g2ibdd46nahrbfhtj7aq2i/-FJPG/223619-002_DET_7.jpg</t>
  </si>
  <si>
    <t>223620-001</t>
  </si>
  <si>
    <t>Bingham End Table - Rustic Oak Veneer</t>
  </si>
  <si>
    <t>An organic-spirited statement piece. A round tabletop of distressed iron rests within a sculptural cradle base of rustic, character-rich oak with beautiful highs and lows.</t>
  </si>
  <si>
    <t>https://dd3ka9h4chfr8.cloudfront.net/image/725136000567/image_vqm6ssa12t4ft9654vqsnqfd3u/-S150x150-FJPG/223620-001_PRM_1.jpg</t>
  </si>
  <si>
    <t>https://dd3ka9h4chfr8.cloudfront.net/image/725136000567/image_nb09l8a02h3nv04mlr0fqolt3v/-FJPG/223620-001_FRT_1.jpg</t>
  </si>
  <si>
    <t>https://dd3ka9h4chfr8.cloudfront.net/image/725136000567/image_vqm6ssa12t4ft9654vqsnqfd3u/-FJPG/223620-001_PRM_1.jpg</t>
  </si>
  <si>
    <t>https://dd3ka9h4chfr8.cloudfront.net/image/725136000567/image_fl3cuqf1n976tcj24rbt8s4m20/-FJPG/223620-001_SID_1.jpg</t>
  </si>
  <si>
    <t>https://dd3ka9h4chfr8.cloudfront.net/image/725136000567/image_4qbeq9s5fd5r52kn6i17llev3k/-FJPG/223620-001_ESS.tif</t>
  </si>
  <si>
    <t>https://dd3ka9h4chfr8.cloudfront.net/image/725136000567/image_n6slkrg2gd2cpe6oa4q1o5ll60/-FJPG/223620-001_DET_2.jpg</t>
  </si>
  <si>
    <t>https://dd3ka9h4chfr8.cloudfront.net/image/725136000567/image_htpapa59710or8sau6ku3jkq2k/-FJPG/223620-001_DET_1.jpg</t>
  </si>
  <si>
    <t>https://dd3ka9h4chfr8.cloudfront.net/image/725136000567/image_el2iqhvrol1et0o0v8mu6g486d/-FJPG/223620-001_DET_3.jpg</t>
  </si>
  <si>
    <t>https://dd3ka9h4chfr8.cloudfront.net/image/725136000567/image_2u9gdc3j815pp3r4p6bha0ln22/-FJPG/223620-001_TOP_1.jpg</t>
  </si>
  <si>
    <t>https://dd3ka9h4chfr8.cloudfront.net/image/725136000567/image_641lbpjng10q75oc3ssvelk31s/-FJPG/223620-001_DET_4.jpg</t>
  </si>
  <si>
    <t>https://dd3ka9h4chfr8.cloudfront.net/image/725136000567/image_0e998n8rq110n6qohgvdmmm70l/-FJPG/223620-001_DET_5.jpg</t>
  </si>
  <si>
    <t>11.94"</t>
  </si>
  <si>
    <t>223620-002</t>
  </si>
  <si>
    <t>https://dd3ka9h4chfr8.cloudfront.net/image/725136000567/image_5eeed7690t33t0149arepfgr30/-S150x150-FJPG/223620-002_PRM_1.jpg</t>
  </si>
  <si>
    <t>https://dd3ka9h4chfr8.cloudfront.net/image/725136000567/image_klb3kpbbsp7uf6s2ar8m1t912c/-FJPG/223620-002_FRT_1.jpg</t>
  </si>
  <si>
    <t>https://dd3ka9h4chfr8.cloudfront.net/image/725136000567/image_5eeed7690t33t0149arepfgr30/-FJPG/223620-002_PRM_1.jpg</t>
  </si>
  <si>
    <t>https://dd3ka9h4chfr8.cloudfront.net/image/725136000567/image_fc1me0ed8p1vn2prh8qpcoen3l/-FJPG/223620-002_ESS.tif</t>
  </si>
  <si>
    <t>https://dd3ka9h4chfr8.cloudfront.net/image/725136000567/image_j6ddckh2r13k9ehvl7o81ima2v/-FJPG/223620-002_DET_2.jpg</t>
  </si>
  <si>
    <t>https://dd3ka9h4chfr8.cloudfront.net/image/725136000567/image_f23o8quocd36v65r79kk2n8b5p/-FJPG/223620-002_DET_1.jpg</t>
  </si>
  <si>
    <t>https://dd3ka9h4chfr8.cloudfront.net/image/725136000567/image_msip3bl2dh5u38g794uj80rk3s/-FJPG/223620-002_DET_3.jpg</t>
  </si>
  <si>
    <t>https://dd3ka9h4chfr8.cloudfront.net/image/725136000567/image_hk6ice3ndl4jvdt67toct44n4p/-FJPG/223620-002_DET_4.jpg</t>
  </si>
  <si>
    <t>https://dd3ka9h4chfr8.cloudfront.net/image/725136000567/image_cvua24o8tl3a5ft16k1m1fso4p/-FJPG/223620-002_DET_5.jpg</t>
  </si>
  <si>
    <t>https://dd3ka9h4chfr8.cloudfront.net/image/725136000567/image_r24nd3vs3t6cvf9i1jpg2s710u/-FJPG/223620-002_DET_6.jpg</t>
  </si>
  <si>
    <t>223621-001</t>
  </si>
  <si>
    <t>Bingham Console Table - Rustic Oak Veneer</t>
  </si>
  <si>
    <t>An organic-spirited statement piece. With thick, wide proportions, a rectangular console table of distressed iron tops an intersecting base of rustic, character-rich oak with beautiful highs and lows.</t>
  </si>
  <si>
    <t>https://dd3ka9h4chfr8.cloudfront.net/image/725136000567/image_akvrpnl7u932v5bv6of4el2a1q/-S150x150-FJPG/223621-001_PRM_1.jpg</t>
  </si>
  <si>
    <t>https://dd3ka9h4chfr8.cloudfront.net/image/725136000567/image_fsj13g128p0pne0bg28see480l/-FJPG/223621-001_FRT_1.jpg</t>
  </si>
  <si>
    <t>https://dd3ka9h4chfr8.cloudfront.net/image/725136000567/image_akvrpnl7u932v5bv6of4el2a1q/-FJPG/223621-001_PRM_1.jpg</t>
  </si>
  <si>
    <t>https://dd3ka9h4chfr8.cloudfront.net/image/725136000567/image_pub523mddl6ohco6kcmsv3bt05/-FJPG/223621-001_SID_1.jpg</t>
  </si>
  <si>
    <t>https://dd3ka9h4chfr8.cloudfront.net/image/725136000567/image_s9mfj962c50opf97ebtl7dlo75/-FJPG/223621-001_ESS_1.jpg</t>
  </si>
  <si>
    <t>https://dd3ka9h4chfr8.cloudfront.net/image/725136000567/image_hq6hqv1rj109n2asjimtnstq63/-FJPG/223621-001_DET_2.jpg</t>
  </si>
  <si>
    <t>https://dd3ka9h4chfr8.cloudfront.net/image/725136000567/image_44do4vbjqd0df84njcngmnht3e/-FJPG/223621-001_DET_1.jpg</t>
  </si>
  <si>
    <t>https://dd3ka9h4chfr8.cloudfront.net/image/725136000567/image_6jg6ilko0l25r4q06onfir793j/-FJPG/223621-001_DET_3.jpg</t>
  </si>
  <si>
    <t>https://dd3ka9h4chfr8.cloudfront.net/image/725136000567/image_poaitbqm5116n78u5pgeiv5c6q/-FJPG/223621-001_DET_4.jpg</t>
  </si>
  <si>
    <t>https://dd3ka9h4chfr8.cloudfront.net/image/725136000567/image_fah38k6qqp61l8b15ijqvtld14/-FJPG/223621-001_DET_5.jpg</t>
  </si>
  <si>
    <t>https://dd3ka9h4chfr8.cloudfront.net/image/725136000567/image_ipdp6h8lrh24r4etdld1f5887f/-FJPG/223621-001_DET_6.jpg</t>
  </si>
  <si>
    <t>https://dd3ka9h4chfr8.cloudfront.net/image/725136000567/image_7av1l783at2fb08er18m214a1l/-FJPG/223621-001_DET_7.jpg</t>
  </si>
  <si>
    <t>https://dd3ka9h4chfr8.cloudfront.net/image/725136000567/image_6jbu98v8vt3hjb5hssout14r53/-FJPG/223621-001_DET_8.jpg</t>
  </si>
  <si>
    <t>https://dd3ka9h4chfr8.cloudfront.net/image/725136000567/image_tmk1hn4lpt0u5er832hg691j16/-FJPG/223621-001_ROM_1.jpg</t>
  </si>
  <si>
    <t>https://dd3ka9h4chfr8.cloudfront.net/image/725136000567/image_adk7bm1nbl275bd6eidml23o1g/-FJPG/223621-001_PRM_2.jpg</t>
  </si>
  <si>
    <t>51.50"</t>
  </si>
  <si>
    <t>223749-001</t>
  </si>
  <si>
    <t>Ten roomy shelves are ready to store favorite books and treasures, made with smoked solid pine suited for any space. Removable ledges slant at an angle on each shelf for a better display of art and coffee table-size books, plus an optional slide ladder (for decorative use only) to complete the look.</t>
  </si>
  <si>
    <t>https://dd3ka9h4chfr8.cloudfront.net/image/725136000567/image_dlc7u1jrnh0uj1c9tnk3qhql5b/-S150x150-FJPG/223749-001_PRM_1.jpg</t>
  </si>
  <si>
    <t>https://dd3ka9h4chfr8.cloudfront.net/image/725136000567/image_gdgn750u4918la7uk941s6rv4m/-FJPG/223749-001_FRT_1.jpg</t>
  </si>
  <si>
    <t>https://dd3ka9h4chfr8.cloudfront.net/image/725136000567/image_dlc7u1jrnh0uj1c9tnk3qhql5b/-FJPG/223749-001_PRM_1.jpg</t>
  </si>
  <si>
    <t>https://dd3ka9h4chfr8.cloudfront.net/image/725136000567/image_ncuh70v4ol12n988leqo928q26/-FJPG/223749-001_SID_1.jpg</t>
  </si>
  <si>
    <t>https://dd3ka9h4chfr8.cloudfront.net/image/725136000567/image_qo3o2m4m590pp2ptlf8mfoil6l/-FJPG/223749-001_ESS_1.jpg</t>
  </si>
  <si>
    <t>https://dd3ka9h4chfr8.cloudfront.net/image/725136000567/image_fomebd9kep1754d1ttiokln51q/-FJPG/223749-001_DET_2.jpg</t>
  </si>
  <si>
    <t>https://dd3ka9h4chfr8.cloudfront.net/image/725136000567/image_mubdflr8ih2lp55388ho53k95q/-FJPG/223749-001_BCK_1.jpg</t>
  </si>
  <si>
    <t>https://dd3ka9h4chfr8.cloudfront.net/image/725136000567/image_0tv2psnrb95edbkbs9270q7l7e/-FJPG/223749-001_DET_1.jpg</t>
  </si>
  <si>
    <t>https://dd3ka9h4chfr8.cloudfront.net/image/725136000567/image_0bsttheprh76v36crldlelsk72/-FJPG/223749-001_DET_3.jpg</t>
  </si>
  <si>
    <t>https://dd3ka9h4chfr8.cloudfront.net/image/725136000567/image_va0k511b291edch65t34p2dt6k/-FJPG/223749-001_OPN_1.jpg</t>
  </si>
  <si>
    <t>https://dd3ka9h4chfr8.cloudfront.net/image/725136000567/image_oif7a4de516dl8lcib7s3fks7b/-FJPG/223749-001_DET_4.jpg</t>
  </si>
  <si>
    <t>https://dd3ka9h4chfr8.cloudfront.net/image/725136000567/image_kcbt04ibnl4vhfjh9adjip1f1n/-FJPG/223749-001_DET_5.jpg</t>
  </si>
  <si>
    <t>https://dd3ka9h4chfr8.cloudfront.net/image/725136000567/image_eo571il03516f10c7i9j269k4v/-FJPG/223749-001_DET_6.jpg</t>
  </si>
  <si>
    <t>https://dd3ka9h4chfr8.cloudfront.net/image/725136000567/image_47v2a2jsk95ul4hvqbcqkg374h/-FJPG/223749-001_PRM_2.jpg</t>
  </si>
  <si>
    <t>https://dd3ka9h4chfr8.cloudfront.net/image/725136000567/image_r57g2advvh0o7230v1o0fpmd7a/-FJPG/223749-001_FRT_2.jpg</t>
  </si>
  <si>
    <t>https://dd3ka9h4chfr8.cloudfront.net/image/725136000567/image_618b091d117sf98b053sokmv38/-FJPG/223749-001_PRM_3.jpg</t>
  </si>
  <si>
    <t>Double</t>
  </si>
  <si>
    <t>223750-001</t>
  </si>
  <si>
    <t>Made from smoked solid pine, three side-by-side bookshelves, each with five spacious shelves, are ready to store favorite books and treasures. Removable ledges slant at an angle on each shelf, for even-better display of art and coffee table-size books, plus an optional slide ladder (for decorative use only) to complete the look.</t>
  </si>
  <si>
    <t>https://dd3ka9h4chfr8.cloudfront.net/image/725136000567/image_7gpsgd8gcd47v8f8cll0urlj79/-S150x150-FJPG/223750-001_PRM_1.jpg</t>
  </si>
  <si>
    <t>https://dd3ka9h4chfr8.cloudfront.net/image/725136000567/image_7r8ef119s53mt6o5403spkc93t/-FJPG/223750-001_FRT_1.jpg</t>
  </si>
  <si>
    <t>https://dd3ka9h4chfr8.cloudfront.net/image/725136000567/image_7gpsgd8gcd47v8f8cll0urlj79/-FJPG/223750-001_PRM_1.jpg</t>
  </si>
  <si>
    <t>https://dd3ka9h4chfr8.cloudfront.net/image/725136000567/image_ho9b3pulet3cd5m82p4ec07g17/-FJPG/223750-001_SID_1.jpg</t>
  </si>
  <si>
    <t>https://dd3ka9h4chfr8.cloudfront.net/image/725136000567/image_trajevcjkd55j4jbcbr2r0sj1m/-FJPG/223750-001_BCK_1.jpg</t>
  </si>
  <si>
    <t>https://dd3ka9h4chfr8.cloudfront.net/image/725136000567/image_k8ale0egtd0b3a1rvqkc2bv35h/-FJPG/223750-001_DET_1.jpg</t>
  </si>
  <si>
    <t>https://dd3ka9h4chfr8.cloudfront.net/image/725136000567/image_pkdb20cjup71r3iuvvivihel5j/-FJPG/223750-001_DET_3.jpg</t>
  </si>
  <si>
    <t>https://dd3ka9h4chfr8.cloudfront.net/image/725136000567/image_887gg461ld36b40kirajpapr3b/-FJPG/223750-001_OPN_1.jpg</t>
  </si>
  <si>
    <t>https://dd3ka9h4chfr8.cloudfront.net/image/725136000567/image_lk2osgpjml64b80c4up0k9ru03/-FJPG/223750-001_DET_4.jpg</t>
  </si>
  <si>
    <t>https://dd3ka9h4chfr8.cloudfront.net/image/725136000567/image_t40g1hnr7177n2bv2qs1dtjb6n/-FJPG/223750-001_DET_5.jpg</t>
  </si>
  <si>
    <t>https://dd3ka9h4chfr8.cloudfront.net/image/725136000567/image_37dr3csdal7h76s3m6hnag0n4q/-FJPG/223750-001_DET_6.jpg</t>
  </si>
  <si>
    <t>https://dd3ka9h4chfr8.cloudfront.net/image/725136000567/image_6ih5tjm5rt53d5o23u9htkag7d/-FJPG/223750-001_DET_7.jpg</t>
  </si>
  <si>
    <t>https://dd3ka9h4chfr8.cloudfront.net/image/725136000567/image_0htgth85rp40d6kqdj5isboi7t/-FJPG/223750-001_DET_8.jpg</t>
  </si>
  <si>
    <t>https://dd3ka9h4chfr8.cloudfront.net/image/725136000567/image_ok7t4ql24l05j1nq8s7vh4744k/-FJPG/223750-001_DET_9.jpg</t>
  </si>
  <si>
    <t>https://dd3ka9h4chfr8.cloudfront.net/image/725136000567/image_ea8136g9gp5d1btepf4lc7u246/-FJPG/223750-001_DET_10.jpg</t>
  </si>
  <si>
    <t>https://dd3ka9h4chfr8.cloudfront.net/image/725136000567/image_dtck5meda15g7bk7vsc0hhsq62/-FJPG/223750-001_DET_11.jpg</t>
  </si>
  <si>
    <t>https://dd3ka9h4chfr8.cloudfront.net/image/725136000567/image_9bnleeoibd5ala6ku0lefr2n7f/-FJPG/223750-001_DET_12.jpg</t>
  </si>
  <si>
    <t>https://dd3ka9h4chfr8.cloudfront.net/image/725136000567/image_3a33u3aaah2ld2rpmb57vbbn0k/-FJPG/223750-001_OPN_2.jpg</t>
  </si>
  <si>
    <t>223759-001</t>
  </si>
  <si>
    <t>Isador Sideboard - Dry Wash Poplar</t>
  </si>
  <si>
    <t>Dry Wash Poplar</t>
  </si>
  <si>
    <t>Beautifully simple in spirit. Solid dry-washed poplar forms a clean, Parsons-style sideboard with faux dovetail joinery plus iron and leather hardware, for a fresh, material-driven update to Shaker-inspired styling. Rear cutouts for cord management.</t>
  </si>
  <si>
    <t>https://dd3ka9h4chfr8.cloudfront.net/image/725136000567/image_4mfnr2e3md22b9npokkgct5a29/-S150x150-FJPG/223759-001_PRM_1.jpg</t>
  </si>
  <si>
    <t>https://dd3ka9h4chfr8.cloudfront.net/image/725136000567/image_p4tkjiorkh74ha6h1b542d652q/-FJPG/223759-001_FRT_1.jpg</t>
  </si>
  <si>
    <t>https://dd3ka9h4chfr8.cloudfront.net/image/725136000567/image_4mfnr2e3md22b9npokkgct5a29/-FJPG/223759-001_PRM_1.jpg</t>
  </si>
  <si>
    <t>https://dd3ka9h4chfr8.cloudfront.net/image/725136000567/image_6coreo8v710q3df14uq2kq4n0d/-FJPG/223759-001_SID_1.jpg</t>
  </si>
  <si>
    <t>https://dd3ka9h4chfr8.cloudfront.net/image/725136000567/image_o67rlfmkit7br2tcok9l6ln91h/-FJPG/223759-001_ESS_1.jpg</t>
  </si>
  <si>
    <t>https://dd3ka9h4chfr8.cloudfront.net/image/725136000567/image_t5l0c3mrg557d571b5j3tale6r/-FJPG/223759-001_DET_2.jpg</t>
  </si>
  <si>
    <t>https://dd3ka9h4chfr8.cloudfront.net/image/725136000567/image_ci9p6tn7gl10r8kqdsjboam72f/-FJPG/223759-001_BCK_1.jpg</t>
  </si>
  <si>
    <t>https://dd3ka9h4chfr8.cloudfront.net/image/725136000567/image_boqdamj5rp47regavfjevuam7t/-FJPG/223759-001_DET_1.jpg</t>
  </si>
  <si>
    <t>https://dd3ka9h4chfr8.cloudfront.net/image/725136000567/image_abto41ehtd7u53lclmcnd0cj7n/-FJPG/223759-001_DET_3.jpg</t>
  </si>
  <si>
    <t>https://dd3ka9h4chfr8.cloudfront.net/image/725136000567/image_r4sdd3nocp5in7hfjovtehul5d/-FJPG/223759-001_OPN_1.jpg</t>
  </si>
  <si>
    <t>https://dd3ka9h4chfr8.cloudfront.net/image/725136000567/image_qbg3iom13d0ej4bi04v275g445/-FJPG/223759-001_DET_4.jpg</t>
  </si>
  <si>
    <t>https://dd3ka9h4chfr8.cloudfront.net/image/725136000567/image_ie0st1gtph04d9jq5jf81ia74u/-FJPG/223759-001_DET_5.jpg</t>
  </si>
  <si>
    <t>https://dd3ka9h4chfr8.cloudfront.net/image/725136000567/image_r09fj7a7u90lhfs0u9f9i1pr14/-FJPG/223759-001_DET_6.jpg</t>
  </si>
  <si>
    <t>https://dd3ka9h4chfr8.cloudfront.net/image/725136000567/image_u37dsaupsh5lfaa3hutte4614v/-FJPG/223759-001_DET_7.jpg</t>
  </si>
  <si>
    <t>35.43"</t>
  </si>
  <si>
    <t>Isador</t>
  </si>
  <si>
    <t>6.61"</t>
  </si>
  <si>
    <t>17.72"</t>
  </si>
  <si>
    <t>223816-001</t>
  </si>
  <si>
    <t>Trey Executive Desk - Auburn Poplar</t>
  </si>
  <si>
    <t>Inspired by clean mid-century design, light auburn-finished poplar offers plenty of desk storage by way of spacious drawers including one perfectly sized for file storage of legal and letter sized documents. Metal-secured leather pulls add a textural element of surprise. Cutouts for cord management.</t>
  </si>
  <si>
    <t>https://dd3ka9h4chfr8.cloudfront.net/image/725136000567/image_59hsfsifil2b708i6pd4dm660f/-S150x150-FJPG/223816-001_PRM_1.jpg</t>
  </si>
  <si>
    <t>https://dd3ka9h4chfr8.cloudfront.net/image/725136000567/image_8lkvm52ra930hcn18p5km5r36g/-FJPG/223816-001_FRT_1.jpg</t>
  </si>
  <si>
    <t>https://dd3ka9h4chfr8.cloudfront.net/image/725136000567/image_59hsfsifil2b708i6pd4dm660f/-FJPG/223816-001_PRM_1.jpg</t>
  </si>
  <si>
    <t>https://dd3ka9h4chfr8.cloudfront.net/image/725136000567/image_p5c38utk0158b2268j1kj17l69/-FJPG/223816-001_SID_1.jpg</t>
  </si>
  <si>
    <t>https://dd3ka9h4chfr8.cloudfront.net/image/725136000567/image_v9v1dcoq0l579a7inupepb9a4l/-FJPG/223816-001_ESS.tif</t>
  </si>
  <si>
    <t>https://dd3ka9h4chfr8.cloudfront.net/image/725136000567/image_vsiel5aiap2a7cfdeqms2fg712/-FJPG/223816-001_DET_2.jpg</t>
  </si>
  <si>
    <t>https://dd3ka9h4chfr8.cloudfront.net/image/725136000567/image_2c2hshja3d1kbdjust83insh5g/-FJPG/223816-001_BCK_1.jpg</t>
  </si>
  <si>
    <t>https://dd3ka9h4chfr8.cloudfront.net/image/725136000567/image_i2nnk6bv413ph1bnkq81fpd35k/-FJPG/223816-001_DET_1.jpg</t>
  </si>
  <si>
    <t>https://dd3ka9h4chfr8.cloudfront.net/image/725136000567/image_gsnidg5at96u3bcitjb768f56i/-FJPG/223816-001_DET_3.jpg</t>
  </si>
  <si>
    <t>https://dd3ka9h4chfr8.cloudfront.net/image/725136000567/image_3o2ifson3t1pd0ns9cabs8i12t/-FJPG/223816-001_OPN_1.jpg</t>
  </si>
  <si>
    <t>https://dd3ka9h4chfr8.cloudfront.net/image/725136000567/image_e67b5indh54gf39aseognk3k1i/-FJPG/223816-001_DET_4.jpg</t>
  </si>
  <si>
    <t>https://dd3ka9h4chfr8.cloudfront.net/image/725136000567/image_1r9jonljq152dar970p6rm7r4a/-FJPG/223816-001_DET_5.jpg</t>
  </si>
  <si>
    <t>https://dd3ka9h4chfr8.cloudfront.net/image/725136000567/image_nvvs4qfhq52079qg6rvr28h86k/-FJPG/223816-001_DET_6.jpg</t>
  </si>
  <si>
    <t>https://dd3ka9h4chfr8.cloudfront.net/image/725136000567/image_485qmif3u5571bhm97tdbcop46/-FJPG/223816-001_DET_7.jpg</t>
  </si>
  <si>
    <t>https://dd3ka9h4chfr8.cloudfront.net/image/725136000567/image_l3k8jhjrgl12be0fn9nilvlh4q/-FJPG/223816-001_DET_8.jpg</t>
  </si>
  <si>
    <t>https://dd3ka9h4chfr8.cloudfront.net/image/725136000567/image_tqv8rtpoe128b0bkdutve0426i/-FJPG/223816-001_DET_9.jpg</t>
  </si>
  <si>
    <t>https://dd3ka9h4chfr8.cloudfront.net/image/725136000567/image_9f12b489tl5mvd00d29101j67f/-FJPG/223816-001_OPN_2.jpg</t>
  </si>
  <si>
    <t>7.68"</t>
  </si>
  <si>
    <t>15.83"</t>
  </si>
  <si>
    <t>22.64"</t>
  </si>
  <si>
    <t>4.96"</t>
  </si>
  <si>
    <t>25.47"</t>
  </si>
  <si>
    <t>25.79"</t>
  </si>
  <si>
    <t>26.97"</t>
  </si>
  <si>
    <t>15.16"</t>
  </si>
  <si>
    <t>11.42"</t>
  </si>
  <si>
    <t>223816-002</t>
  </si>
  <si>
    <t>Trey Executive Desk - Black Wash Poplar</t>
  </si>
  <si>
    <t>Inspired by clean mid-century design, black-washed poplar offers plenty of desk storage by way of spacious drawers including one perfectly sized for file storage of legal and letter sized documents. Metal-secured leather pulls add a textural element of surprise. Cutouts for cord management.</t>
  </si>
  <si>
    <t>https://dd3ka9h4chfr8.cloudfront.net/image/725136000567/image_85qak0podt08l2k86l1815gg7t/-S150x150-FJPG/223816-002_PRM_1.jpg</t>
  </si>
  <si>
    <t>https://dd3ka9h4chfr8.cloudfront.net/image/725136000567/image_90858i4jr954bcqk0e92r4q33f/-FJPG/223816-002_FRT_1.jpg</t>
  </si>
  <si>
    <t>https://dd3ka9h4chfr8.cloudfront.net/image/725136000567/image_85qak0podt08l2k86l1815gg7t/-FJPG/223816-002_PRM_1.jpg</t>
  </si>
  <si>
    <t>https://dd3ka9h4chfr8.cloudfront.net/image/725136000567/image_9jihne37f501l3qfiftqlhsk28/-FJPG/223816-002_SID_1.jpg</t>
  </si>
  <si>
    <t>https://dd3ka9h4chfr8.cloudfront.net/image/725136000567/image_g7hul4kbdh4ovapdk86qelna26/-FJPG/223816-002_BCK_1.jpg</t>
  </si>
  <si>
    <t>223816-003</t>
  </si>
  <si>
    <t>Trey Executive Desk - Dove Poplar</t>
  </si>
  <si>
    <t>Inspired by clean midcentury design, solid poplar and raw iron fuse for style and storage alike, offering spacious drawers plus cabinetry. Metal-secured leather pulls add a textural element of surprise. Great solo or paired with matching modular desk components.</t>
  </si>
  <si>
    <t>https://dd3ka9h4chfr8.cloudfront.net/image/725136000567/image_7q3m8qaf5t5ppe1klp8eoe9705/-S150x150-FJPG/223816-003_PRM_1.jpg</t>
  </si>
  <si>
    <t>https://dd3ka9h4chfr8.cloudfront.net/image/725136000567/image_f8geqlrgmt7b9c45ps51p7ml0j/-FJPG/223816-003_FRT_1.jpg</t>
  </si>
  <si>
    <t>https://dd3ka9h4chfr8.cloudfront.net/image/725136000567/image_7q3m8qaf5t5ppe1klp8eoe9705/-FJPG/223816-003_PRM_1.jpg</t>
  </si>
  <si>
    <t>https://dd3ka9h4chfr8.cloudfront.net/image/725136000567/image_1b4uktbrt120ddthmd42gase71/-FJPG/223816-003_SID_1.jpg</t>
  </si>
  <si>
    <t>https://dd3ka9h4chfr8.cloudfront.net/image/725136000567/image_50cd20k8nh5gtdv6alabd2go7t/-FJPG/223816-003_ESS.tif</t>
  </si>
  <si>
    <t>https://dd3ka9h4chfr8.cloudfront.net/image/725136000567/image_5kanj353hd5jj98plkn71pel08/-FJPG/223816-003_DET_2.jpg</t>
  </si>
  <si>
    <t>https://dd3ka9h4chfr8.cloudfront.net/image/725136000567/image_ebimf7l4gp73t6v22o9lbe2p08/-FJPG/223816-003_BCK_1.jpg</t>
  </si>
  <si>
    <t>https://dd3ka9h4chfr8.cloudfront.net/image/725136000567/image_b6uvjomt554et6s0v4ig7t6u1v/-FJPG/223816-003_DET_1.jpg</t>
  </si>
  <si>
    <t>https://dd3ka9h4chfr8.cloudfront.net/image/725136000567/image_o0rb6osk3p1ul4hfes2njoed7p/-FJPG/223816-003_DET_3.jpg</t>
  </si>
  <si>
    <t>https://dd3ka9h4chfr8.cloudfront.net/image/725136000567/image_cl25rioh095tb7t83ccndga14c/-FJPG/223816-003_OPN_1.jpg</t>
  </si>
  <si>
    <t>https://dd3ka9h4chfr8.cloudfront.net/image/725136000567/image_7smtov1nk93lddaj9p41nrej57/-FJPG/223816-003_DET_4.jpg</t>
  </si>
  <si>
    <t>https://dd3ka9h4chfr8.cloudfront.net/image/725136000567/image_egeiq3pvr55l31v4ncbj1g9t45/-FJPG/223816-003_DET_5.jpg</t>
  </si>
  <si>
    <t>https://dd3ka9h4chfr8.cloudfront.net/image/725136000567/image_o3e015lcdl4vlbb8ec3k0pni2a/-FJPG/223816-003_DET_6.jpg</t>
  </si>
  <si>
    <t>https://dd3ka9h4chfr8.cloudfront.net/image/725136000567/image_uqei837u4t2pn3vc7hv99elk0r/-FJPG/223816-003_DET_7.jpg</t>
  </si>
  <si>
    <t>https://dd3ka9h4chfr8.cloudfront.net/image/725136000567/image_vhtgicc4750e36mvkl5pvh010h/-FJPG/223816-003_OPN_2.jpg</t>
  </si>
  <si>
    <t>223913-001</t>
  </si>
  <si>
    <t>Trey Console Table - Natural Iron</t>
  </si>
  <si>
    <t>Inspired by clean mid-century design, light auburn-finished poplar offers media storage and more by way of a center cubby and dual side drawers. Metal-secured leather pulls add a textural element of surprise.</t>
  </si>
  <si>
    <t>https://dd3ka9h4chfr8.cloudfront.net/image/725136000567/image_0f44vbegk96s161f7b6h8j196g/-S150x150-FJPG/223913-001_PRM_1.jpg</t>
  </si>
  <si>
    <t>https://dd3ka9h4chfr8.cloudfront.net/image/725136000567/image_3dif8i0fcd2brcr8un7uinjh42/-FJPG/223913-001_FRT_1.jpg</t>
  </si>
  <si>
    <t>https://dd3ka9h4chfr8.cloudfront.net/image/725136000567/image_0f44vbegk96s161f7b6h8j196g/-FJPG/223913-001_PRM_1.jpg</t>
  </si>
  <si>
    <t>https://dd3ka9h4chfr8.cloudfront.net/image/725136000567/image_802v35p9f565v8io31co507g1o/-FJPG/223913-001_SID_1.jpg</t>
  </si>
  <si>
    <t>https://dd3ka9h4chfr8.cloudfront.net/image/725136000567/image_9h8up4h8811dp52eonsiebpm1s/-FJPG/223913-001_ESS_1.jpg</t>
  </si>
  <si>
    <t>https://dd3ka9h4chfr8.cloudfront.net/image/725136000567/image_3skmfnefsd0a77nd7if84mam51/-FJPG/223913-001_DET_2.jpg</t>
  </si>
  <si>
    <t>https://dd3ka9h4chfr8.cloudfront.net/image/725136000567/image_kl81uti35l1fn50ctrccio395l/-FJPG/223913-001_BCK_1.jpg</t>
  </si>
  <si>
    <t>https://dd3ka9h4chfr8.cloudfront.net/image/725136000567/image_4gr0v2d47p6b7eg8ibohqh9l2q/-FJPG/223913-001_DET_1.jpg</t>
  </si>
  <si>
    <t>https://dd3ka9h4chfr8.cloudfront.net/image/725136000567/image_6u6bttsql56i12jk5q8ucr0c1m/-FJPG/223913-001_DET_3.jpg</t>
  </si>
  <si>
    <t>https://dd3ka9h4chfr8.cloudfront.net/image/725136000567/image_g76ici2o7910f695hdfm9s0c0e/-FJPG/223913-001_OPN_1.jpg</t>
  </si>
  <si>
    <t>https://dd3ka9h4chfr8.cloudfront.net/image/725136000567/image_kt37ogno3d79l3v3vt59o44j3f/-FJPG/223913-001_DET_4.jpg</t>
  </si>
  <si>
    <t>https://dd3ka9h4chfr8.cloudfront.net/image/725136000567/image_fejdeuc3355lvdf4te0qb7917t/-FJPG/223913-001_DET_5.jpg</t>
  </si>
  <si>
    <t>https://dd3ka9h4chfr8.cloudfront.net/image/725136000567/image_hqhq87p4gt7o5eoptd402r5g27/-FJPG/223913-001_DET_6.jpg</t>
  </si>
  <si>
    <t>https://dd3ka9h4chfr8.cloudfront.net/image/725136000567/image_ni64tvamhh44dagm1g9po4f60f/-FJPG/223913-001_DET_7.jpg</t>
  </si>
  <si>
    <t>17.32"</t>
  </si>
  <si>
    <t>13.46"</t>
  </si>
  <si>
    <t>53.62"</t>
  </si>
  <si>
    <t>23.43"</t>
  </si>
  <si>
    <t>4.02"</t>
  </si>
  <si>
    <t>15.87"</t>
  </si>
  <si>
    <t>223913-002</t>
  </si>
  <si>
    <t>Inspired by clean mid-century design, black-washed poplar offers media storage and more by way of a center cubby and dual side drawers. Metal-secured leather pulls add a textural element of surprise.</t>
  </si>
  <si>
    <t>https://dd3ka9h4chfr8.cloudfront.net/image/725136000567/image_trf9in70n93jrerh2s77r2n515/-S150x150-FJPG/223913-002_PRM_1.jpg</t>
  </si>
  <si>
    <t>https://dd3ka9h4chfr8.cloudfront.net/image/725136000567/image_bn2ooibud906f5gm1du6i8c60s/-FJPG/223913-002_FRT_1.jpg</t>
  </si>
  <si>
    <t>https://dd3ka9h4chfr8.cloudfront.net/image/725136000567/image_trf9in70n93jrerh2s77r2n515/-FJPG/223913-002_PRM_1.jpg</t>
  </si>
  <si>
    <t>https://dd3ka9h4chfr8.cloudfront.net/image/725136000567/image_h49ap2d0s12n9ehkp60prrb348/-FJPG/223913-002_SID_1.jpg</t>
  </si>
  <si>
    <t>https://dd3ka9h4chfr8.cloudfront.net/image/725136000567/image_b128nsad1557fcmoca31nlsd60/-FJPG/223913-002_ESS.tif</t>
  </si>
  <si>
    <t>https://dd3ka9h4chfr8.cloudfront.net/image/725136000567/image_2j4p8lsgr1565d6h0c41k5ra60/-FJPG/223913-002_DET_2.jpg</t>
  </si>
  <si>
    <t>https://dd3ka9h4chfr8.cloudfront.net/image/725136000567/image_cfgcj162ld6dr9vk1v1gtt7g37/-FJPG/223913-002_BCK_1.jpg</t>
  </si>
  <si>
    <t>https://dd3ka9h4chfr8.cloudfront.net/image/725136000567/image_p7pi0mgon560d46e71gubb081t/-FJPG/223913-002_DET_1.jpg</t>
  </si>
  <si>
    <t>https://dd3ka9h4chfr8.cloudfront.net/image/725136000567/image_8ash3vc2l11m9bvhm9q7tm4o0m/-FJPG/223913-002_DET_3.jpg</t>
  </si>
  <si>
    <t>https://dd3ka9h4chfr8.cloudfront.net/image/725136000567/image_1h2mla35ul7gj2ged02cf99m34/-FJPG/223913-002_OPN_1.jpg</t>
  </si>
  <si>
    <t>https://dd3ka9h4chfr8.cloudfront.net/image/725136000567/image_11ala7ch7l693eued44ndvmf2b/-FJPG/223913-002_DET_4.jpg</t>
  </si>
  <si>
    <t>https://dd3ka9h4chfr8.cloudfront.net/image/725136000567/image_kpajcornap74rbffgam3hoha7i/-FJPG/223913-002_DET_5.jpg</t>
  </si>
  <si>
    <t>https://dd3ka9h4chfr8.cloudfront.net/image/725136000567/image_40smahhhep6q7arct88cqg5r0o/-FJPG/223913-002_DET_6.jpg</t>
  </si>
  <si>
    <t>https://dd3ka9h4chfr8.cloudfront.net/image/725136000567/image_1o3bbr7c094v9551o0mi01dc0r/-FJPG/223913-002_DET_7.jpg</t>
  </si>
  <si>
    <t>223913-003</t>
  </si>
  <si>
    <t>Inspired by clean midcentury design, solid poplar offers media storage and more by way of a center cubby and dual side drawers. Metal-secured leather pulls add a textural element of surprise.</t>
  </si>
  <si>
    <t>https://dd3ka9h4chfr8.cloudfront.net/image/725136000567/image_9j4d2qqmi10lneq9flfo2q5673/-S150x150-FJPG/223913-003_PRM_1.jpg</t>
  </si>
  <si>
    <t>https://dd3ka9h4chfr8.cloudfront.net/image/725136000567/image_9agsfrp18l4597kone3tsjm75n/-FJPG/223913-003_FRT_1.jpg</t>
  </si>
  <si>
    <t>https://dd3ka9h4chfr8.cloudfront.net/image/725136000567/image_9j4d2qqmi10lneq9flfo2q5673/-FJPG/223913-003_PRM_1.jpg</t>
  </si>
  <si>
    <t>https://dd3ka9h4chfr8.cloudfront.net/image/725136000567/image_dfmagqmi5d7tj2npukp9vihe21/-FJPG/223913-003_SID_1.jpg</t>
  </si>
  <si>
    <t>https://dd3ka9h4chfr8.cloudfront.net/image/725136000567/image_ivuhn8og5t13h7478ohds69j0c/-FJPG/223913-003_ESS.tif</t>
  </si>
  <si>
    <t>https://dd3ka9h4chfr8.cloudfront.net/image/725136000567/image_k2m2nj0e3p3eb6bqtovo8ilj02/-FJPG/223913-003_DET_2.jpg</t>
  </si>
  <si>
    <t>https://dd3ka9h4chfr8.cloudfront.net/image/725136000567/image_0naalpahet2n9b15gq2691n26a/-FJPG/223913-003_BCK_1.jpg</t>
  </si>
  <si>
    <t>https://dd3ka9h4chfr8.cloudfront.net/image/725136000567/image_rm972v2vk17l326nt9mgcbvf78/-FJPG/223913-003_DET_1.jpg</t>
  </si>
  <si>
    <t>https://dd3ka9h4chfr8.cloudfront.net/image/725136000567/image_f2muv5ofst0qb7e7lnkuufks5q/-FJPG/223913-003_DET_3.jpg</t>
  </si>
  <si>
    <t>https://dd3ka9h4chfr8.cloudfront.net/image/725136000567/image_bobjvb0nht4ldfu7acbvf57960/-FJPG/223913-003_OPN_1.jpg</t>
  </si>
  <si>
    <t>https://dd3ka9h4chfr8.cloudfront.net/image/725136000567/image_0pnstk9iut5un9fm6bg1hiea3p/-FJPG/223913-003_DET_4.jpg</t>
  </si>
  <si>
    <t>https://dd3ka9h4chfr8.cloudfront.net/image/725136000567/image_20gd8o2dq96er0vk0l0tefvo3s/-FJPG/223913-003_DET_5.jpg</t>
  </si>
  <si>
    <t>https://dd3ka9h4chfr8.cloudfront.net/image/725136000567/image_atftnjtc2970r9qinknl4fcd53/-FJPG/223913-003_DET_6.jpg</t>
  </si>
  <si>
    <t>https://dd3ka9h4chfr8.cloudfront.net/image/725136000567/image_pq0ui6s7rt51vb6ib0c6rg3d78/-FJPG/223913-003_DET_7.jpg</t>
  </si>
  <si>
    <t>https://dd3ka9h4chfr8.cloudfront.net/image/725136000567/image_4e35tr64lt0716d5pjfnjiag5e/-FJPG/223913-003_VIG_1.jpg</t>
  </si>
  <si>
    <t>223961-001</t>
  </si>
  <si>
    <t>Trey Modular Wide Bookcase - Auburn Poplar</t>
  </si>
  <si>
    <t>Inspired by clean midcentury design, solid auburn poplar and raw iron fuse to offer storage and display space for favorite books and treasures. Metal-secured leather pulls add a textural element of surprise. Great alone or doubled and paired with matching media console.</t>
  </si>
  <si>
    <t>https://dd3ka9h4chfr8.cloudfront.net/image/725136000567/image_s5br8hn9fd1u75qus17ud4ns4r/-S150x150-FJPG/223961-001_PRM_1.jpg</t>
  </si>
  <si>
    <t>https://dd3ka9h4chfr8.cloudfront.net/image/725136000567/image_5eu4cu26ed61je4dvpurb9s51i/-FJPG/223961-001_FRT_1.jpg</t>
  </si>
  <si>
    <t>https://dd3ka9h4chfr8.cloudfront.net/image/725136000567/image_s5br8hn9fd1u75qus17ud4ns4r/-FJPG/223961-001_PRM_1.jpg</t>
  </si>
  <si>
    <t>https://dd3ka9h4chfr8.cloudfront.net/image/725136000567/image_6m0oioes650h3cqrao13d4r15o/-FJPG/223961-001_SID_1.jpg</t>
  </si>
  <si>
    <t>https://dd3ka9h4chfr8.cloudfront.net/image/725136000567/image_0f42mi4arl7ll81jmd1ad1cd73/-FJPG/223961-001_DET_2.jpg</t>
  </si>
  <si>
    <t>https://dd3ka9h4chfr8.cloudfront.net/image/725136000567/image_7jq183eeip47f8mjgqk788sk0p/-FJPG/223961-001_BCK_1.jpg</t>
  </si>
  <si>
    <t>https://dd3ka9h4chfr8.cloudfront.net/image/725136000567/image_k34javrsn9769d6e6gn5oi9n4q/-FJPG/223961-001_DET_1.jpg</t>
  </si>
  <si>
    <t>https://dd3ka9h4chfr8.cloudfront.net/image/725136000567/image_ifo4be0vbl58l4gmpbv1vdev40/-FJPG/223961-001_DET_3.jpg</t>
  </si>
  <si>
    <t>https://dd3ka9h4chfr8.cloudfront.net/image/725136000567/image_voe7k2phut53rb09biq1ih2p0n/-FJPG/223961-001_OPN_1.jpg</t>
  </si>
  <si>
    <t>https://dd3ka9h4chfr8.cloudfront.net/image/725136000567/image_51si9crpet5lb8reit6o0mnk2g/-FJPG/223961-001_DET_4.jpg</t>
  </si>
  <si>
    <t>https://dd3ka9h4chfr8.cloudfront.net/image/725136000567/image_j4nsi76h195bd8vqdjstjn9q7v/-FJPG/223961-001_DET_5.jpg</t>
  </si>
  <si>
    <t>https://dd3ka9h4chfr8.cloudfront.net/image/725136000567/image_1jqn8i3m350d1ds4gqaqkgv85u/-FJPG/223961-001_DET_6.jpg</t>
  </si>
  <si>
    <t>https://dd3ka9h4chfr8.cloudfront.net/image/725136000567/image_in8uc60lcd1frbcaoh72crkl2a/-FJPG/223961-001_DET_7.jpg</t>
  </si>
  <si>
    <t>https://dd3ka9h4chfr8.cloudfront.net/image/725136000567/image_o122ehomet7ev8onhtratsmi3f/-FJPG/223961-001_VIG_1.jpg</t>
  </si>
  <si>
    <t>31.97"</t>
  </si>
  <si>
    <t>24.76"</t>
  </si>
  <si>
    <t>33.54"</t>
  </si>
  <si>
    <t>10.98"</t>
  </si>
  <si>
    <t>11.73"</t>
  </si>
  <si>
    <t>223961-002</t>
  </si>
  <si>
    <t>Trey Modular Wide Bookcase - Black Wash Poplar</t>
  </si>
  <si>
    <t>Inspired by clean midcentury design, solid black wash poplar and raw iron fuse to offer storage and display space for favorite books and treasures. Metal-secured leather pulls add a textural element of surprise. Great alone or doubled and paired with matching media console.</t>
  </si>
  <si>
    <t>https://dd3ka9h4chfr8.cloudfront.net/image/725136000567/image_cso1l7rs7d4cvdbimbmlg4dh0r/-S150x150-FJPG/223961-002_PRM_1.jpg</t>
  </si>
  <si>
    <t>https://dd3ka9h4chfr8.cloudfront.net/image/725136000567/image_b93205esed5j90qo74gfnhap0c/-FJPG/223961-002_FRT_1.jpg</t>
  </si>
  <si>
    <t>https://dd3ka9h4chfr8.cloudfront.net/image/725136000567/image_cso1l7rs7d4cvdbimbmlg4dh0r/-FJPG/223961-002_PRM_1.jpg</t>
  </si>
  <si>
    <t>https://dd3ka9h4chfr8.cloudfront.net/image/725136000567/image_9g03cltl7546v4lhdimmq70803/-FJPG/223961-002_SID_1.jpg</t>
  </si>
  <si>
    <t>https://dd3ka9h4chfr8.cloudfront.net/image/725136000567/image_n85snpv2fd0g9dt0f3g4ehdj00/-FJPG/223961-002_DET_2.jpg</t>
  </si>
  <si>
    <t>https://dd3ka9h4chfr8.cloudfront.net/image/725136000567/image_392kmkb72h12lf8kbpg2cpic20/-FJPG/223961-002_BCK_1.jpg</t>
  </si>
  <si>
    <t>https://dd3ka9h4chfr8.cloudfront.net/image/725136000567/image_v2vdh9oi9522v21nf0vtoksl36/-FJPG/223961-002_DET_1.jpg</t>
  </si>
  <si>
    <t>https://dd3ka9h4chfr8.cloudfront.net/image/725136000567/image_6o4iki9uo90op7b1bsd773ol3f/-FJPG/223961-002_DET_3.jpg</t>
  </si>
  <si>
    <t>https://dd3ka9h4chfr8.cloudfront.net/image/725136000567/image_lbv8liemtp1o1ai8hqiuj81i0j/-FJPG/223961-002_OPN_1.jpg</t>
  </si>
  <si>
    <t>https://dd3ka9h4chfr8.cloudfront.net/image/725136000567/image_e8ffhq4n8l2q98lk28irgrld4c/-FJPG/223961-002_DET_4.jpg</t>
  </si>
  <si>
    <t>https://dd3ka9h4chfr8.cloudfront.net/image/725136000567/image_hgm8sf1rkh6lp9b32ku2e5as5s/-FJPG/223961-002_DET_5.jpg</t>
  </si>
  <si>
    <t>https://dd3ka9h4chfr8.cloudfront.net/image/725136000567/image_s0d0onp9nl5ed8mvktfg47lj3g/-FJPG/223961-002_DET_6.jpg</t>
  </si>
  <si>
    <t>https://dd3ka9h4chfr8.cloudfront.net/image/725136000567/image_um0sp3hi8t10bc4oae31026p1q/-FJPG/223961-002_DET_7.jpg</t>
  </si>
  <si>
    <t>https://dd3ka9h4chfr8.cloudfront.net/image/725136000567/image_bg5n8o4gu96drcojufq1tgpa5n/-FJPG/223961-002_VIG_1.jpg</t>
  </si>
  <si>
    <t>https://dd3ka9h4chfr8.cloudfront.net/image/725136000567/image_66ro5u4h2d0vb7uk1qmhfpul68/-FJPG/223961-002_OPN_2.jpg</t>
  </si>
  <si>
    <t>223961-003</t>
  </si>
  <si>
    <t>Trey Modular Wide Bookcase - Dove Poplar</t>
  </si>
  <si>
    <t>Inspired by clean midcentury design, solid poplar and raw iron fuse to offer storage and display space for favorite books and treasures. Metal-secured leather pulls add a textural element of surprise. Great alone or doubled and paired with matching media console.</t>
  </si>
  <si>
    <t>https://dd3ka9h4chfr8.cloudfront.net/image/725136000567/image_s18hp60af57m1f8qbjmunoel6a/-S150x150-FJPG/223961-003_PRM_1.jpg</t>
  </si>
  <si>
    <t>https://dd3ka9h4chfr8.cloudfront.net/image/725136000567/image_cmr1qv8ndd3p19l4eqivqff35q/-FJPG/223961-003_FRT_1.jpg</t>
  </si>
  <si>
    <t>https://dd3ka9h4chfr8.cloudfront.net/image/725136000567/image_s18hp60af57m1f8qbjmunoel6a/-FJPG/223961-003_PRM_1.jpg</t>
  </si>
  <si>
    <t>https://dd3ka9h4chfr8.cloudfront.net/image/725136000567/image_scfvrv87u94ohfkolgc4d4665b/-FJPG/223961-003_SID_1.jpg</t>
  </si>
  <si>
    <t>https://dd3ka9h4chfr8.cloudfront.net/image/725136000567/image_avhdfso7r13lpfq8ptmdn88o2v/-FJPG/223961-003_DET_2.jpg</t>
  </si>
  <si>
    <t>https://dd3ka9h4chfr8.cloudfront.net/image/725136000567/image_bsfqac2sit1mrdfa14krm4ks30/-FJPG/223961-003_BCK_1.jpg</t>
  </si>
  <si>
    <t>https://dd3ka9h4chfr8.cloudfront.net/image/725136000567/image_qd5v8g7nft5c5bdemfnjtosc5h/-FJPG/223961-003_DET_1.jpg</t>
  </si>
  <si>
    <t>https://dd3ka9h4chfr8.cloudfront.net/image/725136000567/image_4leq6l4bi14lhffrcf00knhc4j/-FJPG/223961-003_DET_3.jpg</t>
  </si>
  <si>
    <t>https://dd3ka9h4chfr8.cloudfront.net/image/725136000567/image_cpkqec0jrp7ene5eogs12he049/-FJPG/223961-003_OPN_1.jpg</t>
  </si>
  <si>
    <t>https://dd3ka9h4chfr8.cloudfront.net/image/725136000567/image_htkrv32dhl645a314uk7jg7444/-FJPG/223961-003_DET_4.jpg</t>
  </si>
  <si>
    <t>https://dd3ka9h4chfr8.cloudfront.net/image/725136000567/image_2l1gm6vvj925rb10ousahdim22/-FJPG/223961-003_DET_5.jpg</t>
  </si>
  <si>
    <t>https://dd3ka9h4chfr8.cloudfront.net/image/725136000567/image_i7phjirh153dtbm6t43d558t43/-FJPG/223961-003_DET_6.jpg</t>
  </si>
  <si>
    <t>https://dd3ka9h4chfr8.cloudfront.net/image/725136000567/image_bvcn008l5l29rbdql30eqf3664/-FJPG/223961-003_DET_7.jpg</t>
  </si>
  <si>
    <t>https://dd3ka9h4chfr8.cloudfront.net/image/725136000567/image_55lbqr1fqp4on9f8i6kbeidm0f/-FJPG/223961-003_DET_8.jpg</t>
  </si>
  <si>
    <t>https://dd3ka9h4chfr8.cloudfront.net/image/725136000567/image_3jait19kt91jv8oq301405ut32/-FJPG/223961-003_VIG_1.jpg</t>
  </si>
  <si>
    <t>223978-001</t>
  </si>
  <si>
    <t>Viggo 6 Drawer Dresser - Vintage White Oak</t>
  </si>
  <si>
    <t>Vintage White Oak</t>
  </si>
  <si>
    <t>Vintage White Oak Solid</t>
  </si>
  <si>
    <t>Vintage white oak is finished with a dry hand for a light look, while a top of white Italian marble offers a sophisticated material mix. Six spacious drawers bring generous storage space to the bedroom. This item has been modified to comply with the STURDY Act. See a full list of modified products and data changes in the â€œSTURDY Actâ€ file in the Downloads section below.</t>
  </si>
  <si>
    <t>https://dd3ka9h4chfr8.cloudfront.net/image/725136000567/image_h4lpbt2ps1735chmr2h6pc717i/-S150x150-FJPG/223978-001_PRM_1.jpg</t>
  </si>
  <si>
    <t>https://dd3ka9h4chfr8.cloudfront.net/image/725136000567/image_l154spnq9t5k1faia7hghic96i/-FJPG/223978-001_FRT_1.jpg</t>
  </si>
  <si>
    <t>https://dd3ka9h4chfr8.cloudfront.net/image/725136000567/image_h4lpbt2ps1735chmr2h6pc717i/-FJPG/223978-001_PRM_1.jpg</t>
  </si>
  <si>
    <t>https://dd3ka9h4chfr8.cloudfront.net/image/725136000567/image_72nsst8i0d58901rh8r59f9003/-FJPG/223978-001_SID_1.jpg</t>
  </si>
  <si>
    <t>https://dd3ka9h4chfr8.cloudfront.net/image/725136000567/image_1sqpgu3bil3hv8og0447i36m42/-FJPG/223978-001_ESS_1.jpg</t>
  </si>
  <si>
    <t>https://dd3ka9h4chfr8.cloudfront.net/image/725136000567/image_9flfev7qbd2dn6kbt1vlh1o87g/-FJPG/223978-001_DET_2.jpg</t>
  </si>
  <si>
    <t>https://dd3ka9h4chfr8.cloudfront.net/image/725136000567/image_1koqckjf8p1ch15rmgcoclbl6s/-FJPG/223978-001_BCK_1.jpg</t>
  </si>
  <si>
    <t>https://dd3ka9h4chfr8.cloudfront.net/image/725136000567/image_b70cgdaes13458s4ureu541b1p/-FJPG/223978-001_DET_1.jpg</t>
  </si>
  <si>
    <t>https://dd3ka9h4chfr8.cloudfront.net/image/725136000567/image_gpjhe722bl31dcp0erslqjr85l/-FJPG/223978-001_DET_3.jpg</t>
  </si>
  <si>
    <t>https://dd3ka9h4chfr8.cloudfront.net/image/725136000567/image_b0o58gkc5l201e1t26ha8c5s6q/-FJPG/223978-001_OPN_1.jpg</t>
  </si>
  <si>
    <t>https://dd3ka9h4chfr8.cloudfront.net/image/725136000567/image_r1ofkjgb511p72rnce8iq5up76/-FJPG/223978-001_TOP_1.jpg</t>
  </si>
  <si>
    <t>https://dd3ka9h4chfr8.cloudfront.net/image/725136000567/image_e21p3n59a56vl5vtr858gc1j16/-FJPG/223978-001_DET_4.jpg</t>
  </si>
  <si>
    <t>https://dd3ka9h4chfr8.cloudfront.net/image/725136000567/image_qnvm6ip6gd16fag9pu2be7b85j/-FJPG/223978-001_DET_5.jpg</t>
  </si>
  <si>
    <t>https://dd3ka9h4chfr8.cloudfront.net/image/725136000567/image_mjmoicg02d26j7s9d23648jp47/-FJPG/223978-001_DET_6.jpg</t>
  </si>
  <si>
    <t>https://dd3ka9h4chfr8.cloudfront.net/image/725136000567/image_jld45mpj393f10bn9tet2piv3g/-FJPG/223978-001_DET_7.jpg</t>
  </si>
  <si>
    <t>Marble Top</t>
  </si>
  <si>
    <t>Frame</t>
  </si>
  <si>
    <t>Viggo</t>
  </si>
  <si>
    <t>224056-001</t>
  </si>
  <si>
    <t>Viola Accent Table - Antique White Marble</t>
  </si>
  <si>
    <t>Rockwell</t>
  </si>
  <si>
    <t>Antique White Marble</t>
  </si>
  <si>
    <t>Dark Kettle Black</t>
  </si>
  <si>
    <t>Solid Marble</t>
  </si>
  <si>
    <t>Layer in sophistication anywhere. A dramatically shaped base of white antique marble supports slim iron piping and rounded tray-style tabletop - the perfect place to perch a drink or favorite book.</t>
  </si>
  <si>
    <t>https://dd3ka9h4chfr8.cloudfront.net/image/725136000567/image_ptq55t3l4d1bta50aia2kub16v/-S150x150-FJPG/224056-001_PRM_1.jpg</t>
  </si>
  <si>
    <t>https://dd3ka9h4chfr8.cloudfront.net/image/725136000567/image_fjoh2o8oqh5fb35cv6ju6e5508/-FJPG/224056-001_FRT_1.jpg</t>
  </si>
  <si>
    <t>https://dd3ka9h4chfr8.cloudfront.net/image/725136000567/image_ptq55t3l4d1bta50aia2kub16v/-FJPG/224056-001_PRM_1.jpg</t>
  </si>
  <si>
    <t>https://dd3ka9h4chfr8.cloudfront.net/image/725136000567/image_f3teuri9j15jj95cn8bjkcs70e/-FJPG/224056-001_DET_2.jpg</t>
  </si>
  <si>
    <t>https://dd3ka9h4chfr8.cloudfront.net/image/725136000567/image_icei6fp0r158t5rnbteoi04s57/-FJPG/224056-001_DET_1.jpg</t>
  </si>
  <si>
    <t>https://dd3ka9h4chfr8.cloudfront.net/image/725136000567/image_fhmhtl43rl21903313c5hlk56h/-FJPG/224056-001_DET_3.jpg</t>
  </si>
  <si>
    <t>https://dd3ka9h4chfr8.cloudfront.net/image/725136000567/image_q87gg0mor12otb2ecb8fbr3f6k/-FJPG/224056-001_TOP_1.jpg</t>
  </si>
  <si>
    <t>https://dd3ka9h4chfr8.cloudfront.net/image/725136000567/image_nkkr51ang120f4h94cb7fdqj70/-FJPG/224056-001_DET_4.jpg</t>
  </si>
  <si>
    <t>https://dd3ka9h4chfr8.cloudfront.net/image/725136000567/image_cu7tboa5gd071ammicv3mgjm3f/-FJPG/224056-001_ESS_3.jpg</t>
  </si>
  <si>
    <t>Viola</t>
  </si>
  <si>
    <t>7.62"</t>
  </si>
  <si>
    <t>224056-003</t>
  </si>
  <si>
    <t>Viola Accent Table - Black Marble</t>
  </si>
  <si>
    <t>Black Marble</t>
  </si>
  <si>
    <t>Layer in a sculptural element anywhere. A dramatically shaped base of black marble supports slim iron piping and rounded tray-style tabletop - the perfect place to perch a drink or favorite book.</t>
  </si>
  <si>
    <t>https://dd3ka9h4chfr8.cloudfront.net/image/725136000567/image_vievgnmua53j581margv3bmc00/-S150x150-FJPG/224056-003_PRM_1.jpg</t>
  </si>
  <si>
    <t>https://dd3ka9h4chfr8.cloudfront.net/image/725136000567/image_vievgnmua53j581margv3bmc00/-FJPG/224056-003_PRM_1.jpg</t>
  </si>
  <si>
    <t>https://dd3ka9h4chfr8.cloudfront.net/image/725136000567/image_e5q27l74f56pj90l652non2r5g/-FJPG/224056-003_ESS_1.jpg</t>
  </si>
  <si>
    <t>https://dd3ka9h4chfr8.cloudfront.net/image/725136000567/image_rlhdes78v51gja91m5klkrcu6t/-FJPG/224056-003_DET_2.jpg</t>
  </si>
  <si>
    <t>https://dd3ka9h4chfr8.cloudfront.net/image/725136000567/image_udn9pkrop10bjbtsms716obc46/-FJPG/224056-003_DET_1.jpg</t>
  </si>
  <si>
    <t>https://dd3ka9h4chfr8.cloudfront.net/image/725136000567/image_4i93sjrn5d62152g7vgqmbis2u/-FJPG/224056-003_DET_3.jpg</t>
  </si>
  <si>
    <t>https://dd3ka9h4chfr8.cloudfront.net/image/725136000567/image_586d78m3h952d274vqqh6giv50/-FJPG/224056-003_DET_4.jpg</t>
  </si>
  <si>
    <t>https://dd3ka9h4chfr8.cloudfront.net/image/725136000567/image_phic6pg56t0bp0hn5qaf2ett2i/-FJPG/224056-003_DET_5.jpg</t>
  </si>
  <si>
    <t>224056-004</t>
  </si>
  <si>
    <t>Viola Accent Table - Merlot Marble</t>
  </si>
  <si>
    <t>Merlot Marble</t>
  </si>
  <si>
    <t>https://dd3ka9h4chfr8.cloudfront.net/image/725136000567/image_5uslqqbt5d4ml4663167gid93e/-S150x150-FJPG/224056-004_PRM_1.jpg</t>
  </si>
  <si>
    <t>https://dd3ka9h4chfr8.cloudfront.net/image/725136000567/image_5uslqqbt5d4ml4663167gid93e/-FJPG/224056-004_PRM_1.jpg</t>
  </si>
  <si>
    <t>https://dd3ka9h4chfr8.cloudfront.net/image/725136000567/image_15rnoo3a8d5u9em7ci2mgtct32/-FJPG/224056-004_ESS_1.jpg</t>
  </si>
  <si>
    <t>https://dd3ka9h4chfr8.cloudfront.net/image/725136000567/image_6c9qs7cf5d28f5mu4cg5glv46g/-FJPG/224056-004_DET_1.jpg</t>
  </si>
  <si>
    <t>https://dd3ka9h4chfr8.cloudfront.net/image/725136000567/image_vrvdadj4ih4opfg6eitvibbi25/-FJPG/224056-004_DET_3.jpg</t>
  </si>
  <si>
    <t>https://dd3ka9h4chfr8.cloudfront.net/image/725136000567/image_84s136pf9d5h5b8qg1oag13i33/-FJPG/224056-004_TOP_1.jpg</t>
  </si>
  <si>
    <t>https://dd3ka9h4chfr8.cloudfront.net/image/725136000567/image_bicslsou3l1btfpv6372u27a0t/-FJPG/224056-004_DET_4.jpg</t>
  </si>
  <si>
    <t>https://dd3ka9h4chfr8.cloudfront.net/image/725136000567/image_20njgnbhq923namle1g1m91b21/-FJPG/224056-004_DET_5.jpg</t>
  </si>
  <si>
    <t>https://dd3ka9h4chfr8.cloudfront.net/image/725136000567/image_p5utj5jg9p3kr23f8u6ij5a373/-FJPG/224056-004_DET_6.jpg</t>
  </si>
  <si>
    <t>224056-005</t>
  </si>
  <si>
    <t>Viola Accent Table - Polished White Marble</t>
  </si>
  <si>
    <t>Polished White Marble</t>
  </si>
  <si>
    <t>Layer in a sculptural element anywhere. A dramatically shaped base of polished white marble supports slim iron piping and rounded tray-style tabletop - the perfect place to perch a drink or favorite book.</t>
  </si>
  <si>
    <t>https://dd3ka9h4chfr8.cloudfront.net/image/725136000567/image_0ue4lkeiht55lbn435l2pdiv5k/-S150x150-FJPG/224056-005_PRM_1.jpg</t>
  </si>
  <si>
    <t>https://dd3ka9h4chfr8.cloudfront.net/image/725136000567/image_0ue4lkeiht55lbn435l2pdiv5k/-FJPG/224056-005_PRM_1.jpg</t>
  </si>
  <si>
    <t>https://dd3ka9h4chfr8.cloudfront.net/image/725136000567/image_l6uu3icapp1bd6rtfr0c6b9p4m/-FJPG/224056-005_ESS_1.jpg</t>
  </si>
  <si>
    <t>https://dd3ka9h4chfr8.cloudfront.net/image/725136000567/image_rgqg6gngc16mp87m9tn8t1dh1l/-FJPG/224056-005_DET_2.jpg</t>
  </si>
  <si>
    <t>https://dd3ka9h4chfr8.cloudfront.net/image/725136000567/image_09m6p9m0ut3j9b54rl0etpuq4v/-FJPG/224056-005_DET_1.jpg</t>
  </si>
  <si>
    <t>https://dd3ka9h4chfr8.cloudfront.net/image/725136000567/image_b932jdsead0bla25pniq8van23/-FJPG/224056-005_DET_3.jpg</t>
  </si>
  <si>
    <t>https://dd3ka9h4chfr8.cloudfront.net/image/725136000567/image_rle38thoap0pn17fm67r41mi14/-FJPG/224056-005_TOP_1.jpg</t>
  </si>
  <si>
    <t>https://dd3ka9h4chfr8.cloudfront.net/image/725136000567/image_gof4lru0511on006r5bfktim1i/-FJPG/224056-005_DET_4.jpg</t>
  </si>
  <si>
    <t>https://dd3ka9h4chfr8.cloudfront.net/image/725136000567/image_ufiir4kh3t0p78r2a0mk845b42/-FJPG/224056-005_ESS_2.jpg</t>
  </si>
  <si>
    <t>224138-001</t>
  </si>
  <si>
    <t>Corbett Coffee Table - Creamy Taupe Marble</t>
  </si>
  <si>
    <t>Creamy Taupe Marble</t>
  </si>
  <si>
    <t>Hammered Grey</t>
  </si>
  <si>
    <t>A sculptural play on shape. Hammered grey-finished aluminum base supports a grand, rounded tabletop of creamy taupe marble with beautiful natural veining.</t>
  </si>
  <si>
    <t>https://dd3ka9h4chfr8.cloudfront.net/image/725136000567/image_46h29onf0p1hl0at7vbfbo9c73/-S150x150-FJPG/224138-001_PRM_1.jpg</t>
  </si>
  <si>
    <t>https://dd3ka9h4chfr8.cloudfront.net/image/725136000567/image_46h29onf0p1hl0at7vbfbo9c73/-FJPG/224138-001_PRM_1.jpg</t>
  </si>
  <si>
    <t>https://dd3ka9h4chfr8.cloudfront.net/image/725136000567/image_mpqraq8osp5rf37auqhec0hh1m/-FJPG/224138-001_DET_2.jpg</t>
  </si>
  <si>
    <t>https://dd3ka9h4chfr8.cloudfront.net/image/725136000567/image_qbunhuq4513490a1rh5u72en74/-FJPG/224138-001_INF_1.png</t>
  </si>
  <si>
    <t>https://dd3ka9h4chfr8.cloudfront.net/image/725136000567/image_ajp25bilf13e1aelriu4kloa0f/-FJPG/224138-001_DET_3.jpg</t>
  </si>
  <si>
    <t>https://dd3ka9h4chfr8.cloudfront.net/image/725136000567/image_mh9s4ihtd137hd8gpn2bqodo3p/-FJPG/224138-001_DET_4.jpg</t>
  </si>
  <si>
    <t>https://dd3ka9h4chfr8.cloudfront.net/image/725136000567/image_dlvskis3c57jjb96envs7eh842/-FJPG/224138-001_DET_5.jpg</t>
  </si>
  <si>
    <t>https://dd3ka9h4chfr8.cloudfront.net/image/725136000567/image_lc6krl2p7h6df2r196o47ooq5j/-FJPG/224138-001_ROM_1.jpg</t>
  </si>
  <si>
    <t>https://dd3ka9h4chfr8.cloudfront.net/image/725136000567/image_qcaima5o0d6ihb690ec0t59m79/-FJPG/224138-001_VIG_2.jpg</t>
  </si>
  <si>
    <t>https://dd3ka9h4chfr8.cloudfront.net/image/725136000567/image_bhuf669qht4kf99glu4md0583r/-FJPG/224138-001_ESS_3.jpg</t>
  </si>
  <si>
    <t>https://dd3ka9h4chfr8.cloudfront.net/image/725136000567/image_jnh8cqnhu154n3roq7k1l1m82q/-FJPG/224138-001_VIG_4.jpg</t>
  </si>
  <si>
    <t>Corbett</t>
  </si>
  <si>
    <t>224138-002</t>
  </si>
  <si>
    <t>Textured Matte White</t>
  </si>
  <si>
    <t>A sculptural play on shape. Textured matte white-finished aluminum base supports a grand, rounded tabletop of creamy taupe marble with beautiful natural veining.</t>
  </si>
  <si>
    <t>https://dd3ka9h4chfr8.cloudfront.net/image/725136000567/image_iksdu655gt2chfmio761b57l40/-S150x150-FJPG/224138-002_PRM_1.jpg</t>
  </si>
  <si>
    <t>https://dd3ka9h4chfr8.cloudfront.net/image/725136000567/image_iksdu655gt2chfmio761b57l40/-FJPG/224138-002_PRM_1.jpg</t>
  </si>
  <si>
    <t>https://dd3ka9h4chfr8.cloudfront.net/image/725136000567/image_l9gh8sbva965l49t9scme2ho40/-FJPG/224138-002_ESS_1.jpg</t>
  </si>
  <si>
    <t>https://dd3ka9h4chfr8.cloudfront.net/image/725136000567/image_jbjgn4ch1l3ft9s5eet9ok0e6u/-FJPG/224138-002_DET_2.jpg</t>
  </si>
  <si>
    <t>https://dd3ka9h4chfr8.cloudfront.net/image/725136000567/image_rgouk1tbmd6bndof5sooo6fc7r/-FJPG/224138-002_DET_1.jpg</t>
  </si>
  <si>
    <t>https://dd3ka9h4chfr8.cloudfront.net/image/725136000567/image_sqg1holiuh6h34s2m1h17kbd42/-FJPG/224138-002_DET_3.jpg</t>
  </si>
  <si>
    <t>https://dd3ka9h4chfr8.cloudfront.net/image/725136000567/image_k0ga35popp1qfd4vv2rtgojn5p/-FJPG/224138-002_DET_4.jpg</t>
  </si>
  <si>
    <t>https://dd3ka9h4chfr8.cloudfront.net/image/725136000567/image_q011fnfo2d03nfk0bkqb54301h/-FJPG/224138-002_DET_5.jpg</t>
  </si>
  <si>
    <t>https://dd3ka9h4chfr8.cloudfront.net/image/725136000567/image_29jdc228n54fpfq3vcuipktj37/-FJPG/224138-002_DET_6.jpg</t>
  </si>
  <si>
    <t>224138-003</t>
  </si>
  <si>
    <t>Corbett Coffee Table - River Grey Marble</t>
  </si>
  <si>
    <t>River Grey Marble</t>
  </si>
  <si>
    <t>A sculptural play on shape. Hammered grey-finished aluminum base supports a solid marble tabletop in complementary grey with striking natural veining.</t>
  </si>
  <si>
    <t>https://dd3ka9h4chfr8.cloudfront.net/image/725136000567/image_jghp3id8p16ut7amavms19j75v/-S150x150-FJPG/224138-003_PRM_1.jpg</t>
  </si>
  <si>
    <t>https://dd3ka9h4chfr8.cloudfront.net/image/725136000567/image_jghp3id8p16ut7amavms19j75v/-FJPG/224138-003_PRM_1.jpg</t>
  </si>
  <si>
    <t>https://dd3ka9h4chfr8.cloudfront.net/image/725136000567/image_oi4qu75da97tn8kp7oatgpbg6k/-FJPG/224138-003_ESS_1.jpg</t>
  </si>
  <si>
    <t>https://dd3ka9h4chfr8.cloudfront.net/image/725136000567/image_nr08269nqd4lr49svmablrh859/-FJPG/224138-003_DET_2.jpg</t>
  </si>
  <si>
    <t>https://dd3ka9h4chfr8.cloudfront.net/image/725136000567/image_mta929gj553mn13shqas90i874/-FJPG/224138-003_INF_1.jpg</t>
  </si>
  <si>
    <t>https://dd3ka9h4chfr8.cloudfront.net/image/725136000567/image_hb0gjpbci57b96g20k5vbakk3r/-FJPG/224138-003_DET_1.jpg</t>
  </si>
  <si>
    <t>https://dd3ka9h4chfr8.cloudfront.net/image/725136000567/image_nvm99spd516fr38qslt7b22f5o/-FJPG/224138-003_DET_3.jpg</t>
  </si>
  <si>
    <t>https://dd3ka9h4chfr8.cloudfront.net/image/725136000567/image_b9fmvgd7l52tde585gd76fkd3o/-FJPG/224138-003_DET_4.jpg</t>
  </si>
  <si>
    <t>https://dd3ka9h4chfr8.cloudfront.net/image/725136000567/image_sb09imhl1h6o5f82q99l3mk506/-FJPG/224138-003_DET_5.jpg</t>
  </si>
  <si>
    <t>224138-005</t>
  </si>
  <si>
    <t>Corbett Coffee Table - Polished Black Marble</t>
  </si>
  <si>
    <t>Polished Black Marble</t>
  </si>
  <si>
    <t>For a sculptural play on shape, a hammered grey aluminum base supports a rounded tabletop of black solid marble with swirls of natural veining.</t>
  </si>
  <si>
    <t>https://dd3ka9h4chfr8.cloudfront.net/image/725136000567/image_pdgb8bh6ap4m59vu8fv163b86p/-S150x150-FJPG/224138-005_PRM_1.jpg</t>
  </si>
  <si>
    <t>https://dd3ka9h4chfr8.cloudfront.net/image/725136000567/image_kdg5ue8vdd6or82udh89flsc4q/-FJPG/224138-005_FRT_1.jpg</t>
  </si>
  <si>
    <t>https://dd3ka9h4chfr8.cloudfront.net/image/725136000567/image_pdgb8bh6ap4m59vu8fv163b86p/-FJPG/224138-005_PRM_1.jpg</t>
  </si>
  <si>
    <t>https://dd3ka9h4chfr8.cloudfront.net/image/725136000567/image_03bl8hvpq165rb5u4pm8dka10n/-FJPG/224138-005_SID_1.jpg</t>
  </si>
  <si>
    <t>https://dd3ka9h4chfr8.cloudfront.net/image/725136000567/image_mn3cfqiu0p4nvf1qj99lf1jj23/-FJPG/224138-005_DET_2.jpg</t>
  </si>
  <si>
    <t>https://dd3ka9h4chfr8.cloudfront.net/image/725136000567/image_r42l45d52p4nr6olkc3bju7l79/-FJPG/224138-005_DET_1.jpg</t>
  </si>
  <si>
    <t>https://dd3ka9h4chfr8.cloudfront.net/image/725136000567/image_34bi4lgjeh3bt2atctkqpe666v/-FJPG/224138-005_DET_3.jpg</t>
  </si>
  <si>
    <t>https://dd3ka9h4chfr8.cloudfront.net/image/725136000567/image_rsl5o4nqj17nt84bck1ej79d0f/-FJPG/224138-005_TOP_1.jpg</t>
  </si>
  <si>
    <t>https://dd3ka9h4chfr8.cloudfront.net/image/725136000567/image_6dcs9uo2313r3asp0kejegcl02/-FJPG/224138-005_DET_4.jpg</t>
  </si>
  <si>
    <t>224315-001</t>
  </si>
  <si>
    <t>Edwyn Large Ottoman - Gibson Wheat</t>
  </si>
  <si>
    <t>Gibson Wheat</t>
  </si>
  <si>
    <t>Stylish versatility. An airy base of gunmetal-finished iron supports rounded beech wood with textural wheat-colored upholstery. Perfectly scaled to create additional seating or an extra surface when topped with a tray.</t>
  </si>
  <si>
    <t>https://dd3ka9h4chfr8.cloudfront.net/image/725136000567/image_4atfghjbh96rvdq6luopn3ht19/-S150x150-FJPG/224315-001_PRM_1.jpg</t>
  </si>
  <si>
    <t>https://dd3ka9h4chfr8.cloudfront.net/image/725136000567/image_hu19mnr2j117fcu6a5fgf3of6d/-FJPG/224315-001_FRT_1.jpg</t>
  </si>
  <si>
    <t>https://dd3ka9h4chfr8.cloudfront.net/image/725136000567/image_4atfghjbh96rvdq6luopn3ht19/-FJPG/224315-001_PRM_1.jpg</t>
  </si>
  <si>
    <t>https://dd3ka9h4chfr8.cloudfront.net/image/725136000567/image_jakkk20p0171738htloiupqf44/-FJPG/224315-001_SID_1.jpg</t>
  </si>
  <si>
    <t>https://dd3ka9h4chfr8.cloudfront.net/image/725136000567/image_j5445sito54k54fn6ojr7bh52f/-FJPG/224315-001_ESS_1.jpg</t>
  </si>
  <si>
    <t>https://dd3ka9h4chfr8.cloudfront.net/image/725136000567/image_b6jj623c351r3dr4l6n6g7f72b/-FJPG/224315-001_DET_2.jpg</t>
  </si>
  <si>
    <t>https://dd3ka9h4chfr8.cloudfront.net/image/725136000567/image_uq034qclvp7id0d6qee72ofi0m/-FJPG/224315-001_INF_1.jpg</t>
  </si>
  <si>
    <t>https://dd3ka9h4chfr8.cloudfront.net/image/725136000567/image_9luuvkmjlp64v0hkctk85bi95t/-FJPG/224315-001_DET_1.jpg</t>
  </si>
  <si>
    <t>https://dd3ka9h4chfr8.cloudfront.net/image/725136000567/image_l49bfejnfd1nd36pvh8g7jcn2h/-FJPG/224315-001_DET_3.jpg</t>
  </si>
  <si>
    <t>https://dd3ka9h4chfr8.cloudfront.net/image/725136000567/image_mv52u1osqd1i380dcprtk4et5f/-FJPG/224315-001_TOP_1.jpg</t>
  </si>
  <si>
    <t>https://dd3ka9h4chfr8.cloudfront.net/image/725136000567/image_tvi6enbdk90cj1hvmprph6fo0k/-FJPG/224315-001_DET_4.jpg</t>
  </si>
  <si>
    <t>https://dd3ka9h4chfr8.cloudfront.net/image/725136000567/image_1kr0v9csfp66fcun6aj5phmo75/-FJPG/224315-001_DET_5.jpg</t>
  </si>
  <si>
    <t>https://dd3ka9h4chfr8.cloudfront.net/image/725136000567/image_f2amqsvva532j9bc5hsvvtlj7g/-FJPG/224315-001_DET_6.jpg</t>
  </si>
  <si>
    <t>https://dd3ka9h4chfr8.cloudfront.net/image/725136000567/image_lmf1fg6g0p7ivdn0lbnsvcko0v/-FJPG/224315-001_PRM_2.jpg</t>
  </si>
  <si>
    <t>Edwyn</t>
  </si>
  <si>
    <t>37.40"</t>
  </si>
  <si>
    <t>224315-002</t>
  </si>
  <si>
    <t>Edwyn Large Ottoman - Sonoma Black</t>
  </si>
  <si>
    <t>Sable Beech</t>
  </si>
  <si>
    <t>Stylish versatility. An airy base of gunmetal-finished iron supports rounded beech wood with top-grain leather upholstery. Perfectly scaled to create additional seating or an extra surface when topped with a tray.</t>
  </si>
  <si>
    <t>https://dd3ka9h4chfr8.cloudfront.net/image/725136000567/image_3hudl6efg11qdat8ha14c0gt1v/-S150x150-FJPG/224315-002_PRM_1.jpg</t>
  </si>
  <si>
    <t>https://dd3ka9h4chfr8.cloudfront.net/image/725136000567/image_esfm8hesih69fda9cejsnnmu7q/-FJPG/224315-002_FRT_1.jpg</t>
  </si>
  <si>
    <t>https://dd3ka9h4chfr8.cloudfront.net/image/725136000567/image_3hudl6efg11qdat8ha14c0gt1v/-FJPG/224315-002_PRM_1.jpg</t>
  </si>
  <si>
    <t>https://dd3ka9h4chfr8.cloudfront.net/image/725136000567/image_7f68ppo2197r16pdjb0duoir2n/-FJPG/224315-002_SID_1.jpg</t>
  </si>
  <si>
    <t>https://dd3ka9h4chfr8.cloudfront.net/image/725136000567/image_emivfmb3490d78mb6bba8ecv2p/-FJPG/224315-002_ESS.tif</t>
  </si>
  <si>
    <t>https://dd3ka9h4chfr8.cloudfront.net/image/725136000567/image_hr1ke7gnph26hd7b50rss38v79/-FJPG/224315-002_DET_2.jpg</t>
  </si>
  <si>
    <t>https://dd3ka9h4chfr8.cloudfront.net/image/725136000567/image_3ptv31hl7104td5luks7nl347v/-FJPG/224315-002_DET_1.jpg</t>
  </si>
  <si>
    <t>https://dd3ka9h4chfr8.cloudfront.net/image/725136000567/image_4gsahdf4rp13re07tcv68rhm1p/-FJPG/224315-002_DET_3.jpg</t>
  </si>
  <si>
    <t>224318-001</t>
  </si>
  <si>
    <t>Stark Sideboard - Warm Espresso Veneer</t>
  </si>
  <si>
    <t>Tracey Boyd for Four Hands</t>
  </si>
  <si>
    <t>Warm Espresso Veneer</t>
  </si>
  <si>
    <t>Mahogany Veneer</t>
  </si>
  <si>
    <t>Solid Mahogany</t>
  </si>
  <si>
    <t>Solid mahogany is finished in a warm espresso, with vertical reeding for a linear look. Plinth base, rounded corners and iron hardware finished in an antique brass reflect midcentury inspiration.</t>
  </si>
  <si>
    <t>https://dd3ka9h4chfr8.cloudfront.net/image/725136000567/image_ga4pg6ffel2gpa97r6sggui604/-S150x150-FJPG/224318-001_PRM_1.jpg</t>
  </si>
  <si>
    <t>https://dd3ka9h4chfr8.cloudfront.net/image/725136000567/image_17h8stvhj95u15b8a8214ghr6p/-FJPG/224318-001_FRT_1.jpg</t>
  </si>
  <si>
    <t>https://dd3ka9h4chfr8.cloudfront.net/image/725136000567/image_ga4pg6ffel2gpa97r6sggui604/-FJPG/224318-001_PRM_1.jpg</t>
  </si>
  <si>
    <t>https://dd3ka9h4chfr8.cloudfront.net/image/725136000567/image_d2oktqmk4l3brf66nn0kamrm5d/-FJPG/224318-001_SID_1.jpg</t>
  </si>
  <si>
    <t>https://dd3ka9h4chfr8.cloudfront.net/image/725136000567/image_ec2mucvnsl681c1ebn6e7d2q0v/-FJPG/224318-001_DET_2.jpg</t>
  </si>
  <si>
    <t>https://dd3ka9h4chfr8.cloudfront.net/image/725136000567/image_h0nc1s0edt50f72c8n4gbhl71j/-FJPG/224318-001_BCK_1.jpg</t>
  </si>
  <si>
    <t>https://dd3ka9h4chfr8.cloudfront.net/image/725136000567/image_ed3qbefm6h491c1gqroia2s31f/-FJPG/224318-001_DET_1.jpg</t>
  </si>
  <si>
    <t>https://dd3ka9h4chfr8.cloudfront.net/image/725136000567/image_o13bjk9q5h4lh5nrbrqk4ohf2m/-FJPG/224318-001_DET_3.jpg</t>
  </si>
  <si>
    <t>https://dd3ka9h4chfr8.cloudfront.net/image/725136000567/image_9difdnqrt178r22p2pjokmu179/-FJPG/224318-001_OPN_1.jpg</t>
  </si>
  <si>
    <t>https://dd3ka9h4chfr8.cloudfront.net/image/725136000567/image_udt22lapvt3g5013rqqdu0h61p/-FJPG/224318-001_DET_4.jpg</t>
  </si>
  <si>
    <t>https://dd3ka9h4chfr8.cloudfront.net/image/725136000567/image_r32g78i4md3gr1e3nq7stphn7v/-FJPG/224318-001_DET_5.jpg</t>
  </si>
  <si>
    <t>https://dd3ka9h4chfr8.cloudfront.net/image/725136000567/image_ahocchvhu977ver4857haack74/-FJPG/224318-001_DET_6.jpg</t>
  </si>
  <si>
    <t>Indonesia</t>
  </si>
  <si>
    <t>12.20"</t>
  </si>
  <si>
    <t>Stark</t>
  </si>
  <si>
    <t>15.25"</t>
  </si>
  <si>
    <t>31.46"</t>
  </si>
  <si>
    <t>224413-001</t>
  </si>
  <si>
    <t>Malia Dining Table - Natural Oak</t>
  </si>
  <si>
    <t>Polished Travertine</t>
  </si>
  <si>
    <t>Solid Travertine</t>
  </si>
  <si>
    <t>Make a mixed material statement. Cylindrical legs of solid travertine provide a dramatically scaled base for a rectangular tabletop of solid natural oak, for a fresh twist on organic Seventies styling. Seats six comfortably.</t>
  </si>
  <si>
    <t>https://dd3ka9h4chfr8.cloudfront.net/image/725136000567/image_r4351178np6fj94i41fun2lr6r/-S150x150-FJPG/224413-001_PRM_1.jpg</t>
  </si>
  <si>
    <t>https://dd3ka9h4chfr8.cloudfront.net/image/725136000567/image_inian8p1ch2l3bgu7ncfmf592e/-FJPG/224413-001_FRT_1.jpg</t>
  </si>
  <si>
    <t>https://dd3ka9h4chfr8.cloudfront.net/image/725136000567/image_r4351178np6fj94i41fun2lr6r/-FJPG/224413-001_PRM_1.jpg</t>
  </si>
  <si>
    <t>https://dd3ka9h4chfr8.cloudfront.net/image/725136000567/image_el2aedj7el5n98a36gb5o7ap36/-FJPG/224413-001_SID_1.jpg</t>
  </si>
  <si>
    <t>https://dd3ka9h4chfr8.cloudfront.net/image/725136000567/image_t495a5ptsd3b7chb943gpel84i/-FJPG/224413-001_DET_2.jpg</t>
  </si>
  <si>
    <t>https://dd3ka9h4chfr8.cloudfront.net/image/725136000567/image_cdu1dc80n97j1fo6t0crv0f54f/-FJPG/224413-001_DET_1.jpg</t>
  </si>
  <si>
    <t>https://dd3ka9h4chfr8.cloudfront.net/image/725136000567/image_9qhhnaovfh3iv8vhbs9qki8t3s/-FJPG/224413-001_DET_3.jpg</t>
  </si>
  <si>
    <t>https://dd3ka9h4chfr8.cloudfront.net/image/725136000567/image_5octklhk6t4qb0m18a4badso2u/-FJPG/224413-001_DET_4.jpg</t>
  </si>
  <si>
    <t>https://dd3ka9h4chfr8.cloudfront.net/image/725136000567/image_a7s6sfl1q161ff9oahm095l94a/-FJPG/224413-001_DET_5.jpg</t>
  </si>
  <si>
    <t>https://dd3ka9h4chfr8.cloudfront.net/image/725136000567/image_gc4570us0t1nb8jhuteoecfc2d/-FJPG/224413-001_DET_6.jpg</t>
  </si>
  <si>
    <t>https://dd3ka9h4chfr8.cloudfront.net/image/725136000567/image_l25mtjq1796svada94opap0b4r/-FJPG/224413-001_DET_7.jpg</t>
  </si>
  <si>
    <t>https://dd3ka9h4chfr8.cloudfront.net/image/725136000567/image_0386adfp9t6cj0iu9p69bqd21i/-FJPG/224413-001_VIG_1.jpg</t>
  </si>
  <si>
    <t>Malia</t>
  </si>
  <si>
    <t>224457-001</t>
  </si>
  <si>
    <t>Journey Nightstand - White Mahogany</t>
  </si>
  <si>
    <t>White Mahogany</t>
  </si>
  <si>
    <t>Bleached Burl</t>
  </si>
  <si>
    <t>Thick Mahogany Veneer</t>
  </si>
  <si>
    <t>Thick Ash Burl Veneer</t>
  </si>
  <si>
    <t>A stunning statement piece. Atop a squared plinth base, white-finished mahogany encases a spacious single drawer of bleached burl with organic patchwork, cut and placed by hand. Push-latch open for a clean, seamless look. Each piece unique.</t>
  </si>
  <si>
    <t>https://dd3ka9h4chfr8.cloudfront.net/image/725136000567/image_ji203sbe051at7i61sf9of647l/-S150x150-FJPG/224457-001_PRM_1.jpg</t>
  </si>
  <si>
    <t>https://dd3ka9h4chfr8.cloudfront.net/image/725136000567/image_7vj1s0126950l9hq8g6p31re26/-FJPG/224457-001_FRT_1.jpg</t>
  </si>
  <si>
    <t>https://dd3ka9h4chfr8.cloudfront.net/image/725136000567/image_ji203sbe051at7i61sf9of647l/-FJPG/224457-001_PRM_1.jpg</t>
  </si>
  <si>
    <t>https://dd3ka9h4chfr8.cloudfront.net/image/725136000567/image_055o4p56vd6ir2nfeagnjup625/-FJPG/224457-001_SID_1.jpg</t>
  </si>
  <si>
    <t>https://dd3ka9h4chfr8.cloudfront.net/image/725136000567/image_n14ohj221t20n7ec9v6rlf9n42/-FJPG/224457-001_ESS.tif</t>
  </si>
  <si>
    <t>https://dd3ka9h4chfr8.cloudfront.net/image/725136000567/image_nm23n73uqh2pr8otf8ig8kae14/-FJPG/224457-001_DET_2.jpg</t>
  </si>
  <si>
    <t>https://dd3ka9h4chfr8.cloudfront.net/image/725136000567/image_s1pf6enrf920vd2ple12mi290d/-FJPG/224457-001_BCK_1.jpg</t>
  </si>
  <si>
    <t>https://dd3ka9h4chfr8.cloudfront.net/image/725136000567/image_3coq70n56h7bj4isgk8lcfnl5b/-FJPG/224457-001_DET_1.jpg</t>
  </si>
  <si>
    <t>https://dd3ka9h4chfr8.cloudfront.net/image/725136000567/image_vhvhq72ptt5v5b8r6lfndiqj75/-FJPG/224457-001_DET_3.jpg</t>
  </si>
  <si>
    <t>https://dd3ka9h4chfr8.cloudfront.net/image/725136000567/image_m1cbrvt4r12019ru0cc5fqcf4g/-FJPG/224457-001_OPN_1.jpg</t>
  </si>
  <si>
    <t>https://dd3ka9h4chfr8.cloudfront.net/image/725136000567/image_oh950ds1s53rldp0kk227u357t/-FJPG/224457-001_DET_4.jpg</t>
  </si>
  <si>
    <t>https://dd3ka9h4chfr8.cloudfront.net/image/725136000567/image_256on3tqqp7vj59lp5uuv0o508/-FJPG/224457-001_DET_5.jpg</t>
  </si>
  <si>
    <t>https://dd3ka9h4chfr8.cloudfront.net/image/725136000567/image_e373g94ph12jdda32qg38om716/-FJPG/224457-001_DET_6.jpg</t>
  </si>
  <si>
    <t>https://dd3ka9h4chfr8.cloudfront.net/image/725136000567/image_qnu72b67190236kfqngheuod5r/-FJPG/224457-001_DET_7.jpg</t>
  </si>
  <si>
    <t>https://dd3ka9h4chfr8.cloudfront.net/image/725136000567/image_rii68d6n117c1dg60h0t59v90l/-FJPG/224457-001_VIG_1.jpg</t>
  </si>
  <si>
    <t>https://dd3ka9h4chfr8.cloudfront.net/image/725136000567/image_31fhjvedpd5h3d2837hhnqgd3i/-FJPG/224457-001_VIG_2.jpg</t>
  </si>
  <si>
    <t>20.63"</t>
  </si>
  <si>
    <t>Journey</t>
  </si>
  <si>
    <t>12.88"</t>
  </si>
  <si>
    <t>18.88"</t>
  </si>
  <si>
    <t>224473-001</t>
  </si>
  <si>
    <t>Reuben Chair - Harbor Natural</t>
  </si>
  <si>
    <t>Harbor Natural</t>
  </si>
  <si>
    <t>Lamont Oak</t>
  </si>
  <si>
    <t>60% Cotton</t>
  </si>
  <si>
    <t>40% Flax/Linen</t>
  </si>
  <si>
    <t>Elegance is no exaggeration. Slim, tapered nettlewood with arms wrapped in vintage leather frames a floating seat covered in a natural cotton and linen blend.</t>
  </si>
  <si>
    <t>https://dd3ka9h4chfr8.cloudfront.net/image/725136000567/image_sqiq4n6ij918lfr2fu1qru477p/-S150x150-FJPG/224473-001_PRM_1.jpg</t>
  </si>
  <si>
    <t>https://dd3ka9h4chfr8.cloudfront.net/image/725136000567/image_ku6pvv9ktt461bmjp9air16u2s/-FJPG/224473-001_FRT_1.jpg</t>
  </si>
  <si>
    <t>https://dd3ka9h4chfr8.cloudfront.net/image/725136000567/image_sqiq4n6ij918lfr2fu1qru477p/-FJPG/224473-001_PRM_1.jpg</t>
  </si>
  <si>
    <t>https://dd3ka9h4chfr8.cloudfront.net/image/725136000567/image_io73e2caqp1tpcrk8p2gsa8r3r/-FJPG/224473-001_SID_1.jpg</t>
  </si>
  <si>
    <t>https://dd3ka9h4chfr8.cloudfront.net/image/725136000567/image_otjddjc9bp6t30o5k6bv204r7l/-FJPG/224473-001_ESS.tif</t>
  </si>
  <si>
    <t>https://dd3ka9h4chfr8.cloudfront.net/image/725136000567/image_sjhoobcgg51u19bsmc6bee3a4i/-FJPG/224473-001_DET_2.jpg</t>
  </si>
  <si>
    <t>https://dd3ka9h4chfr8.cloudfront.net/image/725136000567/image_4vt0cvrti16153e16jiua7oo1p/-FJPG/224473-001_BCK_1.jpg</t>
  </si>
  <si>
    <t>https://dd3ka9h4chfr8.cloudfront.net/image/725136000567/image_hh7vpf2v9l4114hgva5n76vj5q/-FJPG/224473-001_DET_1.jpg</t>
  </si>
  <si>
    <t>https://dd3ka9h4chfr8.cloudfront.net/image/725136000567/image_gfura9tpn920lauabraoak9n43/-FJPG/224473-001_DET_3.jpg</t>
  </si>
  <si>
    <t>https://dd3ka9h4chfr8.cloudfront.net/image/725136000567/image_maueo5u8sp4jf2s2h155t9tk45/-FJPG/224473-001_DET_4.jpg</t>
  </si>
  <si>
    <t>https://dd3ka9h4chfr8.cloudfront.net/image/725136000567/image_4piajehkgh757b3v85ge662q05/-FJPG/224473-001_DET_5.jpg</t>
  </si>
  <si>
    <t>https://dd3ka9h4chfr8.cloudfront.net/image/725136000567/image_ako1sljvm97rh3e66d6c8o0s1f/-FJPG/224473-001_DET_6.jpg</t>
  </si>
  <si>
    <t>17.91"</t>
  </si>
  <si>
    <t>Reuben</t>
  </si>
  <si>
    <t>24.17"</t>
  </si>
  <si>
    <t>224514-002</t>
  </si>
  <si>
    <t>Harrison Chair - Villa Olive</t>
  </si>
  <si>
    <t>Villa Olive</t>
  </si>
  <si>
    <t>Burnished Parawood</t>
  </si>
  <si>
    <t>Brushed Silver</t>
  </si>
  <si>
    <t>62% Cotton</t>
  </si>
  <si>
    <t>18% Viscose (Rayon)</t>
  </si>
  <si>
    <t>Details make the chair. With plush cotton-blend upholstery that wraps each arm, faux toggles add an element of interest to luxuriously comfortable mid-century-inspired seating in a light olive hue, with softly sculpted parawood framing carrying out a beautifully neutral look.</t>
  </si>
  <si>
    <t>https://dd3ka9h4chfr8.cloudfront.net/image/725136000567/image_88rfgh12gl6nl5kgkk3rg7db4s/-S150x150-FJPG/224514-002_PRM_1.jpg</t>
  </si>
  <si>
    <t>https://dd3ka9h4chfr8.cloudfront.net/image/725136000567/image_109cdthfep5ct4ip44ft25qg2f/-FJPG/224514-002_FRT_1.jpg</t>
  </si>
  <si>
    <t>https://dd3ka9h4chfr8.cloudfront.net/image/725136000567/image_88rfgh12gl6nl5kgkk3rg7db4s/-FJPG/224514-002_PRM_1.jpg</t>
  </si>
  <si>
    <t>https://dd3ka9h4chfr8.cloudfront.net/image/725136000567/image_t5oqk2hqrl4151rqicstslmt37/-FJPG/224514-002_SID_1.jpg</t>
  </si>
  <si>
    <t>https://dd3ka9h4chfr8.cloudfront.net/image/725136000567/image_n8tfa8bbgd7f5c8k3rgbo2e01f/-FJPG/224514-002_ESS_1.jpg</t>
  </si>
  <si>
    <t>https://dd3ka9h4chfr8.cloudfront.net/image/725136000567/image_jo2bf8dgvh5nd9595v7n796t67/-FJPG/224514-002_DET_2.jpg</t>
  </si>
  <si>
    <t>https://dd3ka9h4chfr8.cloudfront.net/image/725136000567/image_nsphk96m090alegu2bcq6tlv5k/-FJPG/224514-002_BCK_1.jpg</t>
  </si>
  <si>
    <t>https://dd3ka9h4chfr8.cloudfront.net/image/725136000567/image_22nt0vevft6glevqago8rtgm0j/-FJPG/224514-002_DET_1.jpg</t>
  </si>
  <si>
    <t>https://dd3ka9h4chfr8.cloudfront.net/image/725136000567/image_v8vo1mob6h6g99d4f4fiirmu75/-FJPG/224514-002_DET_3.jpg</t>
  </si>
  <si>
    <t>https://dd3ka9h4chfr8.cloudfront.net/image/725136000567/image_9d6vq03k9l2epc3kn8jl10il0a/-FJPG/224514-002_DET_4.jpg</t>
  </si>
  <si>
    <t>https://dd3ka9h4chfr8.cloudfront.net/image/725136000567/image_8kgsiqt9jh7p91fisv4vha283s/-FJPG/224514-002_DET_5.jpg</t>
  </si>
  <si>
    <t>https://dd3ka9h4chfr8.cloudfront.net/image/725136000567/image_9l55v4tbe526na5di6odvdnf2m/-FJPG/224514-002_DET_6.jpg</t>
  </si>
  <si>
    <t>https://dd3ka9h4chfr8.cloudfront.net/image/725136000567/image_o78bgf6ko173v0ck7avjlmv64q/-FJPG/224514-002_DET_7.jpg</t>
  </si>
  <si>
    <t>https://dd3ka9h4chfr8.cloudfront.net/image/725136000567/image_h3r2qoell16vla9i95p3oc9649/-FJPG/224514-002_PRM_2.JPG</t>
  </si>
  <si>
    <t>9.65"</t>
  </si>
  <si>
    <t>26.77"</t>
  </si>
  <si>
    <t>50% Polyurethane Foam</t>
  </si>
  <si>
    <t xml:space="preserve"> 35% Fiber</t>
  </si>
  <si>
    <t xml:space="preserve"> 15% Waterfowl Feather</t>
  </si>
  <si>
    <t>Harrison</t>
  </si>
  <si>
    <t>33.46"</t>
  </si>
  <si>
    <t>4.76"</t>
  </si>
  <si>
    <t>60% Polyurethane Foam, 40% Fiber</t>
  </si>
  <si>
    <t>224514-003</t>
  </si>
  <si>
    <t>Harrison Chair - Alcala Wheat</t>
  </si>
  <si>
    <t>Alcala Wheat</t>
  </si>
  <si>
    <t>Sable Parawood</t>
  </si>
  <si>
    <t>Details make the chair. With poly-blend performance fabric that wraps each arm, faux toggles add an element of interest to midcentury-inspired seating in a wheat hue, with softly sculpted parawood framing carrying out a beautiful neutral look.</t>
  </si>
  <si>
    <t>https://dd3ka9h4chfr8.cloudfront.net/image/725136000567/image_rnvhe7iakh6f125pdrdqf5bq7o/-S150x150-FJPG/224514-003_PRM_1.jpg</t>
  </si>
  <si>
    <t>https://dd3ka9h4chfr8.cloudfront.net/image/725136000567/image_ta2h27tt5p16317bt47jg02440/-FJPG/224514-003_FRT_1.jpg</t>
  </si>
  <si>
    <t>https://dd3ka9h4chfr8.cloudfront.net/image/725136000567/image_rnvhe7iakh6f125pdrdqf5bq7o/-FJPG/224514-003_PRM_1.jpg</t>
  </si>
  <si>
    <t>https://dd3ka9h4chfr8.cloudfront.net/image/725136000567/image_8adkjrk4d15lj0ejddg16p4u17/-FJPG/224514-003_SID_1.jpg</t>
  </si>
  <si>
    <t>https://dd3ka9h4chfr8.cloudfront.net/image/725136000567/image_7iu3nemkut0gr5beq9sgj5hl3e/-FJPG/224514-003_ESS_1.jpg</t>
  </si>
  <si>
    <t>https://dd3ka9h4chfr8.cloudfront.net/image/725136000567/image_fdjm56851l5ej0k3p5m93dif3q/-FJPG/224514-003_DET_2.jpg</t>
  </si>
  <si>
    <t>https://dd3ka9h4chfr8.cloudfront.net/image/725136000567/image_2n2ebdh4th3cneae4jeu8aqs6d/-FJPG/224514-003_BCK_1.jpg</t>
  </si>
  <si>
    <t>https://dd3ka9h4chfr8.cloudfront.net/image/725136000567/image_a41b8boj4d2iledhari2t4k517/-FJPG/224514-003_DET_1.jpg</t>
  </si>
  <si>
    <t>https://dd3ka9h4chfr8.cloudfront.net/image/725136000567/image_b3mol9kpqp4td061094lslar5r/-FJPG/224514-003_DET_3.jpg</t>
  </si>
  <si>
    <t>https://dd3ka9h4chfr8.cloudfront.net/image/725136000567/image_jc4hfvqid10hj15krqlddt0p65/-FJPG/224514-003_DET_4.jpg</t>
  </si>
  <si>
    <t>https://dd3ka9h4chfr8.cloudfront.net/image/725136000567/image_lddvbd6l3t6a53f7s6vadhmr1d/-FJPG/224514-003_DET_5.jpg</t>
  </si>
  <si>
    <t>https://dd3ka9h4chfr8.cloudfront.net/image/725136000567/image_usqjbjpa055u9agfd32aj7su27/-FJPG/224514-003_DET_6.jpg</t>
  </si>
  <si>
    <t>224514-005</t>
  </si>
  <si>
    <t>Harrison Chair - Palermo Nude</t>
  </si>
  <si>
    <t>Details make the chair. With plump top-grain leather wrapping each arm, faux toggles add an element of interest to luxuriously comfortable mid-century-inspired seating. Softly sculpted parawood framing carries out a beautifully neutral look.</t>
  </si>
  <si>
    <t>https://dd3ka9h4chfr8.cloudfront.net/image/725136000567/image_stqgvtpd716ibbn7opa47jnq5h/-S150x150-FJPG/224514-005_PRM_1.jpg</t>
  </si>
  <si>
    <t>https://dd3ka9h4chfr8.cloudfront.net/image/725136000567/image_4cpefo85h91spapieh5b75j26d/-FJPG/224514-005_FRT_1.jpg</t>
  </si>
  <si>
    <t>https://dd3ka9h4chfr8.cloudfront.net/image/725136000567/image_stqgvtpd716ibbn7opa47jnq5h/-FJPG/224514-005_PRM_1.jpg</t>
  </si>
  <si>
    <t>https://dd3ka9h4chfr8.cloudfront.net/image/725136000567/image_sdiv3rpdi54qff5oek5tsvtf76/-FJPG/224514-005_SID_1.jpg</t>
  </si>
  <si>
    <t>https://dd3ka9h4chfr8.cloudfront.net/image/725136000567/image_kgut9quon934f3i349t5mp7511/-FJPG/224514-005_DET_2.jpg</t>
  </si>
  <si>
    <t>https://dd3ka9h4chfr8.cloudfront.net/image/725136000567/image_0pmbg6s4h53s18g5upiijkni74/-FJPG/224514-005_BCK_1.jpg</t>
  </si>
  <si>
    <t>https://dd3ka9h4chfr8.cloudfront.net/image/725136000567/image_ou0vek1e394qbeefpfal3hm44j/-FJPG/224514-005_DET_1.jpg</t>
  </si>
  <si>
    <t>https://dd3ka9h4chfr8.cloudfront.net/image/725136000567/image_1jcqbree9p177cn24ch405rr6c/-FJPG/224514-005_DET_3.jpg</t>
  </si>
  <si>
    <t>https://dd3ka9h4chfr8.cloudfront.net/image/725136000567/image_m6ocip9b991np3uv1i9oqead2n/-FJPG/224514-005_DET_4.jpg</t>
  </si>
  <si>
    <t>https://dd3ka9h4chfr8.cloudfront.net/image/725136000567/image_84a5o14ict0vtf694vdcq0be77/-FJPG/224514-005_DET_5.jpg</t>
  </si>
  <si>
    <t>https://dd3ka9h4chfr8.cloudfront.net/image/725136000567/image_6f0ivh9k810gj28ni7ku3kg260/-FJPG/224514-005_DET_6.jpg</t>
  </si>
  <si>
    <t>https://dd3ka9h4chfr8.cloudfront.net/image/725136000567/image_rdighevk9l7818t99m43m2t77u/-FJPG/224514-005_ROM_1.jpg</t>
  </si>
  <si>
    <t>224556-001</t>
  </si>
  <si>
    <t>Bibianna Dining Table - Smoked Honey</t>
  </si>
  <si>
    <t>Blush Marble</t>
  </si>
  <si>
    <t>A sculptural showstopper inspired by Italian design. Finished in a smoked honey, a cone-tapered parawood base supports a rounded tabletop separated by blush-finished marble detailing. Seats four comfortably.</t>
  </si>
  <si>
    <t>https://dd3ka9h4chfr8.cloudfront.net/image/725136000567/image_sijq7c2hg57mbf48pdg4p3g76g/-S150x150-FJPG/224556-001_PRM_1.jpg</t>
  </si>
  <si>
    <t>https://dd3ka9h4chfr8.cloudfront.net/image/725136000567/image_sijq7c2hg57mbf48pdg4p3g76g/-FJPG/224556-001_PRM_1.jpg</t>
  </si>
  <si>
    <t>https://dd3ka9h4chfr8.cloudfront.net/image/725136000567/image_tp2kqufsuh11b9r6jr7a18gd14/-FJPG/224556-001_ESS.tif</t>
  </si>
  <si>
    <t>https://dd3ka9h4chfr8.cloudfront.net/image/725136000567/image_7c97ruffnh6h92rbk2a67i8e1e/-FJPG/224556-001_ESS_1.jpg</t>
  </si>
  <si>
    <t>https://dd3ka9h4chfr8.cloudfront.net/image/725136000567/image_o0old46vlp4mr5sg8tm7p5p61k/-FJPG/224556-001_DET_2.jpg</t>
  </si>
  <si>
    <t>https://dd3ka9h4chfr8.cloudfront.net/image/725136000567/image_6fqk3ef1pl1ffdaop0fquatj4m/-FJPG/224556-001_INF_1.jpg</t>
  </si>
  <si>
    <t>https://dd3ka9h4chfr8.cloudfront.net/image/725136000567/image_cmv5imktpp31n7hls0scbqic6o/-FJPG/224556-001_DET_1.jpg</t>
  </si>
  <si>
    <t>https://dd3ka9h4chfr8.cloudfront.net/image/725136000567/image_m4b31uq9m138p9vj7brur97u2l/-FJPG/224556-001_DET_3.jpg</t>
  </si>
  <si>
    <t>https://dd3ka9h4chfr8.cloudfront.net/image/725136000567/image_vbb471ic0t0ll2j0ggk7aahp02/-FJPG/224556-001_DET_4.jpg</t>
  </si>
  <si>
    <t>https://dd3ka9h4chfr8.cloudfront.net/image/725136000567/image_g765h9m8o90ktarhhcjege137p/-FJPG/224556-001_DET_5.jpg</t>
  </si>
  <si>
    <t>https://dd3ka9h4chfr8.cloudfront.net/image/725136000567/image_378t7hu5kd6fd73on3a1ecr34d/-FJPG/224556-001_DET_6.jpg</t>
  </si>
  <si>
    <t>https://dd3ka9h4chfr8.cloudfront.net/image/725136000567/image_drmh5dvcgd3abf6ti4kpdkge7i/-FJPG/224556-001_DET_7.jpg</t>
  </si>
  <si>
    <t>https://dd3ka9h4chfr8.cloudfront.net/image/725136000567/image_8o0d1r2i5h4kh4l4ntukjg997r/-FJPG/224556-001_DET_8.jpg</t>
  </si>
  <si>
    <t>https://dd3ka9h4chfr8.cloudfront.net/image/725136000567/image_kc8uf4hc291tvcqc2l5qmkre79/-FJPG/FourHands2_7239.tif</t>
  </si>
  <si>
    <t>https://dd3ka9h4chfr8.cloudfront.net/image/725136000567/image_l22deei1q12o723i8u9iq6t00l/-FJPG/224556-001_VIG_3.jpg</t>
  </si>
  <si>
    <t>Centre Marble</t>
  </si>
  <si>
    <t>Bibianna</t>
  </si>
  <si>
    <t>224556-002</t>
  </si>
  <si>
    <t>Honed White Marble</t>
  </si>
  <si>
    <t>A sculptural showstopper inspired by Italian design. Finished in a smoked honey, a cone-tapered parawood base supports a rounded tabletop separated by honed white-finished marble detailing. Seats four comfortably.</t>
  </si>
  <si>
    <t>https://dd3ka9h4chfr8.cloudfront.net/image/725136000567/image_chm43h13kt3ddf6mm5667gmi5p/-S150x150-FJPG/224556-002_PRM_1.jpg</t>
  </si>
  <si>
    <t>https://dd3ka9h4chfr8.cloudfront.net/image/725136000567/image_chm43h13kt3ddf6mm5667gmi5p/-FJPG/224556-002_PRM_1.jpg</t>
  </si>
  <si>
    <t>https://dd3ka9h4chfr8.cloudfront.net/image/725136000567/image_1bstu78ua96lr27ab6blufu958/-FJPG/224556-002_ESS_1.jpg</t>
  </si>
  <si>
    <t>https://dd3ka9h4chfr8.cloudfront.net/image/725136000567/image_4mj5e95ur550peb20aelsthm1s/-FJPG/224556-002_DET_2.jpg</t>
  </si>
  <si>
    <t>https://dd3ka9h4chfr8.cloudfront.net/image/725136000567/image_mm8mfr0mm970b6cnn8qfqhoq2q/-FJPG/224556-002_DET_1.jpg</t>
  </si>
  <si>
    <t>https://dd3ka9h4chfr8.cloudfront.net/image/725136000567/image_cppt4b1bjt1171m0v1gmbi7s0d/-FJPG/224556-002_DET_3.jpg</t>
  </si>
  <si>
    <t>224556-003</t>
  </si>
  <si>
    <t>Bibianna Dining Table - Worn Black Parawood</t>
  </si>
  <si>
    <t>A sculptural showstopper inspired by Italian design. Finished in classic black, a cone-tapered parawood base supports a rounded tabletop separated by black-finished marble detailing. Seats four comfortably.</t>
  </si>
  <si>
    <t>https://dd3ka9h4chfr8.cloudfront.net/image/725136000567/image_3ddbc0g3k10vd3772v6ofn1f2d/-S150x150-FJPG/224556-003_PRM_1.jpg</t>
  </si>
  <si>
    <t>https://dd3ka9h4chfr8.cloudfront.net/image/725136000567/image_3ddbc0g3k10vd3772v6ofn1f2d/-FJPG/224556-003_PRM_1.jpg</t>
  </si>
  <si>
    <t>https://dd3ka9h4chfr8.cloudfront.net/image/725136000567/image_fojsb3uaop04b319k7qaolot41/-FJPG/224556-003_ESS_1.jpg</t>
  </si>
  <si>
    <t>https://dd3ka9h4chfr8.cloudfront.net/image/725136000567/image_kvbffpt5cd7gd7bn7ktp4o6d63/-FJPG/224556-003_DET_2.jpg</t>
  </si>
  <si>
    <t>https://dd3ka9h4chfr8.cloudfront.net/image/725136000567/image_1lv2o97o990q77g698noctd56g/-FJPG/224556-003_DET_1.jpg</t>
  </si>
  <si>
    <t>https://dd3ka9h4chfr8.cloudfront.net/image/725136000567/image_4q7l5ch07t7610vt2q4aedd90n/-FJPG/224556-003_DET_3.jpg</t>
  </si>
  <si>
    <t>https://dd3ka9h4chfr8.cloudfront.net/image/725136000567/image_siv28daj1904f54uvuu2c04812/-FJPG/224556-003_DET_4.jpg</t>
  </si>
  <si>
    <t>https://dd3ka9h4chfr8.cloudfront.net/image/725136000567/image_goqn3msl4h3371rudup8578r3l/-FJPG/224556-003_DET_5.jpg</t>
  </si>
  <si>
    <t>https://dd3ka9h4chfr8.cloudfront.net/image/725136000567/image_7gsgsadlm56ur7433krgqc2b05/-FJPG/224556-003_DET_6.jpg</t>
  </si>
  <si>
    <t>https://dd3ka9h4chfr8.cloudfront.net/image/725136000567/image_h07ii1nug16snf54gcaiqpph3a/-FJPG/224556-003_DET_7.jpg</t>
  </si>
  <si>
    <t>224598-001</t>
  </si>
  <si>
    <t>Scout Bar &amp; Counter Table - Honed White Marble</t>
  </si>
  <si>
    <t>Auburn Mango</t>
  </si>
  <si>
    <t>Simple and streamlined, an eye-catching material mix takes this modern bar table to the next level. Auburn-finished mango forms an open, structured frame for a rectangular tabletop of solid white marble, for a midcentury-infused twist on traditional farmhouse styling.</t>
  </si>
  <si>
    <t>https://dd3ka9h4chfr8.cloudfront.net/image/725136000567/image_p2h6mel4l57tvaendan8vl6r3d/-S150x150-FJPG/224598-001_PRM_1.jpg</t>
  </si>
  <si>
    <t>https://dd3ka9h4chfr8.cloudfront.net/image/725136000567/image_ebsa7a4gh14u96jtre06b92q7o/-FJPG/224598-001_FRT_1.jpg</t>
  </si>
  <si>
    <t>https://dd3ka9h4chfr8.cloudfront.net/image/725136000567/image_p2h6mel4l57tvaendan8vl6r3d/-FJPG/224598-001_PRM_1.jpg</t>
  </si>
  <si>
    <t>https://dd3ka9h4chfr8.cloudfront.net/image/725136000567/image_f09jnbejkp3f50068c53rf465e/-FJPG/224598-001_SID_1.jpg</t>
  </si>
  <si>
    <t>https://dd3ka9h4chfr8.cloudfront.net/image/725136000567/image_rnt8j44ve97khd3ev7sllj7848/-FJPG/224598-001_DET_2.jpg</t>
  </si>
  <si>
    <t>https://dd3ka9h4chfr8.cloudfront.net/image/725136000567/image_1ei02pamm567t9o648vu1b6j5v/-FJPG/224598-001_DET_1.jpg</t>
  </si>
  <si>
    <t>https://dd3ka9h4chfr8.cloudfront.net/image/725136000567/image_qr6r5jm1gd7c3a9sik5ufgae3o/-FJPG/224598-001_DET_3.jpg</t>
  </si>
  <si>
    <t>https://dd3ka9h4chfr8.cloudfront.net/image/725136000567/image_s2hdms3i1t6s5fqfcd46ehat5a/-FJPG/224598-001_DET_4.jpg</t>
  </si>
  <si>
    <t>https://dd3ka9h4chfr8.cloudfront.net/image/725136000567/image_bk74r04c9923v92lbvqmn9dk7a/-FJPG/224598-001_DET_5.jpg</t>
  </si>
  <si>
    <t>https://dd3ka9h4chfr8.cloudfront.net/image/725136000567/image_0rb9cnmqq562r0pqaordngs62j/-FJPG/224598-001_DET_6.jpg</t>
  </si>
  <si>
    <t>https://dd3ka9h4chfr8.cloudfront.net/image/725136000567/image_eusi1bbd69547ca5cmb6u6fm4j/-FJPG/224598-001_ESS_1.jpg</t>
  </si>
  <si>
    <t>Legs</t>
  </si>
  <si>
    <t>Scout</t>
  </si>
  <si>
    <t>22.88"</t>
  </si>
  <si>
    <t>61.50"</t>
  </si>
  <si>
    <t>66.50"</t>
  </si>
  <si>
    <t>224598-002</t>
  </si>
  <si>
    <t>Simple and streamlined, an eye-catching material mix takes this counter-height table to the next level. Auburn-finished mango forms an open, structured frame for a rectangular tabletop of solid white marble, for a midcentury-infused twist on traditional farmhouse styling.</t>
  </si>
  <si>
    <t>https://dd3ka9h4chfr8.cloudfront.net/image/725136000567/image_n7pdg6u25t57rfh3ctsr812e5i/-S150x150-FJPG/224598-002_PRM_1.jpg</t>
  </si>
  <si>
    <t>https://dd3ka9h4chfr8.cloudfront.net/image/725136000567/image_jjugi13ev51u1aa1tg21k4f02h/-FJPG/224598-002_FRT_1.jpg</t>
  </si>
  <si>
    <t>https://dd3ka9h4chfr8.cloudfront.net/image/725136000567/image_n7pdg6u25t57rfh3ctsr812e5i/-FJPG/224598-002_PRM_1.jpg</t>
  </si>
  <si>
    <t>https://dd3ka9h4chfr8.cloudfront.net/image/725136000567/image_da5pg26pml0t78nfom5sscf12u/-FJPG/224598-002_SID_1.jpg</t>
  </si>
  <si>
    <t>https://dd3ka9h4chfr8.cloudfront.net/image/725136000567/image_toa29qnu151aldsi9vcbvumt2m/-FJPG/224598-002_DET_2.jpg</t>
  </si>
  <si>
    <t>https://dd3ka9h4chfr8.cloudfront.net/image/725136000567/image_9lf4r74vth3t1bgthoptd9sc3c/-FJPG/224598-002_DET_1.jpg</t>
  </si>
  <si>
    <t>https://dd3ka9h4chfr8.cloudfront.net/image/725136000567/image_5vu5csjokh7n38q0igmo3mp96m/-FJPG/224598-002_DET_3.jpg</t>
  </si>
  <si>
    <t>https://dd3ka9h4chfr8.cloudfront.net/image/725136000567/image_dg6s8slj7510755qckuqhp3h32/-FJPG/224598-002_DET_4.jpg</t>
  </si>
  <si>
    <t>https://dd3ka9h4chfr8.cloudfront.net/image/725136000567/image_bui00umbcd531cm59c3a69o454/-FJPG/224598-002_DET_5.jpg</t>
  </si>
  <si>
    <t>https://dd3ka9h4chfr8.cloudfront.net/image/725136000567/image_l8iu8g0klp6iv2n41s6kia4a10/-FJPG/224598-002_DET_6.jpg</t>
  </si>
  <si>
    <t>https://dd3ka9h4chfr8.cloudfront.net/image/725136000567/image_06uq10co893itanbkicvfj8408/-FJPG/224598-002_VIG_1.jpg</t>
  </si>
  <si>
    <t>21.88"</t>
  </si>
  <si>
    <t>62.00"</t>
  </si>
  <si>
    <t>Counter</t>
  </si>
  <si>
    <t>224598-004</t>
  </si>
  <si>
    <t>Scout Bar &amp; Counter Table - Polished Black Marble</t>
  </si>
  <si>
    <t>Worn Black Mango</t>
  </si>
  <si>
    <t>Simple and streamlined, an eye-catching material mix takes this modern counter-height table to the next level. Solid mango wood in a distressed black finish forms an open, structured frame for a rectangular tabletop of polished black marble, for a midcentury-infused twist on traditional farmhouse styling.</t>
  </si>
  <si>
    <t>https://dd3ka9h4chfr8.cloudfront.net/image/725136000567/image_hinnd044ph34t2kreqoku99n69/-S150x150-FJPG/224598-004_PRM_1.jpg</t>
  </si>
  <si>
    <t>https://dd3ka9h4chfr8.cloudfront.net/image/725136000567/image_1mfl1pmf655obcn4co6dfb9o7d/-FJPG/224598-004_FRT_1.jpg</t>
  </si>
  <si>
    <t>https://dd3ka9h4chfr8.cloudfront.net/image/725136000567/image_hinnd044ph34t2kreqoku99n69/-FJPG/224598-004_PRM_1.jpg</t>
  </si>
  <si>
    <t>https://dd3ka9h4chfr8.cloudfront.net/image/725136000567/image_3q61hcd1ap547etaui46k1a11u/-FJPG/224598-004_SID_1.jpg</t>
  </si>
  <si>
    <t>https://dd3ka9h4chfr8.cloudfront.net/image/725136000567/image_1kfo8t2drd2d5ah0gvdvm9jl6k/-FJPG/224598-004_ESS_1.jpg</t>
  </si>
  <si>
    <t>https://dd3ka9h4chfr8.cloudfront.net/image/725136000567/image_68n7pvlnap44vahmnhjmt3m15b/-FJPG/224598-004_DET_2.jpg</t>
  </si>
  <si>
    <t>https://dd3ka9h4chfr8.cloudfront.net/image/725136000567/image_hhqajlc6p51hf4g7sg7o37n67l/-FJPG/224598-004_DET_1.jpg</t>
  </si>
  <si>
    <t>https://dd3ka9h4chfr8.cloudfront.net/image/725136000567/image_hvj3ne6q7t2dla7hmrqhcb2r03/-FJPG/224598-004_DET_3.jpg</t>
  </si>
  <si>
    <t>https://dd3ka9h4chfr8.cloudfront.net/image/725136000567/image_9djnilnkr101dbp9vaqi0me85k/-FJPG/224598-004_TOP_1.jpg</t>
  </si>
  <si>
    <t>https://dd3ka9h4chfr8.cloudfront.net/image/725136000567/image_91rmjp8hkh7cl15jlmkuvchd26/-FJPG/224598-004_DET_5.jpg</t>
  </si>
  <si>
    <t>224908-014</t>
  </si>
  <si>
    <t>Dexter Chair - Gibson Silver</t>
  </si>
  <si>
    <t>Vintage Sienna Nettlewood</t>
  </si>
  <si>
    <t>Solid Nettlewood</t>
  </si>
  <si>
    <t>https://dd3ka9h4chfr8.cloudfront.net/image/725136000567/image_m19h5fradt4q98psgqaij4vu6s/-S150x150-FJPG/224908-014_PRM_1.jpg</t>
  </si>
  <si>
    <t>https://dd3ka9h4chfr8.cloudfront.net/image/725136000567/image_ug21t38nk94r3egesqe8vqv367/-FJPG/224908-005_FRT_1.JPG</t>
  </si>
  <si>
    <t>https://dd3ka9h4chfr8.cloudfront.net/image/725136000567/image_alhcfo6e4h3cn99psruongpc0p/-FJPG/224908-014_FRT_1.jpg</t>
  </si>
  <si>
    <t>https://dd3ka9h4chfr8.cloudfront.net/image/725136000567/image_m19h5fradt4q98psgqaij4vu6s/-FJPG/224908-014_PRM_1.jpg</t>
  </si>
  <si>
    <t>https://dd3ka9h4chfr8.cloudfront.net/image/725136000567/image_rss0imn3d164f8ujongv9vee7f/-FJPG/224908-005_PRM_1.jpg</t>
  </si>
  <si>
    <t>https://dd3ka9h4chfr8.cloudfront.net/image/725136000567/image_ob35khri0l053d4cvj9cfkd434/-FJPG/224908-014_SID_1.jpg</t>
  </si>
  <si>
    <t>https://dd3ka9h4chfr8.cloudfront.net/image/725136000567/image_f40feo6lap7flb45bi2t0efl6c/-FJPG/224908-005_SID_1.JPG</t>
  </si>
  <si>
    <t>https://dd3ka9h4chfr8.cloudfront.net/image/725136000567/image_b1kav4kma95knap6cbrcic5m2v/-FJPG/224908-005_ESS_1.jpg</t>
  </si>
  <si>
    <t>https://dd3ka9h4chfr8.cloudfront.net/image/725136000567/image_4f5ns2sq9p79dd6mpj47ianm48/-FJPG/224908-014_ESS_1.jpg</t>
  </si>
  <si>
    <t>https://dd3ka9h4chfr8.cloudfront.net/image/725136000567/image_lvrg3tmjd97695spsv2oa0576n/-FJPG/224908-014_DET_2.jpg</t>
  </si>
  <si>
    <t>https://dd3ka9h4chfr8.cloudfront.net/image/725136000567/image_4lf74bifbd5r9ffjlg2dld9156/-FJPG/224908-005_DET_2.JPG</t>
  </si>
  <si>
    <t>https://dd3ka9h4chfr8.cloudfront.net/image/725136000567/image_inb3n6ljnt2lnfdqjfgc47c56j/-FJPG/224908-005_BCK_1.JPG</t>
  </si>
  <si>
    <t>https://dd3ka9h4chfr8.cloudfront.net/image/725136000567/image_qmlj1qvsq11prcncnmvi8igu1k/-FJPG/224908-014_BCK_1.jpg</t>
  </si>
  <si>
    <t>https://dd3ka9h4chfr8.cloudfront.net/image/725136000567/image_qs0raj1ecl2gb4r8barjapne1o/-FJPG/224908-014_INF_1.jpg</t>
  </si>
  <si>
    <t>https://dd3ka9h4chfr8.cloudfront.net/image/725136000567/image_85117ofikh7hv4em5ulvqprc0e/-FJPG/224908-005_INF_1.jpg</t>
  </si>
  <si>
    <t>https://dd3ka9h4chfr8.cloudfront.net/image/725136000567/image_03judljre52ubc9vorjan0cd5c/-FJPG/224908-014_DET_1.jpg</t>
  </si>
  <si>
    <t>https://dd3ka9h4chfr8.cloudfront.net/image/725136000567/image_1646e8u121615b72j7mt1mke2v/-FJPG/224908-005_DET_1.JPG</t>
  </si>
  <si>
    <t>https://dd3ka9h4chfr8.cloudfront.net/image/725136000567/image_usfjij0aah4cfdqibl6p2gg14t/-FJPG/224908-014_DET_3.jpg</t>
  </si>
  <si>
    <t>https://dd3ka9h4chfr8.cloudfront.net/image/725136000567/image_50u86k58dd22j7urufnnupmp4i/-FJPG/224908-005_DET_3.JPG</t>
  </si>
  <si>
    <t>https://dd3ka9h4chfr8.cloudfront.net/image/725136000567/image_3pmajpu6l11ip9igmlkhnfet0d/-FJPG/224908-005_DET_4.JPG</t>
  </si>
  <si>
    <t>https://dd3ka9h4chfr8.cloudfront.net/image/725136000567/image_9h131tpbgl4uhc1h7fcnee307a/-FJPG/224908-014_DET_4.jpg</t>
  </si>
  <si>
    <t>https://dd3ka9h4chfr8.cloudfront.net/image/725136000567/image_nldtipu8ih7dh0du75qn1u7l3t/-FJPG/224908-005_DET_5.JPG</t>
  </si>
  <si>
    <t>https://dd3ka9h4chfr8.cloudfront.net/image/725136000567/image_cpi8hj955d3vn20a14vao12444/-FJPG/224908-014_DET_5.jpg</t>
  </si>
  <si>
    <t>https://dd3ka9h4chfr8.cloudfront.net/image/725136000567/image_her03db8bt7p134l0hpaubma6p/-FJPG/224908-014_PRM_2.jpg</t>
  </si>
  <si>
    <t>https://dd3ka9h4chfr8.cloudfront.net/image/725136000567/image_3sice5rcs54gtd9ncpeobfu12q/-FJPG/224908-005_PRM_2.JPG</t>
  </si>
  <si>
    <t>Dexter</t>
  </si>
  <si>
    <t>224908-015</t>
  </si>
  <si>
    <t>Dexter Chair - Gibson White</t>
  </si>
  <si>
    <t>Gibson White</t>
  </si>
  <si>
    <t>Light Honey Nettlewood</t>
  </si>
  <si>
    <t>With a wrapped frame of honey-finished solid oak, midcentury-inspired seating gets modernized by way of high-performance fabric in a crisp, creamy white. Performance fabrics are specially created to withstand spills, stains, high traffic and wear, ensuring long-term comfort and unmatched durability.</t>
  </si>
  <si>
    <t>https://dd3ka9h4chfr8.cloudfront.net/image/725136000567/image_jruherl6hl0q520d418gs0tb6i/-S150x150-FJPG/224908-015_PRM_1.jpg</t>
  </si>
  <si>
    <t>https://dd3ka9h4chfr8.cloudfront.net/image/725136000567/image_pto5l1eptp0phfuog5776nal72/-FJPG/224908-015_FRT_1.jpg</t>
  </si>
  <si>
    <t>https://dd3ka9h4chfr8.cloudfront.net/image/725136000567/image_jruherl6hl0q520d418gs0tb6i/-FJPG/224908-015_PRM_1.jpg</t>
  </si>
  <si>
    <t>https://dd3ka9h4chfr8.cloudfront.net/image/725136000567/image_qa3dsmvd6l7vhfqcr2htehd16c/-FJPG/224908-015_SID_1.jpg</t>
  </si>
  <si>
    <t>https://dd3ka9h4chfr8.cloudfront.net/image/725136000567/image_jjlj4p33qh7516intgnfs30v5j/-FJPG/224908-015_DET_2.jpg</t>
  </si>
  <si>
    <t>https://dd3ka9h4chfr8.cloudfront.net/image/725136000567/image_pm7d87nmtp35p9805k63qmhv0h/-FJPG/224908-015_BCK_1.jpg</t>
  </si>
  <si>
    <t>https://dd3ka9h4chfr8.cloudfront.net/image/725136000567/image_0gf9l1v84p0ulblieci7eobj67/-FJPG/224908-015_INF_1.jpg</t>
  </si>
  <si>
    <t>https://dd3ka9h4chfr8.cloudfront.net/image/725136000567/image_ljjoe8dlgd0bt8ru39mqnlsp1k/-FJPG/224908-015_DET_1.jpg</t>
  </si>
  <si>
    <t>https://dd3ka9h4chfr8.cloudfront.net/image/725136000567/image_hphrsrfn2d2u35ga3ra8lleh4h/-FJPG/224908-015_DET_3.jpg</t>
  </si>
  <si>
    <t>https://dd3ka9h4chfr8.cloudfront.net/image/725136000567/image_ddukcj9och5m9ft6h0r3rfph5c/-FJPG/224908-015_DET_4.jpg</t>
  </si>
  <si>
    <t>https://dd3ka9h4chfr8.cloudfront.net/image/725136000567/image_v68bsum70t6fldojeci0s4ir3g/-FJPG/224908-015_DET_5.jpg</t>
  </si>
  <si>
    <t>https://dd3ka9h4chfr8.cloudfront.net/image/725136000567/image_2q5o5i27et7i3cpnd4v3dlim0r/-FJPG/224908-015_DET_6.jpg</t>
  </si>
  <si>
    <t>https://dd3ka9h4chfr8.cloudfront.net/image/725136000567/image_pedboqls5p1qpani6nas4hmg6g/-FJPG/224908-015_ROM_1.jpg</t>
  </si>
  <si>
    <t>https://dd3ka9h4chfr8.cloudfront.net/image/725136000567/image_5s9q3igd7t4lp6ujlf32puq16k/-FJPG/224908-015_VIG_1.jpg</t>
  </si>
  <si>
    <t>https://dd3ka9h4chfr8.cloudfront.net/image/725136000567/image_0qjfbi4nct09pe7krnl58q9q5q/-FJPG/224908-015_VIG_2.jpg</t>
  </si>
  <si>
    <t>224923-005</t>
  </si>
  <si>
    <t>Sydney 6 Drawer Dresser - Natural Cane</t>
  </si>
  <si>
    <t>Natural Cane</t>
  </si>
  <si>
    <t>Natural Mango</t>
  </si>
  <si>
    <t>Natural mango encases six spacious drawers of woven cane, for a textural look with eye-catching contrast.</t>
  </si>
  <si>
    <t>https://dd3ka9h4chfr8.cloudfront.net/image/725136000567/image_7bfvqmso5t33lahlq6iogulg64/-S150x150-FJPG/224923-001_PRM_1.jpg</t>
  </si>
  <si>
    <t>https://dd3ka9h4chfr8.cloudfront.net/image/725136000567/image_ututq177dd5kp5ojflb8n8df6p/-FJPG/224923-001_FRT_1.jpg</t>
  </si>
  <si>
    <t>https://dd3ka9h4chfr8.cloudfront.net/image/725136000567/image_7bfvqmso5t33lahlq6iogulg64/-FJPG/224923-001_PRM_1.jpg</t>
  </si>
  <si>
    <t>https://dd3ka9h4chfr8.cloudfront.net/image/725136000567/image_9idrlbo4il3rrdbu164sbq7944/-FJPG/224923-001_SID_1.jpg</t>
  </si>
  <si>
    <t>https://dd3ka9h4chfr8.cloudfront.net/image/725136000567/image_1glhgt3mhl6mt9vir8dj5d9k74/-FJPG/224923-001_ESS_1.jpg</t>
  </si>
  <si>
    <t>https://dd3ka9h4chfr8.cloudfront.net/image/725136000567/image_mm643rt0dd37jekilbsetlot4v/-FJPG/224923-001_DET_2.jpg</t>
  </si>
  <si>
    <t>https://dd3ka9h4chfr8.cloudfront.net/image/725136000567/image_k5cis8k5k16a35s2h4gn8jmi7f/-FJPG/224923-001_BCK_1.jpg</t>
  </si>
  <si>
    <t>https://dd3ka9h4chfr8.cloudfront.net/image/725136000567/image_arng8go4gh3chad8pq3p3q5l4k/-FJPG/224923-001_DET_1.jpg</t>
  </si>
  <si>
    <t>https://dd3ka9h4chfr8.cloudfront.net/image/725136000567/image_bqqhniqa2l4ntd9lmgnsgi3314/-FJPG/224923-001_DET_3.jpg</t>
  </si>
  <si>
    <t>https://dd3ka9h4chfr8.cloudfront.net/image/725136000567/image_pikato0at132ffm6sbvgun9m2q/-FJPG/224923-001_OPN_1.jpg</t>
  </si>
  <si>
    <t>https://dd3ka9h4chfr8.cloudfront.net/image/725136000567/image_535p3insvl6c56fi4g4k4jhc4d/-FJPG/224923-001_DET_4.jpg</t>
  </si>
  <si>
    <t>https://dd3ka9h4chfr8.cloudfront.net/image/725136000567/image_6ru0emr6213tr36q6e1bn2aq40/-FJPG/224923-001_DET_5.jpg</t>
  </si>
  <si>
    <t>https://dd3ka9h4chfr8.cloudfront.net/image/725136000567/image_m1o4rfa80p4ul20lmes60oil5j/-FJPG/224923-001_DET_6.jpg</t>
  </si>
  <si>
    <t>6.77"</t>
  </si>
  <si>
    <t>French Dovetail</t>
  </si>
  <si>
    <t>224923-006</t>
  </si>
  <si>
    <t>Black-washed mango encases six spacious drawers of woven cane, for a textural look with eye-catching contrast.</t>
  </si>
  <si>
    <t>https://dd3ka9h4chfr8.cloudfront.net/image/725136000567/image_1tbg0ql28l16v95jbcu0lv0u0j/-S150x150-FJPG/224923-002_PRM_1.jpg</t>
  </si>
  <si>
    <t>https://dd3ka9h4chfr8.cloudfront.net/image/725136000567/image_o3t0krrjrp0st34m6n314ipi5l/-FJPG/224923-002_FRT_1.jpg</t>
  </si>
  <si>
    <t>https://dd3ka9h4chfr8.cloudfront.net/image/725136000567/image_1tbg0ql28l16v95jbcu0lv0u0j/-FJPG/224923-002_PRM_1.jpg</t>
  </si>
  <si>
    <t>https://dd3ka9h4chfr8.cloudfront.net/image/725136000567/image_t4hs6seeot363e4gi4l3gurv02/-FJPG/224923-002_SID_1.jpg</t>
  </si>
  <si>
    <t>https://dd3ka9h4chfr8.cloudfront.net/image/725136000567/image_crtodunul90u15lppma4hemb7o/-FJPG/224923-002_ESS_1.jpg</t>
  </si>
  <si>
    <t>https://dd3ka9h4chfr8.cloudfront.net/image/725136000567/image_7fq17crlhh2q553dqea8cgup4i/-FJPG/224923-002_DET_2.jpg</t>
  </si>
  <si>
    <t>https://dd3ka9h4chfr8.cloudfront.net/image/725136000567/image_v583pg6g7h6hjfjb51tqpraf3g/-FJPG/224923-002_BCK_1.jpg</t>
  </si>
  <si>
    <t>https://dd3ka9h4chfr8.cloudfront.net/image/725136000567/image_go15t0r3n559ndp4c40c7mbj0c/-FJPG/224923-002_DET_1.jpg</t>
  </si>
  <si>
    <t>https://dd3ka9h4chfr8.cloudfront.net/image/725136000567/image_theqv6hglp7q3drakske71di0q/-FJPG/224923-002_DET_3.jpg</t>
  </si>
  <si>
    <t>https://dd3ka9h4chfr8.cloudfront.net/image/725136000567/image_gsf8poksc90518caj8vpknme6a/-FJPG/224923-002_OPN_1.jpg</t>
  </si>
  <si>
    <t>https://dd3ka9h4chfr8.cloudfront.net/image/725136000567/image_3i8ds5f00p2mtfbl0pslt9gu0a/-FJPG/224923-002_DET_4.jpg</t>
  </si>
  <si>
    <t>https://dd3ka9h4chfr8.cloudfront.net/image/725136000567/image_33nu6htaqd0552g5e3kq6t7306/-FJPG/224923-002_DET_5.jpg</t>
  </si>
  <si>
    <t>https://dd3ka9h4chfr8.cloudfront.net/image/725136000567/image_q17ushvc8p2u50a4k4u5osjc12/-FJPG/224923-002_DET_6.jpg</t>
  </si>
  <si>
    <t>https://dd3ka9h4chfr8.cloudfront.net/image/725136000567/image_hde5roit7l3k7chv1j8vn9a74k/-FJPG/224923-002_DET_7.jpg</t>
  </si>
  <si>
    <t>https://dd3ka9h4chfr8.cloudfront.net/image/725136000567/image_hdssd1go5d2c39n9eikjdbtr0v/-FJPG/224923-002_DET_8.jpg</t>
  </si>
  <si>
    <t>224923-007</t>
  </si>
  <si>
    <t>Sydney 6 Drawer Dresser - Brown Cane</t>
  </si>
  <si>
    <t>Brown-washed mango encases six spacious drawers of woven cane, for a textural look with monochromatic vibes.</t>
  </si>
  <si>
    <t>https://dd3ka9h4chfr8.cloudfront.net/image/725136000567/image_jt72kcqqr514f2824c1hhk9t0k/-S150x150-FJPG/224923-003_PRM_1.jpg</t>
  </si>
  <si>
    <t>https://dd3ka9h4chfr8.cloudfront.net/image/725136000567/image_hu3ffqtkv90e9c3jqefouj120n/-FJPG/224923-003_FRT_1.jpg</t>
  </si>
  <si>
    <t>https://dd3ka9h4chfr8.cloudfront.net/image/725136000567/image_jt72kcqqr514f2824c1hhk9t0k/-FJPG/224923-003_PRM_1.jpg</t>
  </si>
  <si>
    <t>https://dd3ka9h4chfr8.cloudfront.net/image/725136000567/image_eb60mpshpd2512ftkh8rql1t3m/-FJPG/224923-003_SID_1.jpg</t>
  </si>
  <si>
    <t>https://dd3ka9h4chfr8.cloudfront.net/image/725136000567/image_4bpliigci92klfqonbscv96d4n/-FJPG/224923-003_ESS_1.jpg</t>
  </si>
  <si>
    <t>https://dd3ka9h4chfr8.cloudfront.net/image/725136000567/image_ci5ed5rdm15td70olufs49vm1p/-FJPG/224923-003_DET_2.jpg</t>
  </si>
  <si>
    <t>https://dd3ka9h4chfr8.cloudfront.net/image/725136000567/image_hpp8no23bt403ef9skkce0ls3i/-FJPG/224923-003_BCK_1.jpg</t>
  </si>
  <si>
    <t>https://dd3ka9h4chfr8.cloudfront.net/image/725136000567/image_a5is9rg8ol1af6eb5sdv0f5p15/-FJPG/224923-003_DET_1.jpg</t>
  </si>
  <si>
    <t>https://dd3ka9h4chfr8.cloudfront.net/image/725136000567/image_bicnv784bd4et5i0am4bh79g7m/-FJPG/224923-003_DET_3.jpg</t>
  </si>
  <si>
    <t>https://dd3ka9h4chfr8.cloudfront.net/image/725136000567/image_te22753g055l1ff71l9n2rt35t/-FJPG/224923-003_OPN_1.jpg</t>
  </si>
  <si>
    <t>https://dd3ka9h4chfr8.cloudfront.net/image/725136000567/image_jnr0slh2fd1cpa7m3463j69f2g/-FJPG/224923-003_DET_4.jpg</t>
  </si>
  <si>
    <t>https://dd3ka9h4chfr8.cloudfront.net/image/725136000567/image_4d2hjooq2946f5j887amfiht2a/-FJPG/224923-003_DET_5.jpg</t>
  </si>
  <si>
    <t>https://dd3ka9h4chfr8.cloudfront.net/image/725136000567/image_p7pe6jrp2l26henflsqdrrdd0d/-FJPG/224923-003_DET_6.jpg</t>
  </si>
  <si>
    <t>https://dd3ka9h4chfr8.cloudfront.net/image/725136000567/image_vvkpv3f7ol38l1tqam53k82b0e/-FJPG/224923-003_DET_7.jpg</t>
  </si>
  <si>
    <t>224923-008</t>
  </si>
  <si>
    <t>Sydney 6 Drawer Dresser - Black Cane</t>
  </si>
  <si>
    <t>https://dd3ka9h4chfr8.cloudfront.net/image/725136000567/image_hvnjm97q9166b0eev81ft15a6l/-S150x150-FJPG/224923-004_PRM_1.jpg</t>
  </si>
  <si>
    <t>https://dd3ka9h4chfr8.cloudfront.net/image/725136000567/image_keo6938cj12fdand7m8kfj1h7a/-FJPG/224923-004_FRT_1.jpg</t>
  </si>
  <si>
    <t>https://dd3ka9h4chfr8.cloudfront.net/image/725136000567/image_hvnjm97q9166b0eev81ft15a6l/-FJPG/224923-004_PRM_1.jpg</t>
  </si>
  <si>
    <t>https://dd3ka9h4chfr8.cloudfront.net/image/725136000567/image_ufcsnnvv7l0kvcft3hi3uul546/-FJPG/224923-004_SID_1.jpg</t>
  </si>
  <si>
    <t>https://dd3ka9h4chfr8.cloudfront.net/image/725136000567/image_kmnp6fk0vt6kr7149pn0rt8560/-FJPG/224923-004_DET_2.jpg</t>
  </si>
  <si>
    <t>https://dd3ka9h4chfr8.cloudfront.net/image/725136000567/image_e1pabokdp56ml9ghghmb55p830/-FJPG/224923-004_BCK_1.jpg</t>
  </si>
  <si>
    <t>https://dd3ka9h4chfr8.cloudfront.net/image/725136000567/image_jsaho9k4tp27haa52670k2h66h/-FJPG/224923-004_DET_1.jpg</t>
  </si>
  <si>
    <t>https://dd3ka9h4chfr8.cloudfront.net/image/725136000567/image_228eed8ep1683839sr6erq0q2g/-FJPG/224923-004_DET_3.jpg</t>
  </si>
  <si>
    <t>https://dd3ka9h4chfr8.cloudfront.net/image/725136000567/image_t276o00ugh4hb8lfhh054u0476/-FJPG/224923-004_OPN_1.jpg</t>
  </si>
  <si>
    <t>https://dd3ka9h4chfr8.cloudfront.net/image/725136000567/image_0j08du9vml1g1cu91p5t5vlp1d/-FJPG/224923-004_TOP_1.jpg</t>
  </si>
  <si>
    <t>https://dd3ka9h4chfr8.cloudfront.net/image/725136000567/image_utr77au7e948h2q02q1v5fuq0h/-FJPG/224923-004_DET_4.jpg</t>
  </si>
  <si>
    <t>https://dd3ka9h4chfr8.cloudfront.net/image/725136000567/image_9p1c0c5qhd5ltdtek5fh72oq59/-FJPG/224923-004_DET_5.jpg</t>
  </si>
  <si>
    <t>https://dd3ka9h4chfr8.cloudfront.net/image/725136000567/image_1uo4j3npkd59f7gmf98ka3n85k/-FJPG/224923-004_DET_6.jpg</t>
  </si>
  <si>
    <t>225023-002</t>
  </si>
  <si>
    <t>Higgs Bookcase - Honey Oak Veneer</t>
  </si>
  <si>
    <t>Honey Oak Veneer</t>
  </si>
  <si>
    <t>Honey-finished oak forms a tall, clean frame for spacious shelving, with a lower arch and natural hand-woven cane paneling lending a playful, textural vibe to this Seventies-inspired piece.</t>
  </si>
  <si>
    <t>https://dd3ka9h4chfr8.cloudfront.net/image/725136000567/image_kc5sr8418d543e0h50567dvm74/-S150x150-FJPG/225023-002_PRM_1.jpg</t>
  </si>
  <si>
    <t>https://dd3ka9h4chfr8.cloudfront.net/image/725136000567/image_u3803u4bkp7vj42e6co2qrvv3k/-FJPG/225023-002_FRT_1.jpg</t>
  </si>
  <si>
    <t>https://dd3ka9h4chfr8.cloudfront.net/image/725136000567/image_kc5sr8418d543e0h50567dvm74/-FJPG/225023-002_PRM_1.jpg</t>
  </si>
  <si>
    <t>https://dd3ka9h4chfr8.cloudfront.net/image/725136000567/image_7urhirnqol1uhfee38q4ddap6u/-FJPG/225023-002_SID_1.jpg</t>
  </si>
  <si>
    <t>https://dd3ka9h4chfr8.cloudfront.net/image/725136000567/image_p7011pgdad0bbcpic2fc8ss872/-FJPG/225023-002_DET_2.jpg</t>
  </si>
  <si>
    <t>https://dd3ka9h4chfr8.cloudfront.net/image/725136000567/image_01hbrda2q16bd0qnfqat5ovi7e/-FJPG/225023-002_BCK_1.jpg</t>
  </si>
  <si>
    <t>https://dd3ka9h4chfr8.cloudfront.net/image/725136000567/image_o3a5g5k1nh7491ubtpj3rchk6t/-FJPG/225023-002_DET_1.jpg</t>
  </si>
  <si>
    <t>https://dd3ka9h4chfr8.cloudfront.net/image/725136000567/image_s1udra7irh44lf5u1486bcj212/-FJPG/225023-002_DET_3.jpg</t>
  </si>
  <si>
    <t>https://dd3ka9h4chfr8.cloudfront.net/image/725136000567/image_iufca12ko543l73bsqks0t4k1s/-FJPG/225023-002_DET_4.jpg</t>
  </si>
  <si>
    <t>https://dd3ka9h4chfr8.cloudfront.net/image/725136000567/image_k69i7no5ld6a55qslt8qa3134s/-FJPG/225023-002_DET_5.jpg</t>
  </si>
  <si>
    <t>https://dd3ka9h4chfr8.cloudfront.net/image/725136000567/image_i0b0cmichh0mj79sq30bqgmo7q/-FJPG/225023-002_DET_6.jpg</t>
  </si>
  <si>
    <t>https://dd3ka9h4chfr8.cloudfront.net/image/725136000567/image_samhdkbg996jfc1m2vnt91es2l/-FJPG/225023-002_VIG_1.jpg</t>
  </si>
  <si>
    <t>https://dd3ka9h4chfr8.cloudfront.net/image/725136000567/image_indfh2iumd3pfc027qntukaf2o/-FJPG/225023-002_ESS_2.jpg</t>
  </si>
  <si>
    <t>Bookcase</t>
  </si>
  <si>
    <t>31.18"</t>
  </si>
  <si>
    <t>29.13"</t>
  </si>
  <si>
    <t>Higgs</t>
  </si>
  <si>
    <t>225023-004</t>
  </si>
  <si>
    <t>Higgs Bookcase - Brushed Ebony Oak Veneer</t>
  </si>
  <si>
    <t>Brushed Ebony Oak Veneer</t>
  </si>
  <si>
    <t>Brushed-ebony finished oak forms a tall, clean frame for spacious shelving, with a lower arch and natural hand-woven cane paneling lending a playful, textural vibe to this Seventies-inspired piece.</t>
  </si>
  <si>
    <t>https://dd3ka9h4chfr8.cloudfront.net/image/725136000567/image_rt9is3f1096tl8gplt8l8fan2u/-S150x150-FJPG/225023-004_PRM_1.jpg</t>
  </si>
  <si>
    <t>https://dd3ka9h4chfr8.cloudfront.net/image/725136000567/image_krd454h5e92jh6uf6s3sohmn5f/-FJPG/225023-004_FRT_1.jpg</t>
  </si>
  <si>
    <t>https://dd3ka9h4chfr8.cloudfront.net/image/725136000567/image_rt9is3f1096tl8gplt8l8fan2u/-FJPG/225023-004_PRM_1.jpg</t>
  </si>
  <si>
    <t>https://dd3ka9h4chfr8.cloudfront.net/image/725136000567/image_lugcr2sdjl5jdd5imd78agrp6k/-FJPG/225023-004_SID_1.jpg</t>
  </si>
  <si>
    <t>https://dd3ka9h4chfr8.cloudfront.net/image/725136000567/image_p1kbi1mrid6tdaqst8grafp07i/-FJPG/225023-004_ESS_1.jpg</t>
  </si>
  <si>
    <t>https://dd3ka9h4chfr8.cloudfront.net/image/725136000567/image_pambqeclt12svb5lou9gpdu93b/-FJPG/225023-004_DET_2.jpg</t>
  </si>
  <si>
    <t>https://dd3ka9h4chfr8.cloudfront.net/image/725136000567/image_f6f83ac8pt79hfsbq9l610bj2s/-FJPG/225023-004_BCK_1.jpg</t>
  </si>
  <si>
    <t>https://dd3ka9h4chfr8.cloudfront.net/image/725136000567/image_heikgp412h3k5etvg3eeifk80f/-FJPG/225023-004_DET_1.jpg</t>
  </si>
  <si>
    <t>https://dd3ka9h4chfr8.cloudfront.net/image/725136000567/image_uovoigppol68tcqin5gdtvtf31/-FJPG/225023-004_DET_3.jpg</t>
  </si>
  <si>
    <t>https://dd3ka9h4chfr8.cloudfront.net/image/725136000567/image_16dkiqlb5p5thei1o45jltas75/-FJPG/225023-004_DET_4.jpg</t>
  </si>
  <si>
    <t>https://dd3ka9h4chfr8.cloudfront.net/image/725136000567/image_29669tpnat0hncaoc9hc61od37/-FJPG/225023-004_DET_5.jpg</t>
  </si>
  <si>
    <t>https://dd3ka9h4chfr8.cloudfront.net/image/725136000567/image_d2uhv2j6l12m957lkp1dvc1u1k/-FJPG/225023-004_DET_6.jpg</t>
  </si>
  <si>
    <t>225135-002</t>
  </si>
  <si>
    <t>Shadow Box Nightstand - Black</t>
  </si>
  <si>
    <t>A shadowbox-inspired nightstand gives your inner collector a place to play. Store favorite keepsakes behind a clear glass enclosure. Matte black iron casing offers two spacious drawers, with bronze-finished knobs for cool contrast. This item has been modified to comply with the STURDY Act. See a full list of modified products and data changes in the â€œSTURDY Actâ€ file in the Downloads section below.</t>
  </si>
  <si>
    <t>https://dd3ka9h4chfr8.cloudfront.net/image/725136000567/image_djfa0gk9p1071c1k4qdcppda65/-S150x150-FJPG/225135-002_PRM_1.jpg</t>
  </si>
  <si>
    <t>https://dd3ka9h4chfr8.cloudfront.net/image/725136000567/image_kkd5uo7sk55sv519jihpqs6d7v/-FJPG/225135-002_FRT_1.jpg</t>
  </si>
  <si>
    <t>https://dd3ka9h4chfr8.cloudfront.net/image/725136000567/image_djfa0gk9p1071c1k4qdcppda65/-FJPG/225135-002_PRM_1.jpg</t>
  </si>
  <si>
    <t>https://dd3ka9h4chfr8.cloudfront.net/image/725136000567/image_92sjtdil4h1mj11anl5n0amp50/-FJPG/225135-002_SID_1.jpg</t>
  </si>
  <si>
    <t>https://dd3ka9h4chfr8.cloudfront.net/image/725136000567/image_qo2ep0gsap7qfelb597u28rn2c/-FJPG/225135-002_ESS_1.jpg</t>
  </si>
  <si>
    <t>https://dd3ka9h4chfr8.cloudfront.net/image/725136000567/image_c09kit8kid3gt790i4i2p2rc21/-FJPG/225135-002_DET_2.jpg</t>
  </si>
  <si>
    <t>https://dd3ka9h4chfr8.cloudfront.net/image/725136000567/image_j1ndenu3k56ml1a9kehkumg12q/-FJPG/225135-002_BCK_1.jpg</t>
  </si>
  <si>
    <t>https://dd3ka9h4chfr8.cloudfront.net/image/725136000567/image_4g0toqgob5767423k3opj3gr23/-FJPG/225135-002_DET_1.jpg</t>
  </si>
  <si>
    <t>https://dd3ka9h4chfr8.cloudfront.net/image/725136000567/image_30l1mpas5h05777dchkidq6018/-FJPG/225135-002_DET_3.jpg</t>
  </si>
  <si>
    <t>https://dd3ka9h4chfr8.cloudfront.net/image/725136000567/image_gurv3gia955nn9mrtaj6qqpl3d/-FJPG/225135-002_OPN_1.jpg</t>
  </si>
  <si>
    <t>https://dd3ka9h4chfr8.cloudfront.net/image/725136000567/image_5p50lgafc91p3d0fig5lcr0q5d/-FJPG/225135-002_DET_4.jpg</t>
  </si>
  <si>
    <t>https://dd3ka9h4chfr8.cloudfront.net/image/725136000567/image_3hvpc0fao96ghdf2gfnj42gi28/-FJPG/225135-002_DET_5.jpg</t>
  </si>
  <si>
    <t>https://dd3ka9h4chfr8.cloudfront.net/image/725136000567/image_532ibs2jup6s1bpgghv0il734c/-FJPG/225135-002_DET_6.jpg</t>
  </si>
  <si>
    <t>https://dd3ka9h4chfr8.cloudfront.net/image/725136000567/image_i3rvertb715lp30ff2sf7ji62u/-FJPG/225135-002_DET_7.jpg</t>
  </si>
  <si>
    <t>https://dd3ka9h4chfr8.cloudfront.net/image/725136000567/image_nrd4m5a0tt2hh16khjau7jig6k/-FJPG/225135-002_VIG_3.jpg</t>
  </si>
  <si>
    <t>27.01"</t>
  </si>
  <si>
    <t>Shadow Box</t>
  </si>
  <si>
    <t>Drop-Down</t>
  </si>
  <si>
    <t>24.53"</t>
  </si>
  <si>
    <t>225199-001</t>
  </si>
  <si>
    <t>Ortega Wine Rack - Smoked Mango</t>
  </si>
  <si>
    <t>Smoked Mango</t>
  </si>
  <si>
    <t>Solid smoked mango shapes a stately, wall-mountable wine rack, with gunmetal-finished iron piping ready to store up to 24 bottles of wine.</t>
  </si>
  <si>
    <t>https://dd3ka9h4chfr8.cloudfront.net/image/725136000567/image_2kthhffb610krfqh60ft9a5g4f/-S150x150-FJPG/225199-001_PRM_1.jpg</t>
  </si>
  <si>
    <t>https://dd3ka9h4chfr8.cloudfront.net/image/725136000567/image_l43srui6ml6uh3bc0kt24okg7i/-FJPG/225199-001_FRT_1.jpg</t>
  </si>
  <si>
    <t>https://dd3ka9h4chfr8.cloudfront.net/image/725136000567/image_2kthhffb610krfqh60ft9a5g4f/-FJPG/225199-001_PRM_1.jpg</t>
  </si>
  <si>
    <t>https://dd3ka9h4chfr8.cloudfront.net/image/725136000567/image_qqj463nkrl251ennaehro13v62/-FJPG/225199-001_DET_2.jpg</t>
  </si>
  <si>
    <t>https://dd3ka9h4chfr8.cloudfront.net/image/725136000567/image_ki1tsgmdgd5ffdj8se60ajir3m/-FJPG/225199-001_DET_1.jpg</t>
  </si>
  <si>
    <t>https://dd3ka9h4chfr8.cloudfront.net/image/725136000567/image_jto60c392l7ap7041h1qj7t41v/-FJPG/225199-001_DET_3.jpg</t>
  </si>
  <si>
    <t>https://dd3ka9h4chfr8.cloudfront.net/image/725136000567/image_fidrig65r10cl6gbhlf4njqc24/-FJPG/225199-001_DET_4.jpg</t>
  </si>
  <si>
    <t>https://dd3ka9h4chfr8.cloudfront.net/image/725136000567/image_6d28t3qu8965194qi2k3a69p48/-FJPG/225199-001_DET_5.jpg</t>
  </si>
  <si>
    <t>https://dd3ka9h4chfr8.cloudfront.net/image/725136000567/image_biurj5j2v55ff3gf29er78br0k/-FJPG/225199-001_DET_6.jpg</t>
  </si>
  <si>
    <t>https://dd3ka9h4chfr8.cloudfront.net/image/725136000567/image_cjjec7rp0p6khfrpleei1fsh2s/-FJPG/225199-001_DET_7.jpg</t>
  </si>
  <si>
    <t>https://dd3ka9h4chfr8.cloudfront.net/image/725136000567/image_7ki54uji9p1kfcdtl3ag9jfh13/-FJPG/225199-001_FRT_2.jpg</t>
  </si>
  <si>
    <t>https://dd3ka9h4chfr8.cloudfront.net/image/725136000567/image_vdq3fab12t57158pg7tmlbqo3t/-FJPG/225199-001_PRM_2.jpg</t>
  </si>
  <si>
    <t>https://dd3ka9h4chfr8.cloudfront.net/image/725136000567/image_fs3jikau6h2c14a6cl8v81t653/-FJPG/225199-001_FRT_3.jpg</t>
  </si>
  <si>
    <t>Ortega</t>
  </si>
  <si>
    <t>72.00"</t>
  </si>
  <si>
    <t>225440-008</t>
  </si>
  <si>
    <t>Bria Chair - Heirloom Black</t>
  </si>
  <si>
    <t>A playful take on Italian modernism. Solid parawood crafts a slim, curved frame and rear mock-tripod. Upholstered in black top-grain leather. Sourced from one of the oldest family-owned tanneries in Italyâ€™s Bassano del Grappa, our heirloom leather covering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</si>
  <si>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https://dd3ka9h4chfr8.cloudfront.net/image/725136000567/image_6jkm3e2t194v900ijpjatosu2i/-S150x150-FJPG/225440-008_PRM_1.jpg</t>
  </si>
  <si>
    <t>https://dd3ka9h4chfr8.cloudfront.net/image/725136000567/image_osqtl2t3kh4precjmi646sra5l/-FJPG/225440-008_FRT_1.jpg</t>
  </si>
  <si>
    <t>https://dd3ka9h4chfr8.cloudfront.net/image/725136000567/image_6jkm3e2t194v900ijpjatosu2i/-FJPG/225440-008_PRM_1.jpg</t>
  </si>
  <si>
    <t>https://dd3ka9h4chfr8.cloudfront.net/image/725136000567/image_98l8tdfc6d3h7cumhasult8i7f/-FJPG/225440-008_SID_1.jpg</t>
  </si>
  <si>
    <t>https://dd3ka9h4chfr8.cloudfront.net/image/725136000567/image_1tvs3f7te11epfam57m7egr95u/-FJPG/225440-008_ESS_1.jpg</t>
  </si>
  <si>
    <t>https://dd3ka9h4chfr8.cloudfront.net/image/725136000567/image_4sgulvjl095tf5o2mocti43s67/-FJPG/225440-008_DET_2.jpg</t>
  </si>
  <si>
    <t>https://dd3ka9h4chfr8.cloudfront.net/image/725136000567/image_4bjuk9ioq15uv8lm6qmauofi6d/-FJPG/225440-008_BCK_1.jpg</t>
  </si>
  <si>
    <t>https://dd3ka9h4chfr8.cloudfront.net/image/725136000567/image_qab238jsn14ft4db2h7gj02l6q/-FJPG/225440-008_DET_1.jpg</t>
  </si>
  <si>
    <t>https://dd3ka9h4chfr8.cloudfront.net/image/725136000567/image_ms02fjnral1f1c1jm8thqjrc79/-FJPG/225440-008_DET_3.jpg</t>
  </si>
  <si>
    <t>https://dd3ka9h4chfr8.cloudfront.net/image/725136000567/image_sb46pqs2rt6ut50ln0tj9qan59/-FJPG/225440-008_DET_4.jpg</t>
  </si>
  <si>
    <t>https://dd3ka9h4chfr8.cloudfront.net/image/725136000567/image_02gqapes5d6rfb2ir07pcslm63/-FJPG/225440-008_DET_5.jpg</t>
  </si>
  <si>
    <t>https://dd3ka9h4chfr8.cloudfront.net/image/725136000567/image_4cu8q23abh751001ql9pe8g74d/-FJPG/225440-008_DET_6.jpg</t>
  </si>
  <si>
    <t>Bria</t>
  </si>
  <si>
    <t>225440-009</t>
  </si>
  <si>
    <t>Bria Chair - Surrey Olive</t>
  </si>
  <si>
    <t>A playful take on Italian modernism. Solid parawood crafts a slim, curved frame and rear mock-tripod. Upholstered in a velvety olive-colored cotton-poly with subtle highs and lows that change in appearance depending on the direction of the fabric's nap.</t>
  </si>
  <si>
    <t>https://dd3ka9h4chfr8.cloudfront.net/image/725136000567/image_ktajsplub57jbfpm2kbptm717o/-S150x150-FJPG/225440-009_PRM_1.jpg</t>
  </si>
  <si>
    <t>https://dd3ka9h4chfr8.cloudfront.net/image/725136000567/image_3ul1bk6gul12h5i7e98fq4lr0u/-FJPG/225440-009_FRT_1.jpg</t>
  </si>
  <si>
    <t>https://dd3ka9h4chfr8.cloudfront.net/image/725136000567/image_ktajsplub57jbfpm2kbptm717o/-FJPG/225440-009_PRM_1.jpg</t>
  </si>
  <si>
    <t>https://dd3ka9h4chfr8.cloudfront.net/image/725136000567/image_vbamamlpuh45523vdoqolqq03h/-FJPG/225440-009_SID_1.jpg</t>
  </si>
  <si>
    <t>https://dd3ka9h4chfr8.cloudfront.net/image/725136000567/image_3cabsinslh4nlfju7v72k0gn78/-FJPG/225440-009_ESS_1.jpg</t>
  </si>
  <si>
    <t>https://dd3ka9h4chfr8.cloudfront.net/image/725136000567/image_l6fmr2s3714ch4ms36u3eflg4t/-FJPG/225440-009_DET_2.jpg</t>
  </si>
  <si>
    <t>https://dd3ka9h4chfr8.cloudfront.net/image/725136000567/image_7765p6pcm11sd4m4iqkipjtf1e/-FJPG/225440-009_BCK_1.jpg</t>
  </si>
  <si>
    <t>https://dd3ka9h4chfr8.cloudfront.net/image/725136000567/image_if0s84bt8t6692gu3u17t9j376/-FJPG/225440-009_DET_1.jpg</t>
  </si>
  <si>
    <t>https://dd3ka9h4chfr8.cloudfront.net/image/725136000567/image_u14l6cb55d7hh32uk1vq2qii1e/-FJPG/225440-009_DET_3.jpg</t>
  </si>
  <si>
    <t>https://dd3ka9h4chfr8.cloudfront.net/image/725136000567/image_jmuafn5p9p10jd5l6tr77b6q3d/-FJPG/225440-009_DET_4.jpg</t>
  </si>
  <si>
    <t>https://dd3ka9h4chfr8.cloudfront.net/image/725136000567/image_n1rkqrngq539baus7eje0hrl6i/-FJPG/225440-009_DET_5.jpg</t>
  </si>
  <si>
    <t>https://dd3ka9h4chfr8.cloudfront.net/image/725136000567/image_dcm8easu1h1k36g94702k9kg2v/-FJPG/225440-009_DET_6.jpg</t>
  </si>
  <si>
    <t>225740-007</t>
  </si>
  <si>
    <t>Giorgio Accent Bench - Rialto Ebony</t>
  </si>
  <si>
    <t>Waxed Black</t>
  </si>
  <si>
    <t>Palomino</t>
  </si>
  <si>
    <t>Ebony leather lends a high-end look to bench-style seating ideal in the entryway, living space or foot of the bed. Secured by top-grain leather buckle straps, a removable bolster can be positioned on either end of the bench with ease. A grey oak base and black iron framing finish things off for a sleek material mix.</t>
  </si>
  <si>
    <t>https://dd3ka9h4chfr8.cloudfront.net/image/725136000567/image_6amj0b4r1131r56tt2h5n90t5p/-S150x150-FJPG/225740-007_PRM_1.jpg</t>
  </si>
  <si>
    <t>https://dd3ka9h4chfr8.cloudfront.net/image/725136000567/image_vn7huf4ifp6tl229lpnjdcer0i/-FJPG/225740-007_FRT_1.jpg</t>
  </si>
  <si>
    <t>https://dd3ka9h4chfr8.cloudfront.net/image/725136000567/image_6amj0b4r1131r56tt2h5n90t5p/-FJPG/225740-007_PRM_1.jpg</t>
  </si>
  <si>
    <t>https://dd3ka9h4chfr8.cloudfront.net/image/725136000567/image_5jaqmqrnhp4kh89qea8hpcid7g/-FJPG/225740-007_SID_1.jpg</t>
  </si>
  <si>
    <t>https://dd3ka9h4chfr8.cloudfront.net/image/725136000567/image_o2gu013ea56lrdn8rciqf0004f/-FJPG/225740-007_ESS_1.jpg</t>
  </si>
  <si>
    <t>https://dd3ka9h4chfr8.cloudfront.net/image/725136000567/image_3usvl9i2l939v5vf5rtkdd427q/-FJPG/225740-007_DET_2.jpg</t>
  </si>
  <si>
    <t>https://dd3ka9h4chfr8.cloudfront.net/image/725136000567/image_ot4qoo07b51n7074i1mndlie5p/-FJPG/225740-007_BCK_1.jpg</t>
  </si>
  <si>
    <t>https://dd3ka9h4chfr8.cloudfront.net/image/725136000567/image_l25r8gr9nd25p1k5ebbecltr10/-FJPG/225740-007_DET_1.jpg</t>
  </si>
  <si>
    <t>https://dd3ka9h4chfr8.cloudfront.net/image/725136000567/image_f1qljap8151jldkhedo9rs6r7d/-FJPG/225740-007_DET_3.jpg</t>
  </si>
  <si>
    <t>https://dd3ka9h4chfr8.cloudfront.net/image/725136000567/image_sp7n2sunc93kbchd2j4uoocg7q/-FJPG/225740-007_DET_4.jpg</t>
  </si>
  <si>
    <t>https://dd3ka9h4chfr8.cloudfront.net/image/725136000567/image_glhgkn5b1l1slfcdjj3cps0856/-FJPG/225740-007_DET_5.jpg</t>
  </si>
  <si>
    <t>https://dd3ka9h4chfr8.cloudfront.net/image/725136000567/image_sop9pj9mm13ltdpgt4hhd53b0t/-FJPG/225740-007_DET_6.jpg</t>
  </si>
  <si>
    <t>https://dd3ka9h4chfr8.cloudfront.net/image/725136000567/image_saqdfivpo55dtbc6vlm2ffg73a/-FJPG/225740-007_SID_2.jpg</t>
  </si>
  <si>
    <t>56.73"</t>
  </si>
  <si>
    <t>Giorgio</t>
  </si>
  <si>
    <t>9.33"</t>
  </si>
  <si>
    <t>19.21"</t>
  </si>
  <si>
    <t>47.68"</t>
  </si>
  <si>
    <t>18.82"</t>
  </si>
  <si>
    <t>225878-001</t>
  </si>
  <si>
    <t>Tolle Cabinet - Drifted Matte Black</t>
  </si>
  <si>
    <t>Display Cabinets</t>
  </si>
  <si>
    <t>Store it in style. Beautifully shaped cabinetry of black solid oak features spacious interior shelving and clear glass front, ready for displaying favorite books, photos and treasures.</t>
  </si>
  <si>
    <t>https://dd3ka9h4chfr8.cloudfront.net/image/725136000567/image_m71tso2ik51dp5vkiiap15jh2k/-S150x150-FJPG/225878-001_PRM_1.jpg</t>
  </si>
  <si>
    <t>https://dd3ka9h4chfr8.cloudfront.net/image/725136000567/image_l27mph15896bl8jndskcaqta48/-FJPG/225878-001_FRT_1.jpg</t>
  </si>
  <si>
    <t>https://dd3ka9h4chfr8.cloudfront.net/image/725136000567/image_m71tso2ik51dp5vkiiap15jh2k/-FJPG/225878-001_PRM_1.jpg</t>
  </si>
  <si>
    <t>https://dd3ka9h4chfr8.cloudfront.net/image/725136000567/image_00jud8hkdp3l91bvsu88a22v78/-FJPG/225878-001_SID_1.jpg</t>
  </si>
  <si>
    <t>https://dd3ka9h4chfr8.cloudfront.net/image/725136000567/image_es0gne03d97a920p16ksfilm6u/-FJPG/225878-001_ESS_1.jpg</t>
  </si>
  <si>
    <t>https://dd3ka9h4chfr8.cloudfront.net/image/725136000567/image_jige2hareh6cn0o4kelkjdu42e/-FJPG/225878-001_DET_2.jpg</t>
  </si>
  <si>
    <t>https://dd3ka9h4chfr8.cloudfront.net/image/725136000567/image_lnjvkc07i92cv13e2t6vij0d6f/-FJPG/225878-001_BCK_1.jpg</t>
  </si>
  <si>
    <t>https://dd3ka9h4chfr8.cloudfront.net/image/725136000567/image_vu4rjta3nt38vectd1gjsdrc40/-FJPG/225878-001_DET_3.jpg</t>
  </si>
  <si>
    <t>https://dd3ka9h4chfr8.cloudfront.net/image/725136000567/image_p6d2sfbkbh76t4751m634fpc0j/-FJPG/225878-001_OPN_1.jpg</t>
  </si>
  <si>
    <t>https://dd3ka9h4chfr8.cloudfront.net/image/725136000567/image_ntm749gfnl6sjbhct79svuvd4t/-FJPG/225878-001_DET_4.jpg</t>
  </si>
  <si>
    <t>https://dd3ka9h4chfr8.cloudfront.net/image/725136000567/image_2rquna5fq12t9dl6e95i75in7v/-FJPG/225878-001_DET_5.jpg</t>
  </si>
  <si>
    <t>https://dd3ka9h4chfr8.cloudfront.net/image/725136000567/image_47750m2vl57dn5sb1ut0b4hg3s/-FJPG/225878-001_DET_6.jpg</t>
  </si>
  <si>
    <t>https://dd3ka9h4chfr8.cloudfront.net/image/725136000567/image_e0ipvijso135tcr7gcr0aj0o41/-FJPG/225878-001_DET_7.jpg</t>
  </si>
  <si>
    <t>https://dd3ka9h4chfr8.cloudfront.net/image/725136000567/image_ojs1187ut9367fm3hnjqncij3v/-FJPG/225878-001_DET_8.jpg</t>
  </si>
  <si>
    <t>https://dd3ka9h4chfr8.cloudfront.net/image/725136000567/image_oka9k5fg055n54f1jcokf5f22v/-FJPG/225878-001_DET_9.jpg</t>
  </si>
  <si>
    <t>https://dd3ka9h4chfr8.cloudfront.net/image/725136000567/image_ila161so7p0on93gahm1fkig60/-FJPG/225878-001_DET_10.jpg</t>
  </si>
  <si>
    <t>https://dd3ka9h4chfr8.cloudfront.net/image/725136000567/image_7t982l1att5prakek7siviqv48/-FJPG/225878-001_ROM_1.jpg</t>
  </si>
  <si>
    <t>https://dd3ka9h4chfr8.cloudfront.net/image/725136000567/image_abkv1o9j350179hue9cflhk04q/-FJPG/225878-001_OPN_2.jpg</t>
  </si>
  <si>
    <t>https://dd3ka9h4chfr8.cloudfront.net/image/725136000567/image_76ena1pjrl0j7br2c0k315jq5h/-FJPG/225878-001_ESS_2.jpg</t>
  </si>
  <si>
    <t>Tolle</t>
  </si>
  <si>
    <t>1.25"</t>
  </si>
  <si>
    <t>Ball-and-catch</t>
  </si>
  <si>
    <t>Display</t>
  </si>
  <si>
    <t>225878-002</t>
  </si>
  <si>
    <t>Tolle Cabinet - Drifted Oak Solid</t>
  </si>
  <si>
    <t>Crafted from natural-finished solid oak, this French-inspired cabinetry showcases an arched top, spacious interior and a clear glass front, perfect for storage and displaying your cherished items.</t>
  </si>
  <si>
    <t>https://dd3ka9h4chfr8.cloudfront.net/image/725136000567/image_mc37g2c26l7av7jvk37sk8me2c/-S150x150-FJPG/225878-002_PRM_1.jpg</t>
  </si>
  <si>
    <t>https://dd3ka9h4chfr8.cloudfront.net/image/725136000567/image_lar9f5jth52kh808drkr56ae29/-FJPG/225878-002_FRT_1.jpg</t>
  </si>
  <si>
    <t>https://dd3ka9h4chfr8.cloudfront.net/image/725136000567/image_mc37g2c26l7av7jvk37sk8me2c/-FJPG/225878-002_PRM_1.jpg</t>
  </si>
  <si>
    <t>https://dd3ka9h4chfr8.cloudfront.net/image/725136000567/image_7iu7untkcd33n0rpakeu205124/-FJPG/225878-002_SID_1.jpg</t>
  </si>
  <si>
    <t>https://dd3ka9h4chfr8.cloudfront.net/image/725136000567/image_jsa7tv6p2t4718om6v6dsmut6k/-FJPG/225878-002_DET_2.jpg</t>
  </si>
  <si>
    <t>https://dd3ka9h4chfr8.cloudfront.net/image/725136000567/image_bm3ntjp1bp6frdf84s2fqbbh78/-FJPG/225878-002_BCK_1.jpg</t>
  </si>
  <si>
    <t>https://dd3ka9h4chfr8.cloudfront.net/image/725136000567/image_j3pm92gtft4ppagh731v1e3r52/-FJPG/225878-002_DET_1.jpg</t>
  </si>
  <si>
    <t>https://dd3ka9h4chfr8.cloudfront.net/image/725136000567/image_rudot3va016g71fsppmarvcu7e/-FJPG/225878-002_DET_3.jpg</t>
  </si>
  <si>
    <t>https://dd3ka9h4chfr8.cloudfront.net/image/725136000567/image_7c6c08g6op3j50485tjno55p2o/-FJPG/225878-002_OPN_1.jpg</t>
  </si>
  <si>
    <t>https://dd3ka9h4chfr8.cloudfront.net/image/725136000567/image_g7rdi0r8553kpbsafaqatk9v7v/-FJPG/225878-002_DET_4.jpg</t>
  </si>
  <si>
    <t>https://dd3ka9h4chfr8.cloudfront.net/image/725136000567/image_s43gtk8ukd0dhavbgd7urt5r5r/-FJPG/225878-002_DET_5.jpg</t>
  </si>
  <si>
    <t>https://dd3ka9h4chfr8.cloudfront.net/image/725136000567/image_bj16bi19u12kl135dv6kr7611t/-FJPG/225878-002_DET_6.jpg</t>
  </si>
  <si>
    <t>https://dd3ka9h4chfr8.cloudfront.net/image/725136000567/image_m3vic9ot9t5ah26bnh6isu9d7i/-FJPG/225878-002_DET_7.jpg</t>
  </si>
  <si>
    <t>https://dd3ka9h4chfr8.cloudfront.net/image/725136000567/image_6sr75mu4o17g91ku5a08re7u40/-FJPG/225878-002_DET_8.jpg</t>
  </si>
  <si>
    <t>https://dd3ka9h4chfr8.cloudfront.net/image/725136000567/image_4s6l2rauap4c3flc9u3o6ge91n/-FJPG/225878-002_DET_9.jpg</t>
  </si>
  <si>
    <t>https://dd3ka9h4chfr8.cloudfront.net/image/725136000567/image_a2dimlfmah2v52o1e2cv6t7j2b/-FJPG/225878-002_DET_10.jpg</t>
  </si>
  <si>
    <t>https://dd3ka9h4chfr8.cloudfront.net/image/725136000567/image_rjpdtb20et50b5vk876iheef3f/-FJPG/225878-002_VIG_1.jpg</t>
  </si>
  <si>
    <t>https://dd3ka9h4chfr8.cloudfront.net/image/725136000567/image_v3efcru7it2npfimk17q7dtm62/-FJPG/225878-002_ESS_2.jpg</t>
  </si>
  <si>
    <t>https://dd3ka9h4chfr8.cloudfront.net/image/725136000567/image_e5s8pfuuo15hv0sb5f07n8477b/-FJPG/225878-002_OPN_2.jpg</t>
  </si>
  <si>
    <t>225878-004</t>
  </si>
  <si>
    <t>Made from black-finished solid oak, French-inspired cabinetry features an arched top, spacious interior and a clear glass front for storage and display.</t>
  </si>
  <si>
    <t>https://dd3ka9h4chfr8.cloudfront.net/image/725136000567/image_4vet68at956l95d5fs11taof7i/-S150x150-FJPG/225878-004_PRM_1.jpg</t>
  </si>
  <si>
    <t>https://dd3ka9h4chfr8.cloudfront.net/image/725136000567/image_4a72li85hl3i1fva400pevfg22/-FJPG/225878-004_FRT_1.jpg</t>
  </si>
  <si>
    <t>https://dd3ka9h4chfr8.cloudfront.net/image/725136000567/image_4vet68at956l95d5fs11taof7i/-FJPG/225878-004_PRM_1.jpg</t>
  </si>
  <si>
    <t>https://dd3ka9h4chfr8.cloudfront.net/image/725136000567/image_if0mdpnv294ijecharl7lf4m2m/-FJPG/225878-004_SID_1.jpg</t>
  </si>
  <si>
    <t>https://dd3ka9h4chfr8.cloudfront.net/image/725136000567/image_5aebr5l7hd1bv724vf8br6m477/-FJPG/225878-004_ESS_1.jpg</t>
  </si>
  <si>
    <t>https://dd3ka9h4chfr8.cloudfront.net/image/725136000567/image_ru4t3ck0fl7kn5ntp5thcq4g62/-FJPG/225878-004_DET_2.jpg</t>
  </si>
  <si>
    <t>https://dd3ka9h4chfr8.cloudfront.net/image/725136000567/image_bbjata45n16cn8vuu1l9ulha4d/-FJPG/225878-004_BCK_1.jpg</t>
  </si>
  <si>
    <t>https://dd3ka9h4chfr8.cloudfront.net/image/725136000567/image_eg9dl9i4h52s92r3f055jobb6a/-FJPG/225878-004_DET_1.jpg</t>
  </si>
  <si>
    <t>https://dd3ka9h4chfr8.cloudfront.net/image/725136000567/image_c5help9e3t0jncdva6c0om9q3e/-FJPG/225878-004_DET_3.jpg</t>
  </si>
  <si>
    <t>https://dd3ka9h4chfr8.cloudfront.net/image/725136000567/image_o95l3sdjtl361bn4vh49ntld0p/-FJPG/225878-004_OPN_1.jpg</t>
  </si>
  <si>
    <t>https://dd3ka9h4chfr8.cloudfront.net/image/725136000567/image_qd13m10idl6670vs91fif82n6g/-FJPG/225878-004_DET_4.jpg</t>
  </si>
  <si>
    <t>https://dd3ka9h4chfr8.cloudfront.net/image/725136000567/image_5uff7lubh57a92cjku9vb6hj7g/-FJPG/225878-004_DET_5.jpg</t>
  </si>
  <si>
    <t>https://dd3ka9h4chfr8.cloudfront.net/image/725136000567/image_qkidsb293136l276gn36csng3i/-FJPG/225878-004_DET_6.jpg</t>
  </si>
  <si>
    <t>225878-005</t>
  </si>
  <si>
    <t>Tolle Cabinet - Warm Natural Oak Veneer</t>
  </si>
  <si>
    <t>Warm Natural Oak Veneer</t>
  </si>
  <si>
    <t>Rustic White Solid</t>
  </si>
  <si>
    <t>Store it in style. Beautifully shaped cabinetry of rustic white solid oak features spacious interior shelving and clear glass front, ready for displaying favorite books, photos and treasures.</t>
  </si>
  <si>
    <t>https://dd3ka9h4chfr8.cloudfront.net/image/725136000567/image_f9ec8spsl17897lnvf5ek0js3f/-S150x150-FJPG/225878-005_PRM_1.jpg</t>
  </si>
  <si>
    <t>https://dd3ka9h4chfr8.cloudfront.net/image/725136000567/image_1ap8ngpi5p0h19npvue7qn284g/-FJPG/225878-005_FRT_1.jpg</t>
  </si>
  <si>
    <t>https://dd3ka9h4chfr8.cloudfront.net/image/725136000567/image_f9ec8spsl17897lnvf5ek0js3f/-FJPG/225878-005_PRM_1.jpg</t>
  </si>
  <si>
    <t>https://dd3ka9h4chfr8.cloudfront.net/image/725136000567/image_i64mpdoeh1063edpa8eiftoc1e/-FJPG/225878-005_SID_1.jpg</t>
  </si>
  <si>
    <t>https://dd3ka9h4chfr8.cloudfront.net/image/725136000567/image_28umljgkb93f96ep34735lbu29/-FJPG/225878-005_ESS.tif</t>
  </si>
  <si>
    <t>https://dd3ka9h4chfr8.cloudfront.net/image/725136000567/image_o8aiqobhet5vh9doofsktd8o59/-FJPG/225878-005_DET_2.jpg</t>
  </si>
  <si>
    <t>https://dd3ka9h4chfr8.cloudfront.net/image/725136000567/image_vaiqqkqcah5712nsh319juqi4t/-FJPG/225878-005_BCK_1.jpg</t>
  </si>
  <si>
    <t>https://dd3ka9h4chfr8.cloudfront.net/image/725136000567/image_h8k1oet3s15qbc1h128df7jb7f/-FJPG/225878-005_DET_1.jpg</t>
  </si>
  <si>
    <t>https://dd3ka9h4chfr8.cloudfront.net/image/725136000567/image_q4abevd3ct3q18k0e0pu2rhg0o/-FJPG/225878-005_DET_3.jpg</t>
  </si>
  <si>
    <t>https://dd3ka9h4chfr8.cloudfront.net/image/725136000567/image_uupunk31fh1snekh7vu23ap735/-FJPG/225878-005_OPN_1.jpg</t>
  </si>
  <si>
    <t>https://dd3ka9h4chfr8.cloudfront.net/image/725136000567/image_52j250ofj54c3avc7ia5fa0118/-FJPG/225878-005_DET_4.jpg</t>
  </si>
  <si>
    <t>https://dd3ka9h4chfr8.cloudfront.net/image/725136000567/image_310jmlq3894dp0p775aj4ko41v/-FJPG/225878-005_DET_5.jpg</t>
  </si>
  <si>
    <t>https://dd3ka9h4chfr8.cloudfront.net/image/725136000567/image_vo9ets09o542vffrm800p4kj71/-FJPG/225878-005_DET_6.jpg</t>
  </si>
  <si>
    <t>https://dd3ka9h4chfr8.cloudfront.net/image/725136000567/image_u4gaen3n4t591bocp4qao5ea6g/-FJPG/225878-005_DET_7.jpg</t>
  </si>
  <si>
    <t>https://dd3ka9h4chfr8.cloudfront.net/image/725136000567/image_d9s8tc48696a1eam10bqnpr01i/-FJPG/225878-005_DET_8.jpg</t>
  </si>
  <si>
    <t>https://dd3ka9h4chfr8.cloudfront.net/image/725136000567/image_n5r9lop3ep4vl6a3i9sct1p65r/-FJPG/225878-005_DET_9.jpg</t>
  </si>
  <si>
    <t>https://dd3ka9h4chfr8.cloudfront.net/image/725136000567/image_n2k945vrm90ll6uib5u1ist45d/-FJPG/225878-005_OPN_2.jpg</t>
  </si>
  <si>
    <t>226022-001</t>
  </si>
  <si>
    <t>Perrin 6 Drawer Dresser - Rustic Fawn</t>
  </si>
  <si>
    <t>Rustic Fawn</t>
  </si>
  <si>
    <t>Rustic Fawn Veneer</t>
  </si>
  <si>
    <t>Made from solid oak and oak veneer, visible knots and graining play up the natural beauty of this spacious six-drawer dresser, with large-scale joinery for extra heft. Designed in partnership with longtime Four Hands collaborator Thomas Bina and Brazilian designer Ronald Sasson. This item has been modified to comply with the STURDY Act. See a full list of modified products and data changes in the â€œSTURDY Actâ€ file in the Downloads section below.</t>
  </si>
  <si>
    <t>https://dd3ka9h4chfr8.cloudfront.net/image/725136000567/image_hs49mkbscd76d8vlqcrmdocn76/-S150x150-FJPG/226022-001_PRM_1.jpg</t>
  </si>
  <si>
    <t>https://dd3ka9h4chfr8.cloudfront.net/image/725136000567/image_22b2itf7255879bknrcapmur5s/-FJPG/226022-001_FRT_1.jpg</t>
  </si>
  <si>
    <t>https://dd3ka9h4chfr8.cloudfront.net/image/725136000567/image_hs49mkbscd76d8vlqcrmdocn76/-FJPG/226022-001_PRM_1.jpg</t>
  </si>
  <si>
    <t>https://dd3ka9h4chfr8.cloudfront.net/image/725136000567/image_i1m820re8t4qhfcjgagm8c0734/-FJPG/226022-001_SID_1.jpg</t>
  </si>
  <si>
    <t>https://dd3ka9h4chfr8.cloudfront.net/image/725136000567/image_ahbnbo6v197k74i2jksrsvbb2o/-FJPG/226022-001_ESS_1.jpg</t>
  </si>
  <si>
    <t>https://dd3ka9h4chfr8.cloudfront.net/image/725136000567/image_gbbl4o2nl50s343tu6t71f8151/-FJPG/226022-001_DET_2.jpg</t>
  </si>
  <si>
    <t>https://dd3ka9h4chfr8.cloudfront.net/image/725136000567/image_ps0b6t21g91cf1fl6bgekjne1h/-FJPG/226022-001_BCK_1.jpg</t>
  </si>
  <si>
    <t>https://dd3ka9h4chfr8.cloudfront.net/image/725136000567/image_ksflasno1h3rjdpn9agpfc9h46/-FJPG/226022-001_DET_1.jpg</t>
  </si>
  <si>
    <t>https://dd3ka9h4chfr8.cloudfront.net/image/725136000567/image_roelof6ckh1rbf1ij4p2iei22g/-FJPG/226022-001_DET_3.jpg</t>
  </si>
  <si>
    <t>https://dd3ka9h4chfr8.cloudfront.net/image/725136000567/image_naloa8teth0lp5kv75oqkq6o0i/-FJPG/226022-001_OPN_1.jpg</t>
  </si>
  <si>
    <t>https://dd3ka9h4chfr8.cloudfront.net/image/725136000567/image_isfne3bn851t9534jnha4esv7i/-FJPG/226022-001_DET_4.jpg</t>
  </si>
  <si>
    <t>https://dd3ka9h4chfr8.cloudfront.net/image/725136000567/image_d2bsf7le5d3cpdur138h3ek86h/-FJPG/226022-001_DET_5.jpg</t>
  </si>
  <si>
    <t>https://dd3ka9h4chfr8.cloudfront.net/image/725136000567/image_qolrt93t052v9bkan47r8fld6r/-FJPG/226022-001_DET_6.jpg</t>
  </si>
  <si>
    <t>https://dd3ka9h4chfr8.cloudfront.net/image/725136000567/image_bg65i6hj1l27b9eonu84dtl07n/-FJPG/226022-001_DET_7.jpg</t>
  </si>
  <si>
    <t>1dresser/Box</t>
  </si>
  <si>
    <t>Perrin</t>
  </si>
  <si>
    <t>25.91"</t>
  </si>
  <si>
    <t>226023-001</t>
  </si>
  <si>
    <t>Perrin Nightstand - Rustic Fawn Veneer</t>
  </si>
  <si>
    <t>Made from solid oak and oak veneer, visible knots and graining play up the natural beauty of this stylish nightstand, with large-scale joinery for extra heft. Designed in partnership with longtime Four Hands collaborator Thomas Bina and Brazilian designer Ronald Sasson.</t>
  </si>
  <si>
    <t>https://dd3ka9h4chfr8.cloudfront.net/image/725136000567/image_hm232k0bkd5vvbfm5g2flg2r1g/-S150x150-FJPG/226023-001_PRM_1.jpg</t>
  </si>
  <si>
    <t>https://dd3ka9h4chfr8.cloudfront.net/image/725136000567/image_tpidgrpf0d4433cumct0brt60g/-FJPG/226023-001_FRT_1.jpg</t>
  </si>
  <si>
    <t>https://dd3ka9h4chfr8.cloudfront.net/image/725136000567/image_hm232k0bkd5vvbfm5g2flg2r1g/-FJPG/226023-001_PRM_1.jpg</t>
  </si>
  <si>
    <t>https://dd3ka9h4chfr8.cloudfront.net/image/725136000567/image_ong43h51kd06584323ht5a6u6e/-FJPG/226023-001_SID_1.jpg</t>
  </si>
  <si>
    <t>https://dd3ka9h4chfr8.cloudfront.net/image/725136000567/image_78f7blmt7h3c103nh626tf2l4i/-FJPG/226023-001_ESS_1.jpg</t>
  </si>
  <si>
    <t>https://dd3ka9h4chfr8.cloudfront.net/image/725136000567/image_t5n58r8bil77d686lhbh074h7t/-FJPG/226023-001_DET_2.jpg</t>
  </si>
  <si>
    <t>https://dd3ka9h4chfr8.cloudfront.net/image/725136000567/image_b3ekq81pml753fj777r0unhg0g/-FJPG/226023-001_BCK_1.jpg</t>
  </si>
  <si>
    <t>https://dd3ka9h4chfr8.cloudfront.net/image/725136000567/image_6pjbegldd565j4a2ajm1h3kf3v/-FJPG/226023-001_DET_1.jpg</t>
  </si>
  <si>
    <t>https://dd3ka9h4chfr8.cloudfront.net/image/725136000567/image_pugndlkd5l05b5vhgvg6alft14/-FJPG/226023-001_DET_3.jpg</t>
  </si>
  <si>
    <t>https://dd3ka9h4chfr8.cloudfront.net/image/725136000567/image_1qgkrrc0op5sj29aeccasblv3f/-FJPG/226023-001_OPN_1.jpg</t>
  </si>
  <si>
    <t>https://dd3ka9h4chfr8.cloudfront.net/image/725136000567/image_0f11pe7h3h7259cbl88o117476/-FJPG/226023-001_DET_4.jpg</t>
  </si>
  <si>
    <t>https://dd3ka9h4chfr8.cloudfront.net/image/725136000567/image_8nf44aofj95o98a4e93o979o11/-FJPG/226023-001_DET_5.jpg</t>
  </si>
  <si>
    <t>https://dd3ka9h4chfr8.cloudfront.net/image/725136000567/image_v6440crrfp02tbiv7oabaclp0e/-FJPG/226023-001_DET_6.jpg</t>
  </si>
  <si>
    <t>https://dd3ka9h4chfr8.cloudfront.net/image/725136000567/image_ho1m174ld11u32nk5hai8jj22o/-FJPG/226023-001_VIG_2.jpg</t>
  </si>
  <si>
    <t>1 Item/Box</t>
  </si>
  <si>
    <t>10.79"</t>
  </si>
  <si>
    <t>2.09"</t>
  </si>
  <si>
    <t>19.96"</t>
  </si>
  <si>
    <t>226055-001</t>
  </si>
  <si>
    <t>Kelby Bookcase - Gunmetal</t>
  </si>
  <si>
    <t>Uniquely carved mango wood is finished in a vintage brown, highlighting texture and craftsmanship, paired with a slim iron base for an airy, cage-like look.</t>
  </si>
  <si>
    <t>https://dd3ka9h4chfr8.cloudfront.net/image/725136000567/image_ih6oqhdk212bb8cpcqalonq730/-S150x150-FJPG/226055-001_PRM_1.jpg</t>
  </si>
  <si>
    <t>https://dd3ka9h4chfr8.cloudfront.net/image/725136000567/image_04r2t4jtkh4ebba2o114ms356k/-FJPG/226055-001_FRT_1.jpg</t>
  </si>
  <si>
    <t>https://dd3ka9h4chfr8.cloudfront.net/image/725136000567/image_ih6oqhdk212bb8cpcqalonq730/-FJPG/226055-001_PRM_1.jpg</t>
  </si>
  <si>
    <t>https://dd3ka9h4chfr8.cloudfront.net/image/725136000567/image_32mta22kj56s1d4ilc68g3l27s/-FJPG/226055-001_SID_1.jpg</t>
  </si>
  <si>
    <t>https://dd3ka9h4chfr8.cloudfront.net/image/725136000567/image_2lma24ts193rtb7g9fblakoh2a/-FJPG/226055-001_ESS_1.jpg</t>
  </si>
  <si>
    <t>https://dd3ka9h4chfr8.cloudfront.net/image/725136000567/image_qvdol0ins144navj8ftmf07l4b/-FJPG/226055-001_DET_2.jpg</t>
  </si>
  <si>
    <t>https://dd3ka9h4chfr8.cloudfront.net/image/725136000567/image_tp8o6vhrql2fp3vfd21pk7ol27/-FJPG/226055-001_BCK_1.jpg</t>
  </si>
  <si>
    <t>https://dd3ka9h4chfr8.cloudfront.net/image/725136000567/image_i418j9jpf546b4h2v6sh1v382e/-FJPG/226055-001_DET_1.jpg</t>
  </si>
  <si>
    <t>https://dd3ka9h4chfr8.cloudfront.net/image/725136000567/image_r3845de56t2ib8brslbo72004p/-FJPG/226055-001_DET_3.jpg</t>
  </si>
  <si>
    <t>https://dd3ka9h4chfr8.cloudfront.net/image/725136000567/image_tg2fp7vjvp7159o3tkfn4e2b3u/-FJPG/226055-001_OPN_1.jpg</t>
  </si>
  <si>
    <t>https://dd3ka9h4chfr8.cloudfront.net/image/725136000567/image_kl16n9fakl6939pfv5vl8f8t2n/-FJPG/226055-001_DET_4.jpg</t>
  </si>
  <si>
    <t>https://dd3ka9h4chfr8.cloudfront.net/image/725136000567/image_8tmrjfcgnp3s703nc1enr1o56u/-FJPG/226055-001_DET_5.jpg</t>
  </si>
  <si>
    <t>https://dd3ka9h4chfr8.cloudfront.net/image/725136000567/image_48o5du25s54ntf6iashscnal0n/-FJPG/226055-001_DET_6.jpg</t>
  </si>
  <si>
    <t>https://dd3ka9h4chfr8.cloudfront.net/image/725136000567/image_eh8ps9d8ad33b7poei5i9gkb6m/-FJPG/226055-001_PRM_2.jpg</t>
  </si>
  <si>
    <t>32.75"</t>
  </si>
  <si>
    <t>226071-006</t>
  </si>
  <si>
    <t>Bowen Bed - Sheepskin Natural</t>
  </si>
  <si>
    <t>Berman</t>
  </si>
  <si>
    <t>Sheepskin Natural</t>
  </si>
  <si>
    <t>Buff Oak</t>
  </si>
  <si>
    <t>Buff Oak Veneer</t>
  </si>
  <si>
    <t>Bring a cozy hygge vibe to the bedroom. Framed by light-finished solid oak, a sling-style bed features faux shearling head and foot boards, for welcoming warmth and trend-forward texture alike.</t>
  </si>
  <si>
    <t>https://dd3ka9h4chfr8.cloudfront.net/image/725136000567/image_iqfbk4q1116pha0143sv97g518/-S150x150-FJPG/226071-006_PRM_1.jpg</t>
  </si>
  <si>
    <t>https://dd3ka9h4chfr8.cloudfront.net/image/725136000567/image_05kl7jukft2pd2fpf1fi3s585g/-FJPG/226071-006_FRT_1.jpg</t>
  </si>
  <si>
    <t>https://dd3ka9h4chfr8.cloudfront.net/image/725136000567/image_iqfbk4q1116pha0143sv97g518/-FJPG/226071-006_PRM_1.jpg</t>
  </si>
  <si>
    <t>https://dd3ka9h4chfr8.cloudfront.net/image/725136000567/image_tae2ou8iup0p361fh66aa9ov2j/-FJPG/226071-006_SID_1.jpg</t>
  </si>
  <si>
    <t>https://dd3ka9h4chfr8.cloudfront.net/image/725136000567/image_0vnpk93o114cnec2r423bkjd5h/-FJPG/226071-006_DET_2.jpg</t>
  </si>
  <si>
    <t>https://dd3ka9h4chfr8.cloudfront.net/image/725136000567/image_lo7q1m87554epagsc2al2p5g60/-FJPG/226071-006_BCK_1.jpg</t>
  </si>
  <si>
    <t>https://dd3ka9h4chfr8.cloudfront.net/image/725136000567/image_37fammpsv11jvest24n1r3ih5l/-FJPG/226071-006_DET_1.jpg</t>
  </si>
  <si>
    <t>https://dd3ka9h4chfr8.cloudfront.net/image/725136000567/image_8epvekpds95pjbntlcfc6ugl1k/-FJPG/226071-006_DET_3.jpg</t>
  </si>
  <si>
    <t>https://dd3ka9h4chfr8.cloudfront.net/image/725136000567/image_m1705n0uh536l8kc85hgu1c32l/-FJPG/226071-006_DET_4.jpg</t>
  </si>
  <si>
    <t>https://dd3ka9h4chfr8.cloudfront.net/image/725136000567/image_aq1qfcte956andnul2ij9khh4j/-FJPG/226071-006_DET_5.jpg</t>
  </si>
  <si>
    <t>https://dd3ka9h4chfr8.cloudfront.net/image/725136000567/image_pceehkn4o94tj7a1ikroj8ss2d/-FJPG/226071-006_DET_6.jpg</t>
  </si>
  <si>
    <t>https://dd3ka9h4chfr8.cloudfront.net/image/725136000567/image_8brnjjdq7h5418ju1ibmdvq64l/-FJPG/226071-006_DET_7.jpg</t>
  </si>
  <si>
    <t>https://dd3ka9h4chfr8.cloudfront.net/image/725136000567/image_irgosq9uhp3lv15c6qguks3l6v/-FJPG/226071-006_DET_8.jpg</t>
  </si>
  <si>
    <t>https://dd3ka9h4chfr8.cloudfront.net/image/725136000567/image_iffsu9f70h33v7vk4ig0gm7u3n/-FJPG/226071-006_ROM_2.jpg</t>
  </si>
  <si>
    <t>https://dd3ka9h4chfr8.cloudfront.net/image/725136000567/image_53djg9mg5l7hhemtkgbdte8e2n/-FJPG/226071-006_PRM_2.jpg</t>
  </si>
  <si>
    <t>https://dd3ka9h4chfr8.cloudfront.net/image/725136000567/image_ck1fo9c2ht2or7qjl8gmui7t03/-FJPG/226071-006_SID_2.jpg</t>
  </si>
  <si>
    <t>https://dd3ka9h4chfr8.cloudfront.net/image/725136000567/image_n7ob2je5f92hbfmudnb2a2b25k/-FJPG/226071-006_FRT_2.jpg</t>
  </si>
  <si>
    <t>Hb/Fb</t>
  </si>
  <si>
    <t>Siderails/Slats</t>
  </si>
  <si>
    <t>Bowen</t>
  </si>
  <si>
    <t>80.35"</t>
  </si>
  <si>
    <t>80.55"</t>
  </si>
  <si>
    <t>83.35"</t>
  </si>
  <si>
    <t>3.03"</t>
  </si>
  <si>
    <t>9.84"</t>
  </si>
  <si>
    <t>226071-007</t>
  </si>
  <si>
    <t>https://dd3ka9h4chfr8.cloudfront.net/image/725136000567/image_6br0m2772p00n5og7pks06cq5e/-S150x150-FJPG/226071-007_PRM_1.jpg</t>
  </si>
  <si>
    <t>https://dd3ka9h4chfr8.cloudfront.net/image/725136000567/image_14le8clbpp01ddu5gjt8k1q25m/-FJPG/226071-007_FRT_1.jpg</t>
  </si>
  <si>
    <t>https://dd3ka9h4chfr8.cloudfront.net/image/725136000567/image_6br0m2772p00n5og7pks06cq5e/-FJPG/226071-007_PRM_1.jpg</t>
  </si>
  <si>
    <t>https://dd3ka9h4chfr8.cloudfront.net/image/725136000567/image_8hmi088dmp4jta2vkgo5kg9l6s/-FJPG/226071-007_SID_1.jpg</t>
  </si>
  <si>
    <t>https://dd3ka9h4chfr8.cloudfront.net/image/725136000567/image_cmd0ao512t4s59cv9is9ebu70d/-FJPG/226071-007_ESS_1.jpg</t>
  </si>
  <si>
    <t>https://dd3ka9h4chfr8.cloudfront.net/image/725136000567/image_p4ikneocbp0bj6bdjivg9p9c37/-FJPG/226071-007_DET_2.jpg</t>
  </si>
  <si>
    <t>https://dd3ka9h4chfr8.cloudfront.net/image/725136000567/image_4n4pa1671p32j8saaha76vsl4f/-FJPG/226071-007_BCK_1.jpg</t>
  </si>
  <si>
    <t>https://dd3ka9h4chfr8.cloudfront.net/image/725136000567/image_7sbdv0hjo90hp7a8fvm241og2k/-FJPG/226071-007_DET_1.jpg</t>
  </si>
  <si>
    <t>https://dd3ka9h4chfr8.cloudfront.net/image/725136000567/image_99q3oi9qf15fle1l1h58b4sn4b/-FJPG/226071-007_DET_3.jpg</t>
  </si>
  <si>
    <t>https://dd3ka9h4chfr8.cloudfront.net/image/725136000567/image_5frisdn9p53611qo2gh6kukk0f/-FJPG/226071-007_DET_4.jpg</t>
  </si>
  <si>
    <t>https://dd3ka9h4chfr8.cloudfront.net/image/725136000567/image_h0a9e8hs192hh42qfagj484141/-FJPG/226071-007_DET_5.jpg</t>
  </si>
  <si>
    <t>https://dd3ka9h4chfr8.cloudfront.net/image/725136000567/image_nflpn4jol50gnfgak0tk4sq04o/-FJPG/226071-007_DET_6.jpg</t>
  </si>
  <si>
    <t>https://dd3ka9h4chfr8.cloudfront.net/image/725136000567/image_gtl2jlciup4q1ch7446fo96b54/-FJPG/226071-007_DET_7.jpg</t>
  </si>
  <si>
    <t>https://dd3ka9h4chfr8.cloudfront.net/image/725136000567/image_vgvno9r4494e1btiglia2e6g3d/-FJPG/226071-007_DET_8.jpg</t>
  </si>
  <si>
    <t>https://dd3ka9h4chfr8.cloudfront.net/image/725136000567/image_71drmnqdjd27r5r3e0n3htri39/-FJPG/226071-007_SID_2.jpg</t>
  </si>
  <si>
    <t>https://dd3ka9h4chfr8.cloudfront.net/image/725136000567/image_f1e6cv74n12v74voah1nk2p31o/-FJPG/226071-007_FRT_2.jpg</t>
  </si>
  <si>
    <t>https://dd3ka9h4chfr8.cloudfront.net/image/725136000567/image_e8le0rnc3p2un0ld5d9762884g/-FJPG/226071-007_PRM_2.jpg</t>
  </si>
  <si>
    <t>64.21"</t>
  </si>
  <si>
    <t>226157-002</t>
  </si>
  <si>
    <t>Fay Accent Table - Natural Oak</t>
  </si>
  <si>
    <t>Perfectly sized to keep a favorite book or drink within reach, black-finished solid marble forms a playfully shaped base and slim iron post, with a natural oak tabletop rounding things out.</t>
  </si>
  <si>
    <t>https://dd3ka9h4chfr8.cloudfront.net/image/725136000567/image_imire725d55k75tln4do2pbe3q/-S150x150-FJPG/226157-002_PRM_1.jpg</t>
  </si>
  <si>
    <t>https://dd3ka9h4chfr8.cloudfront.net/image/725136000567/image_13g9c5uf152vb7p5ojcfckie1c/-FJPG/226157-002_FRT_1.jpg</t>
  </si>
  <si>
    <t>https://dd3ka9h4chfr8.cloudfront.net/image/725136000567/image_imire725d55k75tln4do2pbe3q/-FJPG/226157-002_PRM_1.jpg</t>
  </si>
  <si>
    <t>https://dd3ka9h4chfr8.cloudfront.net/image/725136000567/image_9n58tmhgel6ata5dnonvrgdh5t/-FJPG/226157-002_SID_1.jpg</t>
  </si>
  <si>
    <t>https://dd3ka9h4chfr8.cloudfront.net/image/725136000567/image_dht6d4gj792v16ph3qdq0m8o0u/-FJPG/226157-002_ESS.tif</t>
  </si>
  <si>
    <t>https://dd3ka9h4chfr8.cloudfront.net/image/725136000567/image_pnpq150vbh3539i8l8l4j0ji22/-FJPG/226157-002_ESS.tif</t>
  </si>
  <si>
    <t>https://dd3ka9h4chfr8.cloudfront.net/image/725136000567/image_7k22bubech72770b4upo1p874h/-FJPG/226157-002_DET_2.jpg</t>
  </si>
  <si>
    <t>https://dd3ka9h4chfr8.cloudfront.net/image/725136000567/image_m1j0jmd8dt0378vd5c4s2v2g3c/-FJPG/226157-002_DET_3.jpg</t>
  </si>
  <si>
    <t>https://dd3ka9h4chfr8.cloudfront.net/image/725136000567/image_5usp2odvo95r188kjcbd8pon2c/-FJPG/226157-002_DET_4.jpg</t>
  </si>
  <si>
    <t>https://dd3ka9h4chfr8.cloudfront.net/image/725136000567/image_egr04m5u4h3t1dfbccd9gted0h/-FJPG/226157-002_DET_5.jpg</t>
  </si>
  <si>
    <t>https://dd3ka9h4chfr8.cloudfront.net/image/725136000567/image_59g8ebvv71325f7pc4jf8q3205/-FJPG/226157-002_DET_6.jpg</t>
  </si>
  <si>
    <t>https://dd3ka9h4chfr8.cloudfront.net/image/725136000567/image_91277g2bj978bde5vn100gum24/-FJPG/226157-002_DET_9.tif</t>
  </si>
  <si>
    <t>https://dd3ka9h4chfr8.cloudfront.net/image/725136000567/image_cduqb33iv15qlce038teaj9d32/-FJPG/226157-002_VIG_1.jpg</t>
  </si>
  <si>
    <t>Fay</t>
  </si>
  <si>
    <t>226228-001</t>
  </si>
  <si>
    <t>Krista Dining Bench - Knoll Charcoal</t>
  </si>
  <si>
    <t>Dining Benches</t>
  </si>
  <si>
    <t>Knoll Charcoal</t>
  </si>
  <si>
    <t>Toasted Ash Veneer</t>
  </si>
  <si>
    <t>Ash Veneer</t>
  </si>
  <si>
    <t>Style takes shape. Comfortably curved bench seating is upholstered in a chunky charcoal boucle, with water-repellent high-performance fabric for modern sensibility. A plinth-style ash veneer base works casual contrast into the mix. Perfectly sized for a cozy breakfast nook; pair up to suit a larger space.</t>
  </si>
  <si>
    <t>https://dd3ka9h4chfr8.cloudfront.net/image/725136000567/image_gc8sc4v2nt2h532nu4grjhg70r/-S150x150-FJPG/226228-001_PRM_1.jpg</t>
  </si>
  <si>
    <t>https://dd3ka9h4chfr8.cloudfront.net/image/725136000567/image_ollfn454e50g1bnt4mvkbkmr0s/-FJPG/226228-001_FRT_1.jpg</t>
  </si>
  <si>
    <t>https://dd3ka9h4chfr8.cloudfront.net/image/725136000567/image_gc8sc4v2nt2h532nu4grjhg70r/-FJPG/226228-001_PRM_1.jpg</t>
  </si>
  <si>
    <t>https://dd3ka9h4chfr8.cloudfront.net/image/725136000567/image_40essom8dp1c9eh6qv7v9soq6v/-FJPG/226228-001_SID_1.jpg</t>
  </si>
  <si>
    <t>https://dd3ka9h4chfr8.cloudfront.net/image/725136000567/image_ri62hhpq7t3o1fchjvqsiajv1b/-FJPG/226228-001_ESS_1.jpg</t>
  </si>
  <si>
    <t>https://dd3ka9h4chfr8.cloudfront.net/image/725136000567/image_u3q3fje2el26f4gsq2gkb1fq7h/-FJPG/226228-001_DET_2.jpg</t>
  </si>
  <si>
    <t>https://dd3ka9h4chfr8.cloudfront.net/image/725136000567/image_pd5e7aa4612mvdn3vh8n59625c/-FJPG/226228-001_BCK_1.jpg</t>
  </si>
  <si>
    <t>https://dd3ka9h4chfr8.cloudfront.net/image/725136000567/image_692e9m91id0n37t00ia8gb8o1c/-FJPG/226228-001_INF_1.jpg</t>
  </si>
  <si>
    <t>https://dd3ka9h4chfr8.cloudfront.net/image/725136000567/image_aupqv5jq2118r8hm681k2tj72k/-FJPG/226228-001_DET_1.jpg</t>
  </si>
  <si>
    <t>https://dd3ka9h4chfr8.cloudfront.net/image/725136000567/image_go78pcck913ovekldqmnua6m56/-FJPG/226228-001_DET_3.jpg</t>
  </si>
  <si>
    <t>https://dd3ka9h4chfr8.cloudfront.net/image/725136000567/image_03cn2esmdl19r4ic2u6t0qdj0r/-FJPG/226228-001_DET_4.jpg</t>
  </si>
  <si>
    <t>https://dd3ka9h4chfr8.cloudfront.net/image/725136000567/image_oqs8cj3ful1fp901a5s0kp9q5i/-FJPG/226228-001_DET_5.jpg</t>
  </si>
  <si>
    <t>Krista</t>
  </si>
  <si>
    <t>44.00"</t>
  </si>
  <si>
    <t>226228-003</t>
  </si>
  <si>
    <t>Krista Dining Bench - Knoll Natural</t>
  </si>
  <si>
    <t>Style takes shape. Comfortably curved bench seating is upholstered in a chunky off-white boucle, with water-repellent performance fabric for a modern touch. A plinth-style ash veneer base works casual contrast into the mix. Perfectly sized for a cozy breakfast nook; pair up to suit a larger space. Performance fabrics are specially created to withstand spills, stains, high traffic and wear, ensuring long-term comfort and unmatched durability.</t>
  </si>
  <si>
    <t>https://dd3ka9h4chfr8.cloudfront.net/image/725136000567/image_jetrbldcbt0nvahqo3driurd16/-S150x150-FJPG/226228-003_PRM_1.JPG</t>
  </si>
  <si>
    <t>https://dd3ka9h4chfr8.cloudfront.net/image/725136000567/image_p6ginio5cp1ul7vrdq41rgnb4t/-FJPG/226228-003_FRT_1.JPG</t>
  </si>
  <si>
    <t>https://dd3ka9h4chfr8.cloudfront.net/image/725136000567/image_jetrbldcbt0nvahqo3driurd16/-FJPG/226228-003_PRM_1.JPG</t>
  </si>
  <si>
    <t>https://dd3ka9h4chfr8.cloudfront.net/image/725136000567/image_qn37crnbfh03l9umcbmpv00v4m/-FJPG/226228-003_SID_1.JPG</t>
  </si>
  <si>
    <t>https://dd3ka9h4chfr8.cloudfront.net/image/725136000567/image_ub51bdgbld6nfe5lvr0f58962k/-FJPG/226228-003_DET_2.JPG</t>
  </si>
  <si>
    <t>https://dd3ka9h4chfr8.cloudfront.net/image/725136000567/image_1eqr5p4ee93qdefdapf9udnb0b/-FJPG/226228-003_BCK_1.JPG</t>
  </si>
  <si>
    <t>https://dd3ka9h4chfr8.cloudfront.net/image/725136000567/image_105fja14vd5ndck7v1pnfdip7f/-FJPG/226228-003_DET_1.JPG</t>
  </si>
  <si>
    <t>https://dd3ka9h4chfr8.cloudfront.net/image/725136000567/image_dof89bhbjl4i19cv05butl6l1t/-FJPG/226228-003_DET_3.JPG</t>
  </si>
  <si>
    <t>https://dd3ka9h4chfr8.cloudfront.net/image/725136000567/image_0dni9gtv8d1e70t87qgt5j2g17/-FJPG/226228-003_DET_4.JPG</t>
  </si>
  <si>
    <t>226281-002</t>
  </si>
  <si>
    <t>Sorrento Sideboard - Aged Drift Mindi</t>
  </si>
  <si>
    <t>Aged Drift Mindi</t>
  </si>
  <si>
    <t>Solid Mindi</t>
  </si>
  <si>
    <t>Clean edging and soft curves spur a remarkable contrast. A sideboard of aged mindi pairs simple spirit with bold shape.</t>
  </si>
  <si>
    <t>https://dd3ka9h4chfr8.cloudfront.net/image/725136000567/image_qnuiiu1pj11cv963gtcr6eva1e/-S150x150-FJPG/226281-002_PRM_1.jpg</t>
  </si>
  <si>
    <t>https://dd3ka9h4chfr8.cloudfront.net/image/725136000567/image_is5vfkeret3f1fctvnfuqmmq1c/-FJPG/226281-002_FRT_1.jpg</t>
  </si>
  <si>
    <t>https://dd3ka9h4chfr8.cloudfront.net/image/725136000567/image_qnuiiu1pj11cv963gtcr6eva1e/-FJPG/226281-002_PRM_1.jpg</t>
  </si>
  <si>
    <t>https://dd3ka9h4chfr8.cloudfront.net/image/725136000567/image_oskie6g31564p9fi37a6moju6l/-FJPG/226281-002_SID_1.jpg</t>
  </si>
  <si>
    <t>https://dd3ka9h4chfr8.cloudfront.net/image/725136000567/image_ev7ibtfc1134r6rlt7378js678/-FJPG/226281-002_DET_2.jpg</t>
  </si>
  <si>
    <t>https://dd3ka9h4chfr8.cloudfront.net/image/725136000567/image_0us3ou30pp75lb35so3mqkj05k/-FJPG/226281-002_BCK_1.jpg</t>
  </si>
  <si>
    <t>https://dd3ka9h4chfr8.cloudfront.net/image/725136000567/image_7hssnl57bd0u34b41qaangud40/-FJPG/226281-002_DET_1.jpg</t>
  </si>
  <si>
    <t>https://dd3ka9h4chfr8.cloudfront.net/image/725136000567/image_4dpmu6v3416275bl207kfju37i/-FJPG/226281-002_DET_3.jpg</t>
  </si>
  <si>
    <t>https://dd3ka9h4chfr8.cloudfront.net/image/725136000567/image_ru0jrc5jb506dc50ag0l1rne79/-FJPG/226281-002_OPN_1.jpg</t>
  </si>
  <si>
    <t>https://dd3ka9h4chfr8.cloudfront.net/image/725136000567/image_53uf60vi4t4j599hc49he2c91q/-FJPG/226281-002_DET_4.jpg</t>
  </si>
  <si>
    <t>https://dd3ka9h4chfr8.cloudfront.net/image/725136000567/image_52hi9jnevl48952b3l2qq9h224/-FJPG/226281-002_DET_5.jpg</t>
  </si>
  <si>
    <t>https://dd3ka9h4chfr8.cloudfront.net/image/725136000567/image_ae77vobu4d01n1inanhosgnb4d/-FJPG/226281-002_DET_6.jpg</t>
  </si>
  <si>
    <t>https://dd3ka9h4chfr8.cloudfront.net/image/725136000567/image_08ckf376ad3j368m28p4e55k2f/-FJPG/226281-002_DET_7.jpg</t>
  </si>
  <si>
    <t>https://dd3ka9h4chfr8.cloudfront.net/image/725136000567/image_k5g6juucmd5fp461054nibh74s/-FJPG/226281-002_DET_8.jpg</t>
  </si>
  <si>
    <t>https://dd3ka9h4chfr8.cloudfront.net/image/725136000567/image_eok1dtr0kh6tpc8uofsrjktv5v/-FJPG/226281-002_ESS_2.jpg</t>
  </si>
  <si>
    <t>17.01"</t>
  </si>
  <si>
    <t>21.97"</t>
  </si>
  <si>
    <t>35.94"</t>
  </si>
  <si>
    <t>Sorrento</t>
  </si>
  <si>
    <t>17.40"</t>
  </si>
  <si>
    <t>226333-001</t>
  </si>
  <si>
    <t>Hawkins Dining Bench - Sonoma Butterscotch</t>
  </si>
  <si>
    <t>Strike a pose. Well curved and finely sculpted, tan top-grain leather exclusive to Four Hands makes for a unique and shapely addition to the modern dining room.</t>
  </si>
  <si>
    <t>https://dd3ka9h4chfr8.cloudfront.net/image/725136000567/image_j2if2ctf5d5976rkohifvmav06/-S150x150-FJPG/226333-001_PRM_1.jpg</t>
  </si>
  <si>
    <t>https://dd3ka9h4chfr8.cloudfront.net/image/725136000567/image_v1ubftn9t15p52qv4ojlsjg87t/-FJPG/226333-001_FRT_1.jpg</t>
  </si>
  <si>
    <t>https://dd3ka9h4chfr8.cloudfront.net/image/725136000567/image_j2if2ctf5d5976rkohifvmav06/-FJPG/226333-001_PRM_1.jpg</t>
  </si>
  <si>
    <t>https://dd3ka9h4chfr8.cloudfront.net/image/725136000567/image_sr9q8lki690vn3eopf9ftpch4c/-FJPG/226333-001_SID_1.jpg</t>
  </si>
  <si>
    <t>https://dd3ka9h4chfr8.cloudfront.net/image/725136000567/image_t1lnocp3gl7nfai5qoo0s8o63u/-FJPG/226333-001_ESS_1.jpg</t>
  </si>
  <si>
    <t>https://dd3ka9h4chfr8.cloudfront.net/image/725136000567/image_h9lj5tn82t4ul7ceflrv81fh52/-FJPG/226333-001_DET_2.jpg</t>
  </si>
  <si>
    <t>https://dd3ka9h4chfr8.cloudfront.net/image/725136000567/image_ftfcg8gcml07p8ncdpsl2t6g5i/-FJPG/226333-001_BCK_1.jpg</t>
  </si>
  <si>
    <t>https://dd3ka9h4chfr8.cloudfront.net/image/725136000567/image_jlug7qstut17tem3pfrjorpb72/-FJPG/226333-001_DET_1.jpg</t>
  </si>
  <si>
    <t>https://dd3ka9h4chfr8.cloudfront.net/image/725136000567/image_jkbblp0ntt44v5etlr7fqkkc4q/-FJPG/226333-001_DET_3.jpg</t>
  </si>
  <si>
    <t>https://dd3ka9h4chfr8.cloudfront.net/image/725136000567/image_pp1tfsaath77ld0auh2sef783e/-FJPG/226333-001_DET_4.jpg</t>
  </si>
  <si>
    <t>https://dd3ka9h4chfr8.cloudfront.net/image/725136000567/image_s3tjghf0cl7m16s4ltoqjpi65l/-FJPG/226333-001_DET_5.jpg</t>
  </si>
  <si>
    <t>https://dd3ka9h4chfr8.cloudfront.net/image/725136000567/image_66te7tlqil401dfm52himira2h/-FJPG/226333-001_DET_6.jpg</t>
  </si>
  <si>
    <t>https://dd3ka9h4chfr8.cloudfront.net/image/725136000567/image_so8lqs4ptd78j8gtqibpc0d83h/-FJPG/226333-001_DET_7.jpg</t>
  </si>
  <si>
    <t>51.18"</t>
  </si>
  <si>
    <t>Hawkins</t>
  </si>
  <si>
    <t>15.55"</t>
  </si>
  <si>
    <t>51.97"</t>
  </si>
  <si>
    <t>44.49"</t>
  </si>
  <si>
    <t>226395-001</t>
  </si>
  <si>
    <t>Montana Bed - Altro Snow</t>
  </si>
  <si>
    <t>Altro Snow</t>
  </si>
  <si>
    <t>Whitewashed Oak</t>
  </si>
  <si>
    <t>Elevate the comfort of your bedroom with this solid oak frame paired with an ivory split headboard.</t>
  </si>
  <si>
    <t>https://dd3ka9h4chfr8.cloudfront.net/image/725136000567/image_uldtosue812pv95i5ji9o22h5q/-S150x150-FJPG/226395-001_PRM_1.jpg</t>
  </si>
  <si>
    <t>https://dd3ka9h4chfr8.cloudfront.net/image/725136000567/image_0jd2nc1q890g9allm9h707af73/-FJPG/226395-001_FRT_1.jpg</t>
  </si>
  <si>
    <t>https://dd3ka9h4chfr8.cloudfront.net/image/725136000567/image_uldtosue812pv95i5ji9o22h5q/-FJPG/226395-001_PRM_1.jpg</t>
  </si>
  <si>
    <t>https://dd3ka9h4chfr8.cloudfront.net/image/725136000567/image_im6lluj0qd3vl4vlumtj9qm74s/-FJPG/226395-001_SID_1.jpg</t>
  </si>
  <si>
    <t>https://dd3ka9h4chfr8.cloudfront.net/image/725136000567/image_9hakls91hl31d0mlfugtic9e6a/-FJPG/226395-001_ESS_1.jpg</t>
  </si>
  <si>
    <t>https://dd3ka9h4chfr8.cloudfront.net/image/725136000567/image_pjac232rgl3jl5bmjlck2pt540/-FJPG/226395-001_DET_2.jpg</t>
  </si>
  <si>
    <t>https://dd3ka9h4chfr8.cloudfront.net/image/725136000567/image_fo0aoquqmh14nab5c12e1g9b73/-FJPG/226395-001_BCK_1.jpg</t>
  </si>
  <si>
    <t>https://dd3ka9h4chfr8.cloudfront.net/image/725136000567/image_m6cige5k1l4ffd3r98c76jen74/-FJPG/226395-001_DET_1.jpg</t>
  </si>
  <si>
    <t>https://dd3ka9h4chfr8.cloudfront.net/image/725136000567/image_94b74rmb0h7jbclp5edqsrjv57/-FJPG/226395-001_DET_3.jpg</t>
  </si>
  <si>
    <t>https://dd3ka9h4chfr8.cloudfront.net/image/725136000567/image_7g1899q0ol7qvbtfdej7kgvg6k/-FJPG/226395-001_DET_4.jpg</t>
  </si>
  <si>
    <t>https://dd3ka9h4chfr8.cloudfront.net/image/725136000567/image_drp3av5ie566d5e1886sud8u1k/-FJPG/226395-001_DET_5.jpg</t>
  </si>
  <si>
    <t>https://dd3ka9h4chfr8.cloudfront.net/image/725136000567/image_eoqrgha3kh0r124pnber31nn33/-FJPG/226395-001_DET_6.jpg</t>
  </si>
  <si>
    <t>https://dd3ka9h4chfr8.cloudfront.net/image/725136000567/image_s2v5s6hm8d367c94ednvstbr59/-FJPG/226395-001_DET_7.jpg</t>
  </si>
  <si>
    <t>Hb</t>
  </si>
  <si>
    <t>Fb+slats</t>
  </si>
  <si>
    <t>Siderails &amp; Center Rail</t>
  </si>
  <si>
    <t>Montana</t>
  </si>
  <si>
    <t>12.60"</t>
  </si>
  <si>
    <t>64.41"</t>
  </si>
  <si>
    <t>50.20"</t>
  </si>
  <si>
    <t>66.93"</t>
  </si>
  <si>
    <t>61.06"</t>
  </si>
  <si>
    <t>82.24"</t>
  </si>
  <si>
    <t>226395-002</t>
  </si>
  <si>
    <t>https://dd3ka9h4chfr8.cloudfront.net/image/725136000567/image_0hj8v430ot58v1ggbvksmk4b31/-S150x150-FJPG/226395-002_PRM_1.jpg</t>
  </si>
  <si>
    <t>https://dd3ka9h4chfr8.cloudfront.net/image/725136000567/image_lc4dvhn4995ataa2sh6mopuv6e/-FJPG/226395-002_FRT_1.jpg</t>
  </si>
  <si>
    <t>https://dd3ka9h4chfr8.cloudfront.net/image/725136000567/image_0hj8v430ot58v1ggbvksmk4b31/-FJPG/226395-002_PRM_1.jpg</t>
  </si>
  <si>
    <t>https://dd3ka9h4chfr8.cloudfront.net/image/725136000567/image_itsul4nf717t55n04noc745p3n/-FJPG/226395-002_SID_1.jpg</t>
  </si>
  <si>
    <t>https://dd3ka9h4chfr8.cloudfront.net/image/725136000567/image_e9c3eqgk6h349ek6kes4thpl1j/-FJPG/226395-002_ESS_1.jpg</t>
  </si>
  <si>
    <t>https://dd3ka9h4chfr8.cloudfront.net/image/725136000567/image_bbbqip1fb16i51l1klmt9vo877/-FJPG/226395-002_DET_2.jpg</t>
  </si>
  <si>
    <t>https://dd3ka9h4chfr8.cloudfront.net/image/725136000567/image_d3unp3fg0p0995g873evot2k7g/-FJPG/226395-002_BCK_1.jpg</t>
  </si>
  <si>
    <t>https://dd3ka9h4chfr8.cloudfront.net/image/725136000567/image_ci0khoesv964dad7d7mogb0q2s/-FJPG/226395-002_DET_1.jpg</t>
  </si>
  <si>
    <t>https://dd3ka9h4chfr8.cloudfront.net/image/725136000567/image_2vdrenn32d6fh14csjprpck17d/-FJPG/226395-002_DET_3.jpg</t>
  </si>
  <si>
    <t>https://dd3ka9h4chfr8.cloudfront.net/image/725136000567/image_jkm2t08fg5741c72ats0ov3e3p/-FJPG/226395-002_DET_4.jpg</t>
  </si>
  <si>
    <t>https://dd3ka9h4chfr8.cloudfront.net/image/725136000567/image_4pesqnhtkp79b4i5jqmbgef60s/-FJPG/226395-002_DET_5.jpg</t>
  </si>
  <si>
    <t>https://dd3ka9h4chfr8.cloudfront.net/image/725136000567/image_dnob0m3f3d7r779ppgpgsi8q0j/-FJPG/226395-002_DET_6.jpg</t>
  </si>
  <si>
    <t>https://dd3ka9h4chfr8.cloudfront.net/image/725136000567/image_okjne901s160vfl5m4s6alrf2g/-FJPG/226395-002_DET_7.jpg</t>
  </si>
  <si>
    <t>80.31"</t>
  </si>
  <si>
    <t>82.83"</t>
  </si>
  <si>
    <t>76.97"</t>
  </si>
  <si>
    <t>226408-005</t>
  </si>
  <si>
    <t>Audie Swivel Chair - Heirloom Sienna</t>
  </si>
  <si>
    <t>For a new spin on traditional barrel seating, tailored top-grain leather and dramatic channeling make a major style statement. Hidden 360-degree swivel adds a modern finishing touch. Sourced from one of the oldest family-owned tanneries in Italyâ€™s Bassano del Grappa, our heirloom leather is salvaged and processed from upcycled hides featuring an abundance of natural markings, scars and color variations. The result? Supple, buttery-soft hides with an unmatched depth of color and authentic lived-in look.</t>
  </si>
  <si>
    <t>https://dd3ka9h4chfr8.cloudfront.net/image/725136000567/image_o7cpcgt9s16b144irs7e2u7l4o/-S150x150-FJPG/226408-005_PRM_1.jpg</t>
  </si>
  <si>
    <t>https://dd3ka9h4chfr8.cloudfront.net/image/725136000567/image_0ana3tl8pp6td8r4h1ef6dgl3f/-FJPG/226408-005_FRT_1.jpg</t>
  </si>
  <si>
    <t>https://dd3ka9h4chfr8.cloudfront.net/image/725136000567/image_o7cpcgt9s16b144irs7e2u7l4o/-FJPG/226408-005_PRM_1.jpg</t>
  </si>
  <si>
    <t>https://dd3ka9h4chfr8.cloudfront.net/image/725136000567/image_oaou32ce357u14lnbhkpg8ep36/-FJPG/226408-005_SID_1.jpg</t>
  </si>
  <si>
    <t>https://dd3ka9h4chfr8.cloudfront.net/image/725136000567/image_rigkdljchd1pbai7tv3np2je2t/-FJPG/226408-005_ESS_1.jpg</t>
  </si>
  <si>
    <t>https://dd3ka9h4chfr8.cloudfront.net/image/725136000567/image_94i2ullm0l27h9c9bjt5l8aj1d/-FJPG/226408-005_DET_2.jpg</t>
  </si>
  <si>
    <t>https://dd3ka9h4chfr8.cloudfront.net/image/725136000567/image_7o9fh4jb057r56bdsm8o2a9s20/-FJPG/226408-005_BCK_1.jpg</t>
  </si>
  <si>
    <t>https://dd3ka9h4chfr8.cloudfront.net/image/725136000567/image_ifu8ef02ah5et6spigec6gq62n/-FJPG/226408-005_DET_1.jpg</t>
  </si>
  <si>
    <t>https://dd3ka9h4chfr8.cloudfront.net/image/725136000567/image_k2titpbrbl1v1e3dkjvr5n6951/-FJPG/226408-005_DET_3.jpg</t>
  </si>
  <si>
    <t>https://dd3ka9h4chfr8.cloudfront.net/image/725136000567/image_rolg8geoeh7i79nacv87755n2v/-FJPG/226408-005_DET_4.jpg</t>
  </si>
  <si>
    <t>https://dd3ka9h4chfr8.cloudfront.net/image/725136000567/image_t6jkcp1h095in6a84sq2s45m2n/-FJPG/226408-005_DET_5.jpg</t>
  </si>
  <si>
    <t>https://dd3ka9h4chfr8.cloudfront.net/image/725136000567/image_vd442hu0st6nfb26gcgbfni048/-FJPG/226408-005_DET_6.jpg</t>
  </si>
  <si>
    <t>Audie</t>
  </si>
  <si>
    <t>226408-007</t>
  </si>
  <si>
    <t>Audie Swivel Chair - Surrey Olive</t>
  </si>
  <si>
    <t>Velvety olive fabric and dramatic channeling make update traditional barrel seating while a hidden 360-degree swivel adds a modern finishing touch. Fabric features subtle highs and lows that change in appearance depending on the direction of the fabric's nap.</t>
  </si>
  <si>
    <t>https://dd3ka9h4chfr8.cloudfront.net/image/725136000567/image_tp40g71k7966vb3cales2cen32/-S150x150-FJPG/226408-007_PRM_1.jpg</t>
  </si>
  <si>
    <t>https://dd3ka9h4chfr8.cloudfront.net/image/725136000567/image_b70qpf2b690rbdkkc15b5aq85r/-FJPG/226408-007_FRT_1.jpg</t>
  </si>
  <si>
    <t>https://dd3ka9h4chfr8.cloudfront.net/image/725136000567/image_tp40g71k7966vb3cales2cen32/-FJPG/226408-007_PRM_1.jpg</t>
  </si>
  <si>
    <t>https://dd3ka9h4chfr8.cloudfront.net/image/725136000567/image_bjul42onol4qf1utcd0apum74c/-FJPG/226408-007_SID_1.jpg</t>
  </si>
  <si>
    <t>https://dd3ka9h4chfr8.cloudfront.net/image/725136000567/image_5pn5oh8j5h7jv2a92q54m2o57r/-FJPG/226408-007_ESS_1.jpg</t>
  </si>
  <si>
    <t>https://dd3ka9h4chfr8.cloudfront.net/image/725136000567/image_24m2p1ldml5cnbkveoeqouou26/-FJPG/226408-007_DET_2.jpg</t>
  </si>
  <si>
    <t>https://dd3ka9h4chfr8.cloudfront.net/image/725136000567/image_lvc8c1c5351s18t3kul9s2un2f/-FJPG/226408-007_BCK_1.jpg</t>
  </si>
  <si>
    <t>https://dd3ka9h4chfr8.cloudfront.net/image/725136000567/image_n7m0b4dd1134teh7ho1k7qnj4b/-FJPG/226408-007_DET_1.jpg</t>
  </si>
  <si>
    <t>https://dd3ka9h4chfr8.cloudfront.net/image/725136000567/image_0598ij502h6nlf75rjp7cs0n4g/-FJPG/226408-007_DET_3.jpg</t>
  </si>
  <si>
    <t>https://dd3ka9h4chfr8.cloudfront.net/image/725136000567/image_ra6batol956epc2hgbp80s6n7e/-FJPG/226408-007_DET_4.jpg</t>
  </si>
  <si>
    <t>https://dd3ka9h4chfr8.cloudfront.net/image/725136000567/image_6p8s7r79sl57bahb31dnrd0e69/-FJPG/226408-007_DET_5.jpg</t>
  </si>
  <si>
    <t>226428-004</t>
  </si>
  <si>
    <t>Rashi Swivel Chair - Surrey Olive</t>
  </si>
  <si>
    <t>Casual comfort. Upholstered in a velvety olive cotton with subtle highs and lows that change in appearance depending on the direction of the fabric's nap. Flange trimming crafts a fun, contemporary silhouette while a 360-swivel adds ease in the modern home.</t>
  </si>
  <si>
    <t>https://dd3ka9h4chfr8.cloudfront.net/image/725136000567/image_m9pjtei6nh1r3dbspgi0p5d148/-S150x150-FJPG/226428-004_PRM_1.jpg</t>
  </si>
  <si>
    <t>https://dd3ka9h4chfr8.cloudfront.net/image/725136000567/image_finks9egv9347ejpan11p01o0t/-FJPG/226428-004_FRT_1.jpg</t>
  </si>
  <si>
    <t>https://dd3ka9h4chfr8.cloudfront.net/image/725136000567/image_m9pjtei6nh1r3dbspgi0p5d148/-FJPG/226428-004_PRM_1.jpg</t>
  </si>
  <si>
    <t>https://dd3ka9h4chfr8.cloudfront.net/image/725136000567/image_fkro01i2bh7vn79ud6r8023r61/-FJPG/226428-004_SID_1.jpg</t>
  </si>
  <si>
    <t>https://dd3ka9h4chfr8.cloudfront.net/image/725136000567/image_un27lvsrg91bj2fascou82tv08/-FJPG/226428-004_ESS_1.jpg</t>
  </si>
  <si>
    <t>https://dd3ka9h4chfr8.cloudfront.net/image/725136000567/image_jcuk598c2l603f7f2ioj7giq5m/-FJPG/226428-004_DET_2.jpg</t>
  </si>
  <si>
    <t>https://dd3ka9h4chfr8.cloudfront.net/image/725136000567/image_vao4boqijh3tl5m8i87nnh663t/-FJPG/226428-004_BCK_1.jpg</t>
  </si>
  <si>
    <t>https://dd3ka9h4chfr8.cloudfront.net/image/725136000567/image_llmob7ti3p44h1nc6r9ca66u56/-FJPG/226428-004_DET_1.jpg</t>
  </si>
  <si>
    <t>https://dd3ka9h4chfr8.cloudfront.net/image/725136000567/image_vpp6pv6tod6rj0l7udg3q0rc62/-FJPG/226428-004_DET_3.jpg</t>
  </si>
  <si>
    <t>https://dd3ka9h4chfr8.cloudfront.net/image/725136000567/image_o7va0qqj0h0a99efrc8uvisj0r/-FJPG/226428-004_DET_4.jpg</t>
  </si>
  <si>
    <t>80% Polyurethane Foam Pad, 10% Polyester Fiber, 5% Polyester Fiber Batting, 5% Waterfowl Feather</t>
  </si>
  <si>
    <t>Rashi</t>
  </si>
  <si>
    <t>226429-002</t>
  </si>
  <si>
    <t>Binx Swivel Chair - Heirloom Sienna</t>
  </si>
  <si>
    <t>Tightly tailored top-grain leather and horizontal channeling make a major statement that's fun and sophisticated alike. A 360-degree plinth swivel adds makes it modern. Sourced from one of the oldest family-owned tanneries in Italyâ€™s Bassano del Grappa, our heirloom leather is salvaged and processed from upcycled hides featuring an abundance of natural markings, scars and color variations. The result? Supple, buttery-soft hides with an unmatched depth of color and authentic lived-in look.</t>
  </si>
  <si>
    <t>https://dd3ka9h4chfr8.cloudfront.net/image/725136000567/image_hl0obdf9rp3vvc9o758l8v9i6l/-S150x150-FJPG/226429-002_PRM_1.jpg</t>
  </si>
  <si>
    <t>https://dd3ka9h4chfr8.cloudfront.net/image/725136000567/image_rihnlogir57ppcv7d8qovhr260/-FJPG/226429-002_FRT_1.jpg</t>
  </si>
  <si>
    <t>https://dd3ka9h4chfr8.cloudfront.net/image/725136000567/image_hl0obdf9rp3vvc9o758l8v9i6l/-FJPG/226429-002_PRM_1.jpg</t>
  </si>
  <si>
    <t>https://dd3ka9h4chfr8.cloudfront.net/image/725136000567/image_nfc3fgo4ql0a3em7an2b45ot1k/-FJPG/226429-002_SID_1.jpg</t>
  </si>
  <si>
    <t>https://dd3ka9h4chfr8.cloudfront.net/image/725136000567/image_0s85ehhifh37lfr4jqkgq0pj11/-FJPG/226429-002_ESS_1.jpg</t>
  </si>
  <si>
    <t>https://dd3ka9h4chfr8.cloudfront.net/image/725136000567/image_a32pqtfffl6ofaqt8e64lphc5n/-FJPG/226429-002_DET_2.jpg</t>
  </si>
  <si>
    <t>https://dd3ka9h4chfr8.cloudfront.net/image/725136000567/image_cvkn0hbkkd0jfev9rgj7pjkt01/-FJPG/226429-002_BCK_1.jpg</t>
  </si>
  <si>
    <t>https://dd3ka9h4chfr8.cloudfront.net/image/725136000567/image_i0bin5b0ll70jdekaeh3uplv7r/-FJPG/226429-002_DET_1.jpg</t>
  </si>
  <si>
    <t>https://dd3ka9h4chfr8.cloudfront.net/image/725136000567/image_8c22fm32gp46t2cecfl01oif6s/-FJPG/226429-002_DET_3.jpg</t>
  </si>
  <si>
    <t>https://dd3ka9h4chfr8.cloudfront.net/image/725136000567/image_94vcenblod15b8jdtenhv27i3b/-FJPG/226429-002_DET_4.jpg</t>
  </si>
  <si>
    <t>https://dd3ka9h4chfr8.cloudfront.net/image/725136000567/image_s1d59covpd5phel9rngir8n93o/-FJPG/226429-002_DET_5.jpg</t>
  </si>
  <si>
    <t>https://dd3ka9h4chfr8.cloudfront.net/image/725136000567/image_2ruicia0qp309an0bkhb9gpj0q/-FJPG/FHMPRJ22-005_234875-006_226429-002_230874-002_.jpg</t>
  </si>
  <si>
    <t>https://dd3ka9h4chfr8.cloudfront.net/image/725136000567/image_o5qt7ff3a9325d5aea58uutl49/-FJPG/234875-006_226429-002_230874-002_.jpg</t>
  </si>
  <si>
    <t>Binx</t>
  </si>
  <si>
    <t>8.66"</t>
  </si>
  <si>
    <t>226453-003</t>
  </si>
  <si>
    <t>Caroline Bed - Kerbey Ivory</t>
  </si>
  <si>
    <t>Smoked Oak</t>
  </si>
  <si>
    <t>Smoked Oak Veneer</t>
  </si>
  <si>
    <t>Smoked oak frames a headboard upholstered with ivory high-performance fabric, brining texture and contrast to the bedroom.</t>
  </si>
  <si>
    <t>https://dd3ka9h4chfr8.cloudfront.net/image/725136000567/image_ib6t4tsf5l1557aikv9rtb036o/-S150x150-FJPG/226453-003_PRM_1.jpg</t>
  </si>
  <si>
    <t>https://dd3ka9h4chfr8.cloudfront.net/image/725136000567/image_th0csuv19t7th1e3cru87lpd4u/-FJPG/226453-003_FRT_1.jpg</t>
  </si>
  <si>
    <t>https://dd3ka9h4chfr8.cloudfront.net/image/725136000567/image_ib6t4tsf5l1557aikv9rtb036o/-FJPG/226453-003_PRM_1.jpg</t>
  </si>
  <si>
    <t>https://dd3ka9h4chfr8.cloudfront.net/image/725136000567/image_20g8cohvnh10383g0fr8vbsd42/-FJPG/226453-003_SID_1.jpg</t>
  </si>
  <si>
    <t>https://dd3ka9h4chfr8.cloudfront.net/image/725136000567/image_9gire3t2n561n8s7u1mvcr8s0i/-FJPG/226453-003_ESS_1.jpg</t>
  </si>
  <si>
    <t>https://dd3ka9h4chfr8.cloudfront.net/image/725136000567/image_a4lb98jeut7sbe6a7iq9vod629/-FJPG/226453-003_DET_2.jpg</t>
  </si>
  <si>
    <t>https://dd3ka9h4chfr8.cloudfront.net/image/725136000567/image_ci2bpvnbph4i3d2pk6g7qq066t/-FJPG/226453-003_BCK_1.jpg</t>
  </si>
  <si>
    <t>https://dd3ka9h4chfr8.cloudfront.net/image/725136000567/image_cj12r4b46h6ll8lupmg790j41c/-FJPG/226453-003_DET_1.jpg</t>
  </si>
  <si>
    <t>https://dd3ka9h4chfr8.cloudfront.net/image/725136000567/image_ltajiijqcl4pp69pl1qip0mu09/-FJPG/226453-003_DET_3.jpg</t>
  </si>
  <si>
    <t>https://dd3ka9h4chfr8.cloudfront.net/image/725136000567/image_f6kjlj6rj5511fetvmfci3jl5k/-FJPG/226453-003_DET_4.jpg</t>
  </si>
  <si>
    <t>https://dd3ka9h4chfr8.cloudfront.net/image/725136000567/image_74egvrqg5p5s9ajq153hjhsn06/-FJPG/226453-003_DET_5.jpg</t>
  </si>
  <si>
    <t>https://dd3ka9h4chfr8.cloudfront.net/image/725136000567/image_c2msl6omg15hd6142f87s40o4e/-FJPG/226453-003_DET_6.jpg</t>
  </si>
  <si>
    <t>https://dd3ka9h4chfr8.cloudfront.net/image/725136000567/image_u3m6o51251191auhc52pa7de6b/-FJPG/226453-003_DET_7.jpg</t>
  </si>
  <si>
    <t>https://dd3ka9h4chfr8.cloudfront.net/image/725136000567/image_bdibbj2b1t5ij1nvme3jeu6r03/-FJPG/226453-003_DET_8.jpg</t>
  </si>
  <si>
    <t>https://dd3ka9h4chfr8.cloudfront.net/image/725136000567/image_g38aakdgkt02l0ul4d6751jl3s/-FJPG/226453-003_DET_9.jpg</t>
  </si>
  <si>
    <t>https://dd3ka9h4chfr8.cloudfront.net/image/725136000567/image_h7pp7qsoj15jr6fuppu7omql25/-FJPG/226453-003_DET_10.jpg</t>
  </si>
  <si>
    <t>https://dd3ka9h4chfr8.cloudfront.net/image/725136000567/image_skj7iud18d08736ede6frri96t/-FJPG/226453-003_DET_11.jpg</t>
  </si>
  <si>
    <t>https://dd3ka9h4chfr8.cloudfront.net/image/725136000567/image_rn6k3ebjrh0dh9psqfueqbo96c/-FJPG/226453-003_PRM_2.jpg</t>
  </si>
  <si>
    <t>https://dd3ka9h4chfr8.cloudfront.net/image/725136000567/image_gtrm18eslp0qtbmlromulrp76i/-FJPG/226453-003_FRT_2.jpg</t>
  </si>
  <si>
    <t>https://dd3ka9h4chfr8.cloudfront.net/image/725136000567/image_3um7flclsd1u5e3s28d0e5uc0n/-FJPG/226453-003_SID_2.jpg</t>
  </si>
  <si>
    <t>https://dd3ka9h4chfr8.cloudfront.net/image/725136000567/image_6ufgk1ro9h3qr8micco0ujth4h/-FJPG/226453-003_BCK_2.jpg</t>
  </si>
  <si>
    <t>Caroline</t>
  </si>
  <si>
    <t>80.16"</t>
  </si>
  <si>
    <t>47.24"</t>
  </si>
  <si>
    <t>86.12"</t>
  </si>
  <si>
    <t>226453-004</t>
  </si>
  <si>
    <t>https://dd3ka9h4chfr8.cloudfront.net/image/725136000567/image_1mgdot22jh7qt9g6rbok2k771v/-S150x150-FJPG/226453-004_PRM_1.jpg</t>
  </si>
  <si>
    <t>https://dd3ka9h4chfr8.cloudfront.net/image/725136000567/image_uqu448ju9919fc8ssrb3qcuo7l/-FJPG/226453-004_FRT_1.jpg</t>
  </si>
  <si>
    <t>https://dd3ka9h4chfr8.cloudfront.net/image/725136000567/image_1mgdot22jh7qt9g6rbok2k771v/-FJPG/226453-004_PRM_1.jpg</t>
  </si>
  <si>
    <t>https://dd3ka9h4chfr8.cloudfront.net/image/725136000567/image_e8rpp8p8op3752esneohd2q83b/-FJPG/226453-004_SID_1.jpg</t>
  </si>
  <si>
    <t>https://dd3ka9h4chfr8.cloudfront.net/image/725136000567/image_c7c0miqjh94lt1pg0qb83gle12/-FJPG/226453-004_ESS_1.jpg</t>
  </si>
  <si>
    <t>https://dd3ka9h4chfr8.cloudfront.net/image/725136000567/image_uu564bktmd4if4akr4qpeeet50/-FJPG/226453-004_DET_2.jpg</t>
  </si>
  <si>
    <t>https://dd3ka9h4chfr8.cloudfront.net/image/725136000567/image_i399jp9kk91iv0936bi8ordf72/-FJPG/226453-004_BCK_1.jpg</t>
  </si>
  <si>
    <t>https://dd3ka9h4chfr8.cloudfront.net/image/725136000567/image_eq6tgba9194gdb5aj8qls33870/-FJPG/226453-004_DET_1.jpg</t>
  </si>
  <si>
    <t>https://dd3ka9h4chfr8.cloudfront.net/image/725136000567/image_gc6evk4qrh78h5jb3210tdf007/-FJPG/226453-004_DET_3.jpg</t>
  </si>
  <si>
    <t>https://dd3ka9h4chfr8.cloudfront.net/image/725136000567/image_3g66uhhk0d2v14tvhveoohjm07/-FJPG/226453-004_DET_4.jpg</t>
  </si>
  <si>
    <t>https://dd3ka9h4chfr8.cloudfront.net/image/725136000567/image_rqpsi88rrd18td2k1bb8uuo43p/-FJPG/226453-004_DET_5.jpg</t>
  </si>
  <si>
    <t>https://dd3ka9h4chfr8.cloudfront.net/image/725136000567/image_ivkisma3m56dp9tfmoc4330a7j/-FJPG/226453-004_DET_6.jpg</t>
  </si>
  <si>
    <t>https://dd3ka9h4chfr8.cloudfront.net/image/725136000567/image_u8fr1u71r52arfrgp91uqm1129/-FJPG/226453-004_DET_7.jpg</t>
  </si>
  <si>
    <t>https://dd3ka9h4chfr8.cloudfront.net/image/725136000567/image_ol3h4bu6g535natlvnask6450d/-FJPG/226453-004_DET_8.jpg</t>
  </si>
  <si>
    <t>https://dd3ka9h4chfr8.cloudfront.net/image/725136000567/image_k04jfut4qp35j1gs246evhs028/-FJPG/226453-004_DET_9.jpg</t>
  </si>
  <si>
    <t>https://dd3ka9h4chfr8.cloudfront.net/image/725136000567/image_v5f9ci5tf90ibccm5ub8thuf1j/-FJPG/226453-004_DET_10.jpg</t>
  </si>
  <si>
    <t>https://dd3ka9h4chfr8.cloudfront.net/image/725136000567/image_u0ps6q6j3p4tr8bdv53sffpf7u/-FJPG/226453-004_DET_11.jpg</t>
  </si>
  <si>
    <t>https://dd3ka9h4chfr8.cloudfront.net/image/725136000567/image_9234uj23cl7s3cnunl3qiocl03/-FJPG/226453-004_FRT_2.jpg</t>
  </si>
  <si>
    <t>https://dd3ka9h4chfr8.cloudfront.net/image/725136000567/image_cnn449lhvl3cl05qv3mppssv0h/-FJPG/226453-004_SID_2.jpg</t>
  </si>
  <si>
    <t>https://dd3ka9h4chfr8.cloudfront.net/image/725136000567/image_k032vchjt13sve823ab61r3l2h/-FJPG/226453-004_PRM_2.jpg</t>
  </si>
  <si>
    <t>https://dd3ka9h4chfr8.cloudfront.net/image/725136000567/image_rt2llsa3852713vqh54dmab17g/-FJPG/226453-004_BCK_2.jpg</t>
  </si>
  <si>
    <t>64.02"</t>
  </si>
  <si>
    <t>226548-001</t>
  </si>
  <si>
    <t>Cassius Chair - Torrance Silver</t>
  </si>
  <si>
    <t>Torrance Silver</t>
  </si>
  <si>
    <t>Clear Acrylic</t>
  </si>
  <si>
    <t>100% Recycled Olefin</t>
  </si>
  <si>
    <t>Acrylic</t>
  </si>
  <si>
    <t>Mixed materials for total modernity. Clear acrylic forms panel-style framing for curved parawood dowels, with float-like seating made from 100% recycled olefin from Turkey.</t>
  </si>
  <si>
    <t>https://dd3ka9h4chfr8.cloudfront.net/image/725136000567/image_b9u7j20emp1qd5351vpa9d9j2q/-S150x150-FJPG/226548-001_PRM_1.jpg</t>
  </si>
  <si>
    <t>https://dd3ka9h4chfr8.cloudfront.net/image/725136000567/image_v4eft2u3jt3uhdmcd1jpbiri0m/-FJPG/226548-001_FRT_1.jpg</t>
  </si>
  <si>
    <t>https://dd3ka9h4chfr8.cloudfront.net/image/725136000567/image_b9u7j20emp1qd5351vpa9d9j2q/-FJPG/226548-001_PRM_1.jpg</t>
  </si>
  <si>
    <t>https://dd3ka9h4chfr8.cloudfront.net/image/725136000567/image_48eophaa317nn7icipmlbnr360/-FJPG/226548-001_SID_1.jpg</t>
  </si>
  <si>
    <t>https://dd3ka9h4chfr8.cloudfront.net/image/725136000567/image_t5tsbd5ggp03h1n19ad9pgb333/-FJPG/226548-001_ESS_1.jpg</t>
  </si>
  <si>
    <t>https://dd3ka9h4chfr8.cloudfront.net/image/725136000567/image_lk0qo5cd7h16tbfh80ej573m4m/-FJPG/226548-001_BCK_1.jpg</t>
  </si>
  <si>
    <t>https://dd3ka9h4chfr8.cloudfront.net/image/725136000567/image_s4kvf5du8t0unbi0auilc5ra5f/-FJPG/226548-001_INF_1.jpg</t>
  </si>
  <si>
    <t>https://dd3ka9h4chfr8.cloudfront.net/image/725136000567/image_ajpg64ohel57f329o97i1unu77/-FJPG/226548-001_DET_1.jpg</t>
  </si>
  <si>
    <t>https://dd3ka9h4chfr8.cloudfront.net/image/725136000567/image_39ocknahkt259b329qe98f8v73/-FJPG/226548-001_DET_3.jpg</t>
  </si>
  <si>
    <t>https://dd3ka9h4chfr8.cloudfront.net/image/725136000567/image_0li7c48p2t6avb5s90v39er042/-FJPG/226548-001_DET_4.jpg</t>
  </si>
  <si>
    <t>https://dd3ka9h4chfr8.cloudfront.net/image/725136000567/image_3p21o5eqa13l79v5j81ob5rv7a/-FJPG/226548-001_DET_5.jpg</t>
  </si>
  <si>
    <t>https://dd3ka9h4chfr8.cloudfront.net/image/725136000567/image_bg11j0skgp2rv08v89vh9ck73f/-FJPG/226548-001_DET_6.jpg</t>
  </si>
  <si>
    <t>Cassius</t>
  </si>
  <si>
    <t>226555-004</t>
  </si>
  <si>
    <t>Lyla Sofa - Kerbey Ivory</t>
  </si>
  <si>
    <t>A fresh, elongated take on the traditional tub chair, with exaggerated depth for drama and comfort. Solid parawood legs intersect ivory upholstery on this plush sofa for clean contrast of color and scale.</t>
  </si>
  <si>
    <t>https://dd3ka9h4chfr8.cloudfront.net/image/725136000567/image_flt3oas6q57ad2fqmdko1ql84l/-S150x150-FJPG/226555-004_PRM_1.jpg</t>
  </si>
  <si>
    <t>https://dd3ka9h4chfr8.cloudfront.net/image/725136000567/image_or2iqnq1r94mta1rm406vflc2s/-FJPG/226555-004_FRT_1.jpg</t>
  </si>
  <si>
    <t>https://dd3ka9h4chfr8.cloudfront.net/image/725136000567/image_flt3oas6q57ad2fqmdko1ql84l/-FJPG/226555-004_PRM_1.jpg</t>
  </si>
  <si>
    <t>https://dd3ka9h4chfr8.cloudfront.net/image/725136000567/image_t5qkamu65p48tdpsqcm85h4q6j/-FJPG/226555-004_SID_1.jpg</t>
  </si>
  <si>
    <t>https://dd3ka9h4chfr8.cloudfront.net/image/725136000567/image_d64i604nid4vj94thu5jem4s6k/-FJPG/226555-004_DET_2.jpg</t>
  </si>
  <si>
    <t>https://dd3ka9h4chfr8.cloudfront.net/image/725136000567/image_6tni6b32152dd3j4vis8o1383m/-FJPG/226555-004_BCK_1.jpg</t>
  </si>
  <si>
    <t>https://dd3ka9h4chfr8.cloudfront.net/image/725136000567/image_8f59lc0oid4ip1v3rp1q89806m/-FJPG/226555-004_INF_1.jpg</t>
  </si>
  <si>
    <t>https://dd3ka9h4chfr8.cloudfront.net/image/725136000567/image_lqtqefg5m50k15u4sok1q1pq6l/-FJPG/226555-004_DET_1.jpg</t>
  </si>
  <si>
    <t>https://dd3ka9h4chfr8.cloudfront.net/image/725136000567/image_tp0bm5k4v95kp8hlviksfub13d/-FJPG/226555-004_DET_3.jpg</t>
  </si>
  <si>
    <t>https://dd3ka9h4chfr8.cloudfront.net/image/725136000567/image_sugn4obbch48j2qpq6f8jf582k/-FJPG/226555-004_DET_4.jpg</t>
  </si>
  <si>
    <t>https://dd3ka9h4chfr8.cloudfront.net/image/725136000567/image_3jpuso1f9h0ap90apf5v6kiq0a/-FJPG/226555-004_DET_5.jpg</t>
  </si>
  <si>
    <t>https://dd3ka9h4chfr8.cloudfront.net/image/725136000567/image_k7qiho8hu57ft6ga0ltfd2h33p/-FJPG/226555-004_VIG_1.jpg</t>
  </si>
  <si>
    <t>69.00"</t>
  </si>
  <si>
    <t>40% Polyurethane Foam Pad, 30% Waterfowl Feather, 30% Polyester Fiber Batting</t>
  </si>
  <si>
    <t>226555-005</t>
  </si>
  <si>
    <t>Lyla Sofa - Capri Ebony</t>
  </si>
  <si>
    <t>A fresh, elongated take on the traditional tub chair, with exaggerated depth for drama and comfort. Solid parawood legs intersect ebony upholstery on this plush sofa. Performance fabrics are specially created to withstand spills, stains, high traffic and wear, ensuring long-term comfort and unmatched durability.</t>
  </si>
  <si>
    <t>https://dd3ka9h4chfr8.cloudfront.net/image/725136000567/image_ng2n57d0qp2bn76lihcvl19c55/-S150x150-FJPG/226555-005_PRM_1.JPG</t>
  </si>
  <si>
    <t>https://dd3ka9h4chfr8.cloudfront.net/image/725136000567/image_7sho43bn8h6jt911mb57kfn92f/-FJPG/226555-005_FRT_1.JPG</t>
  </si>
  <si>
    <t>https://dd3ka9h4chfr8.cloudfront.net/image/725136000567/image_ng2n57d0qp2bn76lihcvl19c55/-FJPG/226555-005_PRM_1.JPG</t>
  </si>
  <si>
    <t>https://dd3ka9h4chfr8.cloudfront.net/image/725136000567/image_345304o8f14p772if820gt3f6u/-FJPG/226555-005_SID_1.JPG</t>
  </si>
  <si>
    <t>https://dd3ka9h4chfr8.cloudfront.net/image/725136000567/image_10rfsb0q5h7vj9p5isa86lm95r/-FJPG/226555-005_DET_2.JPG</t>
  </si>
  <si>
    <t>https://dd3ka9h4chfr8.cloudfront.net/image/725136000567/image_r6d3qtibtp7jj8j00qgmnsd65s/-FJPG/226555-005_BCK_1.JPG</t>
  </si>
  <si>
    <t>https://dd3ka9h4chfr8.cloudfront.net/image/725136000567/image_12g6n0pnct6l7d3c5gij19f04s/-FJPG/226555-005_DET_1.JPG</t>
  </si>
  <si>
    <t>https://dd3ka9h4chfr8.cloudfront.net/image/725136000567/image_0chc970gjl1ev3cgk8hfn62v2c/-FJPG/226555-005_DET_3.JPG</t>
  </si>
  <si>
    <t>https://dd3ka9h4chfr8.cloudfront.net/image/725136000567/image_j5eq5uk9ld3apdcivq3110b562/-FJPG/226555-005_DET_4.JPG</t>
  </si>
  <si>
    <t>https://dd3ka9h4chfr8.cloudfront.net/image/725136000567/image_7382qopp192d772m2l78oesl7c/-FJPG/226555-005_DET_5.JPG</t>
  </si>
  <si>
    <t>226555-010</t>
  </si>
  <si>
    <t>Lyla Sofa - Valencia Camel</t>
  </si>
  <si>
    <t>This long, plush take on the traditional tub chair, features exaggerated depth for drama. Solid wood legs intersect top-grain leather in a warm camel hue.</t>
  </si>
  <si>
    <t>https://dd3ka9h4chfr8.cloudfront.net/image/725136000567/image_t1ijjdhr956bv8b4p56k4tau2s/-S150x150-FJPG/226555-010_PRM_1.jpg</t>
  </si>
  <si>
    <t>https://dd3ka9h4chfr8.cloudfront.net/image/725136000567/image_hi0nqvjqel0pd92lsckme62h58/-FJPG/226555-010_FRT_1.jpg</t>
  </si>
  <si>
    <t>https://dd3ka9h4chfr8.cloudfront.net/image/725136000567/image_t1ijjdhr956bv8b4p56k4tau2s/-FJPG/226555-010_PRM_1.jpg</t>
  </si>
  <si>
    <t>https://dd3ka9h4chfr8.cloudfront.net/image/725136000567/image_sarafocml510tcsdc6bdtib55i/-FJPG/226555-010_SID_1.jpg</t>
  </si>
  <si>
    <t>https://dd3ka9h4chfr8.cloudfront.net/image/725136000567/image_qev02ejn1t6o5evp7iqqnt5d49/-FJPG/226555-010_ESS_1.jpg</t>
  </si>
  <si>
    <t>https://dd3ka9h4chfr8.cloudfront.net/image/725136000567/image_hq31a42idp4nl0ugvilulem87m/-FJPG/226555-010_DET_2.jpg</t>
  </si>
  <si>
    <t>https://dd3ka9h4chfr8.cloudfront.net/image/725136000567/image_eo7ltpug795ddeeq05tlp1qq6p/-FJPG/226555-010_BCK_1.jpg</t>
  </si>
  <si>
    <t>https://dd3ka9h4chfr8.cloudfront.net/image/725136000567/image_vl72tp55ul3qt6pga333vg4u1g/-FJPG/226555-010_DET_1.jpg</t>
  </si>
  <si>
    <t>https://dd3ka9h4chfr8.cloudfront.net/image/725136000567/image_4ei65kpidp2r7fgnbeg8jp5r22/-FJPG/226555-010_DET_3.jpg</t>
  </si>
  <si>
    <t>https://dd3ka9h4chfr8.cloudfront.net/image/725136000567/image_kflv4jm98p5k9fkct6n52o667p/-FJPG/226555-010_DET_4.jpg</t>
  </si>
  <si>
    <t>https://dd3ka9h4chfr8.cloudfront.net/image/725136000567/image_aaj12u8dpt3a588n42belpl360/-FJPG/226555-010_DET_5.jpg</t>
  </si>
  <si>
    <t>https://dd3ka9h4chfr8.cloudfront.net/image/725136000567/image_dthrfugdud5kb8gfojmh5r9r6n/-FJPG/226555-010_DET_6.jpg</t>
  </si>
  <si>
    <t>226555-012</t>
  </si>
  <si>
    <t>Lyla Sofa - Sheepskin Camel</t>
  </si>
  <si>
    <t>A fresh, elongated take on the traditional tub chair, with exaggerated depth for drama and comfort. Solid wood legs intersect sheepskin upholstery on this plush sofa for clean contrast and scale.</t>
  </si>
  <si>
    <t>https://dd3ka9h4chfr8.cloudfront.net/image/725136000567/image_ref5eeqadd2qha78ispc7r2q78/-S150x150-FJPG/226555-012_PRM_1.jpg</t>
  </si>
  <si>
    <t>https://dd3ka9h4chfr8.cloudfront.net/image/725136000567/image_0ae0259aph0c3c443e8qh9n53d/-FJPG/226555-012_FRT_1.jpg</t>
  </si>
  <si>
    <t>https://dd3ka9h4chfr8.cloudfront.net/image/725136000567/image_ref5eeqadd2qha78ispc7r2q78/-FJPG/226555-012_PRM_1.jpg</t>
  </si>
  <si>
    <t>https://dd3ka9h4chfr8.cloudfront.net/image/725136000567/image_b764b8p5ht2in9dg0vv19nec0f/-FJPG/226555-012_SID_1.jpg</t>
  </si>
  <si>
    <t>https://dd3ka9h4chfr8.cloudfront.net/image/725136000567/image_k3kmih2blh3pf96t5cs6i8sn2p/-FJPG/226555-012_ESS_1.tif</t>
  </si>
  <si>
    <t>https://dd3ka9h4chfr8.cloudfront.net/image/725136000567/image_pibockhq5l0uhar2167771h07o/-FJPG/226555-012_DET_2.jpg</t>
  </si>
  <si>
    <t>https://dd3ka9h4chfr8.cloudfront.net/image/725136000567/image_t79v9cgsil7mjaih77pqpo653k/-FJPG/226555-012_BCK_1.jpg</t>
  </si>
  <si>
    <t>https://dd3ka9h4chfr8.cloudfront.net/image/725136000567/image_huv2jml6395jddnosmarot8d52/-FJPG/226555-012_DET_1.jpg</t>
  </si>
  <si>
    <t>https://dd3ka9h4chfr8.cloudfront.net/image/725136000567/image_gl5k9f1afd6mld84mr4d5mda63/-FJPG/226555-012_DET_3.jpg</t>
  </si>
  <si>
    <t>https://dd3ka9h4chfr8.cloudfront.net/image/725136000567/image_2u13d7tgrt697e34dvlqq9bn1b/-FJPG/226555-012_DET_4.jpg</t>
  </si>
  <si>
    <t>https://dd3ka9h4chfr8.cloudfront.net/image/725136000567/image_q5he5uhjh50g7688dhmm0bmk7v/-FJPG/226555-012_DET_5.jpg</t>
  </si>
  <si>
    <t>https://dd3ka9h4chfr8.cloudfront.net/image/725136000567/image_qeeg4ekvtp7v94siiqmemu1d66/-FJPG/226555-012_PRM_2.jpg</t>
  </si>
  <si>
    <t>226636-005</t>
  </si>
  <si>
    <t>Zach End Table - Tofu Solid</t>
  </si>
  <si>
    <t>Tofu Solid</t>
  </si>
  <si>
    <t>Tofu Veneer</t>
  </si>
  <si>
    <t>Parawood Veneer</t>
  </si>
  <si>
    <t>A cylindrical pedestal-style base of solid white parawood supports a rounded tabletop with bullnose edging, for style and softness alike.</t>
  </si>
  <si>
    <t>https://dd3ka9h4chfr8.cloudfront.net/image/725136000567/image_if8v0d5uh11mb2ohsn2p2r3660/-S150x150-FJPG/226636-005_PRM_1.jpg</t>
  </si>
  <si>
    <t>https://dd3ka9h4chfr8.cloudfront.net/image/725136000567/image_if8v0d5uh11mb2ohsn2p2r3660/-FJPG/226636-005_PRM_1.jpg</t>
  </si>
  <si>
    <t>https://dd3ka9h4chfr8.cloudfront.net/image/725136000567/image_hbm3i526614ij2otd1ocjc8924/-FJPG/226636-005_ESS_1.jpg</t>
  </si>
  <si>
    <t>https://dd3ka9h4chfr8.cloudfront.net/image/725136000567/image_doscbhp5e12fdahjqb2ojgog15/-FJPG/226636-005_DET_2.jpg</t>
  </si>
  <si>
    <t>https://dd3ka9h4chfr8.cloudfront.net/image/725136000567/image_8bdbrjeq4h2l10luc0fdvo047k/-FJPG/226636-005_DET_1.jpg</t>
  </si>
  <si>
    <t>https://dd3ka9h4chfr8.cloudfront.net/image/725136000567/image_plo08t3smt36v0bb7almd7ea2a/-FJPG/226636-005_DET_3.jpg</t>
  </si>
  <si>
    <t>https://dd3ka9h4chfr8.cloudfront.net/image/725136000567/image_0g6muec91l6pr538hhqcpdo758/-FJPG/226636-005_DET_4.jpg</t>
  </si>
  <si>
    <t>Zach</t>
  </si>
  <si>
    <t>2.05"</t>
  </si>
  <si>
    <t>226636-007</t>
  </si>
  <si>
    <t>Zach End Table - Burnished Parawood</t>
  </si>
  <si>
    <t>Burnished Parawood Veneer</t>
  </si>
  <si>
    <t>Turn up the volume. A cylindrical pedestal-style base of solid burnished parawood supports a rounded tabletop with bullnose edging, for style and softness alike.</t>
  </si>
  <si>
    <t>https://dd3ka9h4chfr8.cloudfront.net/image/725136000567/image_corfk94i8p53912qiut1anuu0f/-S150x150-FJPG/226636-007_PRM_1.jpg</t>
  </si>
  <si>
    <t>https://dd3ka9h4chfr8.cloudfront.net/image/725136000567/image_412et27rjl5i30lp6c8bcbfj4l/-FJPG/226636-007_FRT_1.jpg</t>
  </si>
  <si>
    <t>https://dd3ka9h4chfr8.cloudfront.net/image/725136000567/image_corfk94i8p53912qiut1anuu0f/-FJPG/226636-007_PRM_1.jpg</t>
  </si>
  <si>
    <t>https://dd3ka9h4chfr8.cloudfront.net/image/725136000567/image_2p38f5mvmp5jh98dd2a735q813/-FJPG/226636-007_ESS_1.jpg</t>
  </si>
  <si>
    <t>https://dd3ka9h4chfr8.cloudfront.net/image/725136000567/image_ek6jirgiqh6c15gana2tf4pr7m/-FJPG/226636-007_DET_2.jpg</t>
  </si>
  <si>
    <t>https://dd3ka9h4chfr8.cloudfront.net/image/725136000567/image_vgsto2bv8h3tf699j3653t726j/-FJPG/226636-007_DET_1.jpg</t>
  </si>
  <si>
    <t>https://dd3ka9h4chfr8.cloudfront.net/image/725136000567/image_m65m2kue910q3058pfq0s9v679/-FJPG/226636-007_DET_3.jpg</t>
  </si>
  <si>
    <t>https://dd3ka9h4chfr8.cloudfront.net/image/725136000567/image_nbm9i3ppdt4mva8jeposbcpr5t/-FJPG/226636-007_DET_4.jpg</t>
  </si>
  <si>
    <t>https://dd3ka9h4chfr8.cloudfront.net/image/725136000567/image_ti73jlv85t1onb8p546s3c7j4k/-FJPG/226636-007_DET_5.jpg</t>
  </si>
  <si>
    <t>https://dd3ka9h4chfr8.cloudfront.net/image/725136000567/image_qmnpfr9ffp3g52o3cjituu485u/-FJPG/226636-007_ROM_1.jpg</t>
  </si>
  <si>
    <t>226718-001</t>
  </si>
  <si>
    <t>Ilana Cabinet - Burnished Mindi</t>
  </si>
  <si>
    <t>Hamilton</t>
  </si>
  <si>
    <t>Burnished Mindi</t>
  </si>
  <si>
    <t>Burnished solid mindi forms a dramatic arch this glass-front cabinetry, with woven natural cane backing for a textural finishing touch.</t>
  </si>
  <si>
    <t>https://dd3ka9h4chfr8.cloudfront.net/image/725136000567/image_i7c0d6ulf11d16rgfa83n77j34/-S150x150-FJPG/226718-001_PRM_1.jpg</t>
  </si>
  <si>
    <t>https://dd3ka9h4chfr8.cloudfront.net/image/725136000567/image_vaa1gn85s52fd6vpssmkm1em2u/-FJPG/226718-001_FRT_1.jpg</t>
  </si>
  <si>
    <t>https://dd3ka9h4chfr8.cloudfront.net/image/725136000567/image_i7c0d6ulf11d16rgfa83n77j34/-FJPG/226718-001_PRM_1.jpg</t>
  </si>
  <si>
    <t>https://dd3ka9h4chfr8.cloudfront.net/image/725136000567/image_s2fus071gd7brd0b14pk8duc5v/-FJPG/226718-001_SID_1.jpg</t>
  </si>
  <si>
    <t>https://dd3ka9h4chfr8.cloudfront.net/image/725136000567/image_mblrntluh96ir18i8mdg4as37l/-FJPG/226718-001_ESS_1.jpg</t>
  </si>
  <si>
    <t>https://dd3ka9h4chfr8.cloudfront.net/image/725136000567/image_glbpted1nt1l959mru1ciuhm0d/-FJPG/226718-001_DET_2.jpg</t>
  </si>
  <si>
    <t>https://dd3ka9h4chfr8.cloudfront.net/image/725136000567/image_hhoi4nqr3l0d380fuqforco101/-FJPG/226718-001_BCK_1.jpg</t>
  </si>
  <si>
    <t>https://dd3ka9h4chfr8.cloudfront.net/image/725136000567/image_elof740d3t1hd0u6clshi41h63/-FJPG/226718-001_DET_1.jpg</t>
  </si>
  <si>
    <t>https://dd3ka9h4chfr8.cloudfront.net/image/725136000567/image_99grh1lmh50h33ijsinf2g1c5u/-FJPG/226718-001_DET_3.jpg</t>
  </si>
  <si>
    <t>https://dd3ka9h4chfr8.cloudfront.net/image/725136000567/image_k9lj4jvc3p27l2gpumhsifpq2m/-FJPG/226718-001_OPN_1.jpg</t>
  </si>
  <si>
    <t>https://dd3ka9h4chfr8.cloudfront.net/image/725136000567/image_59gi90b6555e56f0nuhjog031s/-FJPG/226718-001_DET_4.jpg</t>
  </si>
  <si>
    <t>https://dd3ka9h4chfr8.cloudfront.net/image/725136000567/image_46creed5v1671539sm6c6am538/-FJPG/226718-001_DET_5.jpg</t>
  </si>
  <si>
    <t>https://dd3ka9h4chfr8.cloudfront.net/image/725136000567/image_i9add3a6092cl62kag18iq4i1g/-FJPG/226718-001_DET_6.jpg</t>
  </si>
  <si>
    <t>https://dd3ka9h4chfr8.cloudfront.net/image/725136000567/image_qsudnj6ek55vt05sk4ep407b57/-FJPG/226718-001_DET_7.jpg</t>
  </si>
  <si>
    <t>https://dd3ka9h4chfr8.cloudfront.net/image/725136000567/image_ocm7j468ql79tauncpk3vsp71p/-FJPG/226718-001_ESS_2.jpg</t>
  </si>
  <si>
    <t>14.49"</t>
  </si>
  <si>
    <t>36.77"</t>
  </si>
  <si>
    <t>16.02"</t>
  </si>
  <si>
    <t>16.89"</t>
  </si>
  <si>
    <t>Ilana</t>
  </si>
  <si>
    <t>80.87"</t>
  </si>
  <si>
    <t>18.39"</t>
  </si>
  <si>
    <t>12.87"</t>
  </si>
  <si>
    <t>226970-005</t>
  </si>
  <si>
    <t>Cain Floating Shelf - Gold Guanacaste</t>
  </si>
  <si>
    <t>Gold Guanacaste</t>
  </si>
  <si>
    <t>https://dd3ka9h4chfr8.cloudfront.net/image/725136000567/image_mnaodjpgk13g141pn6cj09ti0n/-S150x150-FJPG/226970-005_PRM_1.jpg</t>
  </si>
  <si>
    <t>https://dd3ka9h4chfr8.cloudfront.net/image/725136000567/image_mnaodjpgk13g141pn6cj09ti0n/-FJPG/226970-005_PRM_1.jpg</t>
  </si>
  <si>
    <t>https://dd3ka9h4chfr8.cloudfront.net/image/725136000567/image_tjne3bj32t3pf7ngbba2f57a7l/-FJPG/226970-005_DET_1.jpg</t>
  </si>
  <si>
    <t>https://dd3ka9h4chfr8.cloudfront.net/image/725136000567/image_h5nun4jg151ah938vvaqqflb6u/-FJPG/226970-005_DET_3.jpg</t>
  </si>
  <si>
    <t>https://dd3ka9h4chfr8.cloudfront.net/image/725136000567/image_pa21763a5l0v922ljs7slrus45/-FJPG/226970-005_DET_4.jpg</t>
  </si>
  <si>
    <t>https://dd3ka9h4chfr8.cloudfront.net/image/725136000567/image_4p0h37a1q12qjbuouj7olhb864/-FJPG/226970-005_DET_5.jpg</t>
  </si>
  <si>
    <t>https://dd3ka9h4chfr8.cloudfront.net/image/725136000567/image_erj167j3190el7bh4oqbnnsa06/-FJPG/226970-005_DET_6.jpg</t>
  </si>
  <si>
    <t>https://dd3ka9h4chfr8.cloudfront.net/image/725136000567/image_q93ja51v611v3d7sqqkul4df2t/-FJPG/226970-005_DET_7.jpg</t>
  </si>
  <si>
    <t>Cain</t>
  </si>
  <si>
    <t>48.00"</t>
  </si>
  <si>
    <t>227026-003</t>
  </si>
  <si>
    <t>Teak Square Stool - Aged Natural Teak</t>
  </si>
  <si>
    <t>Duvall</t>
  </si>
  <si>
    <t>Outdoor Benches &amp; Stools</t>
  </si>
  <si>
    <t>Outdoor Accent Benches &amp; Stools</t>
  </si>
  <si>
    <t>Aged Natural Teak</t>
  </si>
  <si>
    <t>Solid Teak</t>
  </si>
  <si>
    <t>Natural teak roots add a touch of organic texture to spaces indoors or out. Each has unique character, with natural variation in knots, holes and grain character from piece to piece, and dramatic highs and lows in the finish. Over time, teak weathers and greys in the sun for a found feel. Safe for outdoor spaces. Cover or store indoors during inclement weather and when not in use.</t>
  </si>
  <si>
    <t>https://dd3ka9h4chfr8.cloudfront.net/image/725136000567/image_lm7tingpjt5j907pn8fq3fn705/-S150x150-FJPG/227026-003_PRM_1.jpg</t>
  </si>
  <si>
    <t>https://dd3ka9h4chfr8.cloudfront.net/image/725136000567/image_g8j4ifiugl4sdco1prah6f6e0u/-FJPG/227026-003_FRT_1.jpg</t>
  </si>
  <si>
    <t>https://dd3ka9h4chfr8.cloudfront.net/image/725136000567/image_lm7tingpjt5j907pn8fq3fn705/-FJPG/227026-003_PRM_1.jpg</t>
  </si>
  <si>
    <t>https://dd3ka9h4chfr8.cloudfront.net/image/725136000567/image_6fgkd04ih97uja9vhtcp8v471d/-FJPG/227026-003_SID_1.jpg</t>
  </si>
  <si>
    <t>https://dd3ka9h4chfr8.cloudfront.net/image/725136000567/image_hqolrg372p6nj4p2gr30dfq15a/-FJPG/227026-003_DET_2.jpg</t>
  </si>
  <si>
    <t>https://dd3ka9h4chfr8.cloudfront.net/image/725136000567/image_t58thj48251v34dvqhc6b5c86i/-FJPG/227026-003_BCK_1.jpg</t>
  </si>
  <si>
    <t>https://dd3ka9h4chfr8.cloudfront.net/image/725136000567/image_vnk6hf0i9d3tld9ghaqfnvtr5l/-FJPG/227026-003_DET_1.jpg</t>
  </si>
  <si>
    <t>https://dd3ka9h4chfr8.cloudfront.net/image/725136000567/image_0on5jkb67p59j1qkjvmbc2f23b/-FJPG/227026-003_DET_3.jpg</t>
  </si>
  <si>
    <t>https://dd3ka9h4chfr8.cloudfront.net/image/725136000567/image_l3ds5lntm54918t1i6d9aehr49/-FJPG/227026-003_DET_4.jpg</t>
  </si>
  <si>
    <t>https://dd3ka9h4chfr8.cloudfront.net/image/725136000567/image_1mta5kupfh0pt6kn3ifjvj367i/-FJPG/227026-003_DET_5.jpg</t>
  </si>
  <si>
    <t>https://dd3ka9h4chfr8.cloudfront.net/image/725136000567/image_e35l9fulnl4otffolp2jphcp5p/-FJPG/227026-003_DET_6.jpg</t>
  </si>
  <si>
    <t>https://dd3ka9h4chfr8.cloudfront.net/image/725136000567/image_jjh7778nht5ida5a2vc7u95l34/-FJPG/227026-003_PRM_VAR-6.jpg</t>
  </si>
  <si>
    <t>https://dd3ka9h4chfr8.cloudfront.net/image/725136000567/image_apb9l4b5sh7v5d9v2vgg9ppu0l/-FJPG/227026-003_PRM_VAR-5.jpg</t>
  </si>
  <si>
    <t>https://dd3ka9h4chfr8.cloudfront.net/image/725136000567/image_ppqm1b9f6d51903tq0s78g7s6f/-FJPG/227026-003_PRM_VAR-2.jpg</t>
  </si>
  <si>
    <t>https://dd3ka9h4chfr8.cloudfront.net/image/725136000567/image_edrd60jp852u71pfq7gd8vg75u/-FJPG/227026-003_PRM_VAR-3.jpg</t>
  </si>
  <si>
    <t>https://dd3ka9h4chfr8.cloudfront.net/image/725136000567/image_7tv3i66aj566t567qjgkd02b1f/-FJPG/227026-003_PRM_VAR-1.jpg</t>
  </si>
  <si>
    <t>https://dd3ka9h4chfr8.cloudfront.net/image/725136000567/image_h9d27vi3c12ntb5hkjt7qf1l40/-FJPG/227026-003_PRM_VAR-7.jpg</t>
  </si>
  <si>
    <t>https://dd3ka9h4chfr8.cloudfront.net/image/725136000567/image_pii7cabj0l3437odf80mjdeu5u/-FJPG/227026-003_TOP_VAR-2.jpg</t>
  </si>
  <si>
    <t>https://dd3ka9h4chfr8.cloudfront.net/image/725136000567/image_7tlcgnta4t33hftlk25b5l9p3n/-FJPG/227026-003_TOP_VAR-4.jpg</t>
  </si>
  <si>
    <t>https://dd3ka9h4chfr8.cloudfront.net/image/725136000567/image_htnofr1brh3tn39fjkfhh9la56/-FJPG/227026-003_TOP_VAR-3.jpg</t>
  </si>
  <si>
    <t>https://dd3ka9h4chfr8.cloudfront.net/image/725136000567/image_7j72ajulrl4n144verpvb7006o/-FJPG/227026-003_PRM_VAR-8.jpg</t>
  </si>
  <si>
    <t>https://dd3ka9h4chfr8.cloudfront.net/image/725136000567/image_2ksaerjdvh1c3b0ep2hfo40861/-FJPG/227026-003_PRM_VAR-4.jpg</t>
  </si>
  <si>
    <t>https://dd3ka9h4chfr8.cloudfront.net/image/725136000567/image_9glegus1gd79rdbiqhnmggov63/-FJPG/227026-003_TOP_VAR-1.jpg</t>
  </si>
  <si>
    <t>Teak</t>
  </si>
  <si>
    <t>227148-002</t>
  </si>
  <si>
    <t>Vanna Sofa - Knoll Domino</t>
  </si>
  <si>
    <t>Carbon Ebony</t>
  </si>
  <si>
    <t>Plush and modern-minded. Atop an airy, ebony-finished iron base, thick, boucle-like upholstery features clean, angular track arms and comfy cushioning, for the best of both worlds.</t>
  </si>
  <si>
    <t>https://dd3ka9h4chfr8.cloudfront.net/image/725136000567/image_eslslap8oh113dji7b504u6t2r/-S150x150-FJPG/227148-002_PRM_1.jpg</t>
  </si>
  <si>
    <t>https://dd3ka9h4chfr8.cloudfront.net/image/725136000567/image_a5f5csdrjl4bjaqdk2dvblmh12/-FJPG/227148-002_FRT_1.jpg</t>
  </si>
  <si>
    <t>https://dd3ka9h4chfr8.cloudfront.net/image/725136000567/image_eslslap8oh113dji7b504u6t2r/-FJPG/227148-002_PRM_1.jpg</t>
  </si>
  <si>
    <t>https://dd3ka9h4chfr8.cloudfront.net/image/725136000567/image_48n7eokm0h6alb2d5igiqdqa26/-FJPG/227148-002_SID_1.jpg</t>
  </si>
  <si>
    <t>https://dd3ka9h4chfr8.cloudfront.net/image/725136000567/image_vast75650l5gr3r7f8ll3ih656/-FJPG/227148-002_DET_2.jpg</t>
  </si>
  <si>
    <t>https://dd3ka9h4chfr8.cloudfront.net/image/725136000567/image_52tq06mtpd7mh32isrfskhf10u/-FJPG/227148-002_BCK_1.jpg</t>
  </si>
  <si>
    <t>https://dd3ka9h4chfr8.cloudfront.net/image/725136000567/image_9jpu0fp4ph7s37s79a3ocs8k54/-FJPG/227148-002_INF_1.jpg</t>
  </si>
  <si>
    <t>https://dd3ka9h4chfr8.cloudfront.net/image/725136000567/image_9m6i7u7s8h76d0alqj0lqgcv4r/-FJPG/227148-002_DET_1.jpg</t>
  </si>
  <si>
    <t>https://dd3ka9h4chfr8.cloudfront.net/image/725136000567/image_trifnmtj393evdk5a0k0hs6g7n/-FJPG/227148-002_DET_3.jpg</t>
  </si>
  <si>
    <t>https://dd3ka9h4chfr8.cloudfront.net/image/725136000567/image_13itk0f5ql7it302u1im36fj32/-FJPG/227148-002_DET_4.jpg</t>
  </si>
  <si>
    <t>https://dd3ka9h4chfr8.cloudfront.net/image/725136000567/image_n2ch7qeh9p33f72fj7rrini44d/-FJPG/227148-002_DET_5.jpg</t>
  </si>
  <si>
    <t>https://dd3ka9h4chfr8.cloudfront.net/image/725136000567/image_mgdt0q37a50alfaildbcpqbk54/-FJPG/227148-002_DET_6.jpg</t>
  </si>
  <si>
    <t>https://dd3ka9h4chfr8.cloudfront.net/image/725136000567/image_rmp8rgn8ch16bc0ani0llidk47/-FJPG/227148-002_DET_7.jpg</t>
  </si>
  <si>
    <t>65.50"</t>
  </si>
  <si>
    <t>Vanna</t>
  </si>
  <si>
    <t>227148-003</t>
  </si>
  <si>
    <t>Vanna Sofa - Umber Pewter</t>
  </si>
  <si>
    <t>Umber Pewter</t>
  </si>
  <si>
    <t>Brushed Slate</t>
  </si>
  <si>
    <t>Plush and modern-minded. Atop an airy, slate-brushed iron base, grey top-grain leather features clean, angular track arms and comfy cushioning, for the best of both worlds.</t>
  </si>
  <si>
    <t>https://dd3ka9h4chfr8.cloudfront.net/image/725136000567/image_25vo89prut6ap4ln8n8ajl2s5d/-S150x150-FJPG/227148-003_PRM_1.jpg</t>
  </si>
  <si>
    <t>https://dd3ka9h4chfr8.cloudfront.net/image/725136000567/image_d3fr8lfv391ht7bq4fsmed8v4r/-FJPG/227148-003_FRT_1.jpg</t>
  </si>
  <si>
    <t>https://dd3ka9h4chfr8.cloudfront.net/image/725136000567/image_25vo89prut6ap4ln8n8ajl2s5d/-FJPG/227148-003_PRM_1.jpg</t>
  </si>
  <si>
    <t>https://dd3ka9h4chfr8.cloudfront.net/image/725136000567/image_0h1k3mtvo10b31h5iuk7eakc0b/-FJPG/227148-003_SID_1.jpg</t>
  </si>
  <si>
    <t>https://dd3ka9h4chfr8.cloudfront.net/image/725136000567/image_43ok3c9u7p4gb19mmumdlhsv0d/-FJPG/227148-003_ESS_1.jpg</t>
  </si>
  <si>
    <t>https://dd3ka9h4chfr8.cloudfront.net/image/725136000567/image_lb2rmcbrhd3tbcums5puevok0o/-FJPG/227148-003_DET_2.jpg</t>
  </si>
  <si>
    <t>https://dd3ka9h4chfr8.cloudfront.net/image/725136000567/image_9j4ta3gjt105t5dr1gkcjorq68/-FJPG/227148-003_BCK_1.jpg</t>
  </si>
  <si>
    <t>https://dd3ka9h4chfr8.cloudfront.net/image/725136000567/image_opccq0ftap1qt082rog4ivsa2k/-FJPG/227148-003_DET_1.jpg</t>
  </si>
  <si>
    <t>https://dd3ka9h4chfr8.cloudfront.net/image/725136000567/image_6e85l3me4h6rt63595mipthn4o/-FJPG/227148-003_DET_3.jpg</t>
  </si>
  <si>
    <t>https://dd3ka9h4chfr8.cloudfront.net/image/725136000567/image_e6382ksfb131lcdnefnn4ns32c/-FJPG/227148-003_DET_4.jpg</t>
  </si>
  <si>
    <t>https://dd3ka9h4chfr8.cloudfront.net/image/725136000567/image_dfsduivgs50s5817bb11ooro33/-FJPG/227148-003_DET_5.jpg</t>
  </si>
  <si>
    <t>https://dd3ka9h4chfr8.cloudfront.net/image/725136000567/image_g5njtok3et2f1bu6kh7d427q64/-FJPG/227148-003_DET_6.jpg</t>
  </si>
  <si>
    <t>https://dd3ka9h4chfr8.cloudfront.net/image/725136000567/image_u7auukmkqd2ht494tqbkj3lk3g/-FJPG/227148-003_DET_7.jpg</t>
  </si>
  <si>
    <t>227699-002</t>
  </si>
  <si>
    <t>Carmela Chaise - Irving Taupe</t>
  </si>
  <si>
    <t>Irving Taupe</t>
  </si>
  <si>
    <t>56% Polyester</t>
  </si>
  <si>
    <t>44% Acrylic</t>
  </si>
  <si>
    <t>Pristinely upholstered in a cozy, chunky high-performance fabric, soft pill shaping speaks to the grand Parisian inspiration behind this unique statement chaise, with cross-base stretchers and splayed legs of black stainless steel. Performance fabrics are specially created to withstand spills, stains, high traffic and wear, ensuring long-term comfort and unmatched durability.</t>
  </si>
  <si>
    <t>https://dd3ka9h4chfr8.cloudfront.net/image/725136000567/image_sirjbg6tfh6o18pqv9s7256675/-S150x150-FJPG/227699-002_PRM_1.jpg</t>
  </si>
  <si>
    <t>https://dd3ka9h4chfr8.cloudfront.net/image/725136000567/image_kslqsci4fd5en1islsb6ocbb0m/-FJPG/227699-002_FRT_1.jpg</t>
  </si>
  <si>
    <t>https://dd3ka9h4chfr8.cloudfront.net/image/725136000567/image_sirjbg6tfh6o18pqv9s7256675/-FJPG/227699-002_PRM_1.jpg</t>
  </si>
  <si>
    <t>https://dd3ka9h4chfr8.cloudfront.net/image/725136000567/image_6an7emruk97p93pu2pdu44c049/-FJPG/227699-002_SID_1.jpg</t>
  </si>
  <si>
    <t>https://dd3ka9h4chfr8.cloudfront.net/image/725136000567/image_8b2j0aqc5d29t1hh5i4gov240i/-FJPG/227699-002_ESS_1.jpg</t>
  </si>
  <si>
    <t>https://dd3ka9h4chfr8.cloudfront.net/image/725136000567/image_4ep59egq755h1bjpqefjlob36k/-FJPG/227699-002_DET_2.jpg</t>
  </si>
  <si>
    <t>https://dd3ka9h4chfr8.cloudfront.net/image/725136000567/image_6dgkrmjgf94nf8tbh5m5cd0t0s/-FJPG/227699-002_BCK_1.jpg</t>
  </si>
  <si>
    <t>https://dd3ka9h4chfr8.cloudfront.net/image/725136000567/image_t1ub4hrd4l7o39pgk7525rch62/-FJPG/227699-002_DET_1.jpg</t>
  </si>
  <si>
    <t>https://dd3ka9h4chfr8.cloudfront.net/image/725136000567/image_lqv2sn0p7h0p964ji4iontf80t/-FJPG/227699-002_DET_3.jpg</t>
  </si>
  <si>
    <t>https://dd3ka9h4chfr8.cloudfront.net/image/725136000567/image_nsdcas10895f3fabluln969o1l/-FJPG/227699-002_DET_4.jpg</t>
  </si>
  <si>
    <t>https://dd3ka9h4chfr8.cloudfront.net/image/725136000567/image_sb1se5n1b912jbpefjdca8171f/-FJPG/227699-002_DET_5.jpg</t>
  </si>
  <si>
    <t>https://dd3ka9h4chfr8.cloudfront.net/image/725136000567/image_q9vshp48gp5lfe6d1faff6en24/-FJPG/227699-002_DET_6.jpg</t>
  </si>
  <si>
    <t>https://dd3ka9h4chfr8.cloudfront.net/image/725136000567/image_ak7o49dhft6d71pnp296qgke7m/-FJPG/227699-002_DET_7.jpg</t>
  </si>
  <si>
    <t>https://dd3ka9h4chfr8.cloudfront.net/image/725136000567/image_bbvgovffbh4ej8ecnqirc5a467/-FJPG/227699-002_DET_8.jpg</t>
  </si>
  <si>
    <t>https://dd3ka9h4chfr8.cloudfront.net/image/725136000567/image_n5uiadofn511haomipv5pmi14l/-FJPG/227699-002_SID_2.jpg</t>
  </si>
  <si>
    <t>Carmela</t>
  </si>
  <si>
    <t>227701-002</t>
  </si>
  <si>
    <t>https://dd3ka9h4chfr8.cloudfront.net/image/725136000567/image_om3vuddv215nfaeees4f0fd90q/-S150x150-FJPG/227701-002_PRM_1.jpg</t>
  </si>
  <si>
    <t>https://dd3ka9h4chfr8.cloudfront.net/image/725136000567/image_0ugcjnfs3529j5cnpfpt2hqk07/-FJPG/227701-002_FRT_1.jpg</t>
  </si>
  <si>
    <t>https://dd3ka9h4chfr8.cloudfront.net/image/725136000567/image_om3vuddv215nfaeees4f0fd90q/-FJPG/227701-002_PRM_1.jpg</t>
  </si>
  <si>
    <t>https://dd3ka9h4chfr8.cloudfront.net/image/725136000567/image_1p899nui8502500pnh1b4hft5u/-FJPG/227701-002_SID_1.jpg</t>
  </si>
  <si>
    <t>https://dd3ka9h4chfr8.cloudfront.net/image/725136000567/image_vm9ppqrn657ejef100c5f0ah0e/-FJPG/227701-002_ESS_1.jpg</t>
  </si>
  <si>
    <t>https://dd3ka9h4chfr8.cloudfront.net/image/725136000567/image_udnkoid9112lv3bi96k3r7dn45/-FJPG/227701-002_DET_2.jpg</t>
  </si>
  <si>
    <t>https://dd3ka9h4chfr8.cloudfront.net/image/725136000567/image_plkdebtdt56kh6kfou1bjt7b1t/-FJPG/227701-002_BCK_1.jpg</t>
  </si>
  <si>
    <t>https://dd3ka9h4chfr8.cloudfront.net/image/725136000567/image_kg84d545kt2kb5utcg7vrg1c5j/-FJPG/227701-002_DET_1.jpg</t>
  </si>
  <si>
    <t>https://dd3ka9h4chfr8.cloudfront.net/image/725136000567/image_rrev8l1s0d5cvc85onfmhfmp42/-FJPG/227701-002_DET_3.jpg</t>
  </si>
  <si>
    <t>https://dd3ka9h4chfr8.cloudfront.net/image/725136000567/image_d7l8k8p6kt231cktss7us1581r/-FJPG/227701-002_DET_4.jpg</t>
  </si>
  <si>
    <t>https://dd3ka9h4chfr8.cloudfront.net/image/725136000567/image_cet3oqhqdp5obb1t8i7jni535l/-FJPG/227701-002_DET_5.jpg</t>
  </si>
  <si>
    <t>https://dd3ka9h4chfr8.cloudfront.net/image/725136000567/image_79jihrkfm94k1928n6jmd3s526/-FJPG/227701-002_DET_6.jpg</t>
  </si>
  <si>
    <t>227722-001</t>
  </si>
  <si>
    <t>Jonty Round End Table - Dark Petrified Wood</t>
  </si>
  <si>
    <t>Palu</t>
  </si>
  <si>
    <t>Dark Petrified Wood</t>
  </si>
  <si>
    <t>Textured Brass</t>
  </si>
  <si>
    <t>Petrified Wood</t>
  </si>
  <si>
    <t>https://dd3ka9h4chfr8.cloudfront.net/image/725136000567/image_oep1gtdk690k1d0jvhla37fo4d/-S150x150-FJPG/227722-001_PRM_1.jpg</t>
  </si>
  <si>
    <t>https://dd3ka9h4chfr8.cloudfront.net/image/725136000567/image_oep1gtdk690k1d0jvhla37fo4d/-FJPG/227722-001_PRM_1.jpg</t>
  </si>
  <si>
    <t>https://dd3ka9h4chfr8.cloudfront.net/image/725136000567/image_mk8nbrdphd0411kd8kkaoe4u49/-FJPG/227722-001_ESS.tif</t>
  </si>
  <si>
    <t>https://dd3ka9h4chfr8.cloudfront.net/image/725136000567/image_6h9uvouhh126l2j5m1f9bujs1v/-FJPG/227722-001_DET_1.jpg</t>
  </si>
  <si>
    <t>https://dd3ka9h4chfr8.cloudfront.net/image/725136000567/image_gvnq470ofd5gf4mqdpjrhv9j2c/-FJPG/227722-001_DET_3.jpg</t>
  </si>
  <si>
    <t>https://dd3ka9h4chfr8.cloudfront.net/image/725136000567/image_uu9o2l381l6gt8ktsrmvfd336e/-FJPG/227722-001_TOP_1.jpg</t>
  </si>
  <si>
    <t>https://dd3ka9h4chfr8.cloudfront.net/image/725136000567/image_gf3ldi0h6t1h57gehia82imt6a/-FJPG/227722-001_DET_4.jpg</t>
  </si>
  <si>
    <t>https://dd3ka9h4chfr8.cloudfront.net/image/725136000567/image_4nhq0jhc6d3i32q22bhr8ku310/-FJPG/227722-001_DET_5.jpg</t>
  </si>
  <si>
    <t>https://dd3ka9h4chfr8.cloudfront.net/image/725136000567/image_8ivtubc4r16m59ssu3g48gp907/-FJPG/227722-001_DET_6.jpg</t>
  </si>
  <si>
    <t>Jonty</t>
  </si>
  <si>
    <t>0.39"</t>
  </si>
  <si>
    <t>227722-002</t>
  </si>
  <si>
    <t>Jonty Round End Table - Light Petrified Wood</t>
  </si>
  <si>
    <t>Light Petrified Wood</t>
  </si>
  <si>
    <t>https://dd3ka9h4chfr8.cloudfront.net/image/725136000567/image_ll3pikchld69b4bokrmegvj91f/-S150x150-FJPG/227722-002_PRM_1.jpg</t>
  </si>
  <si>
    <t>https://dd3ka9h4chfr8.cloudfront.net/image/725136000567/image_ll3pikchld69b4bokrmegvj91f/-FJPG/227722-002_PRM_1.jpg</t>
  </si>
  <si>
    <t>https://dd3ka9h4chfr8.cloudfront.net/image/725136000567/image_6qn15fefpt7ev4dcfdbkcrfs72/-FJPG/227722-002_SID_1.jpg</t>
  </si>
  <si>
    <t>https://dd3ka9h4chfr8.cloudfront.net/image/725136000567/image_neaql3p85h4cn9398q2tfb773n/-FJPG/227722-002_ESS.tif</t>
  </si>
  <si>
    <t>https://dd3ka9h4chfr8.cloudfront.net/image/725136000567/image_3pb0p0ju7562f380g37nabvb1r/-FJPG/227722-002_DET_2.jpg</t>
  </si>
  <si>
    <t>https://dd3ka9h4chfr8.cloudfront.net/image/725136000567/image_fc5933ckcd73jc9qp41aqq6t3t/-FJPG/227722-002_DET_1.jpg</t>
  </si>
  <si>
    <t>https://dd3ka9h4chfr8.cloudfront.net/image/725136000567/image_v4jap5fp8l65bcbpsha0jd3s71/-FJPG/227722-002_DET_3.jpg</t>
  </si>
  <si>
    <t>https://dd3ka9h4chfr8.cloudfront.net/image/725136000567/image_dj2vlvdart1klcr6lgapfkfu24/-FJPG/227722-002_DET_4.jpg</t>
  </si>
  <si>
    <t>https://dd3ka9h4chfr8.cloudfront.net/image/725136000567/image_e3nl1q3nm962nb4f5n37qjc26b/-FJPG/227722-002_DET_5.jpg</t>
  </si>
  <si>
    <t>https://dd3ka9h4chfr8.cloudfront.net/image/725136000567/image_lf1v0rmtfh4vnckoa16li7g549/-FJPG/227722-002_DET_6.jpg</t>
  </si>
  <si>
    <t>227723-001</t>
  </si>
  <si>
    <t>Tig End Table - Dark Petrified Wood</t>
  </si>
  <si>
    <t>https://dd3ka9h4chfr8.cloudfront.net/image/725136000567/image_b2p92bs9ep1kv1fdl3dd57hs4k/-S150x150-FJPG/227723-001_PRM_1.jpg</t>
  </si>
  <si>
    <t>https://dd3ka9h4chfr8.cloudfront.net/image/725136000567/image_nc249b4v2t2kvfe0ie6b6oeu5b/-FJPG/227723-001_FRT_1.jpg</t>
  </si>
  <si>
    <t>https://dd3ka9h4chfr8.cloudfront.net/image/725136000567/image_b2p92bs9ep1kv1fdl3dd57hs4k/-FJPG/227723-001_PRM_1.jpg</t>
  </si>
  <si>
    <t>https://dd3ka9h4chfr8.cloudfront.net/image/725136000567/image_ku4ffcen351ivbf1uagng1in3s/-FJPG/227723-001_SID_1.jpg</t>
  </si>
  <si>
    <t>https://dd3ka9h4chfr8.cloudfront.net/image/725136000567/image_kvl8v3k7qp7rra5vhu2jijuk4f/-FJPG/227723-001_DET_2.jpg</t>
  </si>
  <si>
    <t>https://dd3ka9h4chfr8.cloudfront.net/image/725136000567/image_o4ei6jndut35f95ufbfqqqnk51/-FJPG/227723-001_BCK_1.jpg</t>
  </si>
  <si>
    <t>https://dd3ka9h4chfr8.cloudfront.net/image/725136000567/image_nrkr1s9ac95i10uvvp9fjvdt5n/-FJPG/227723-001_DET_1.jpg</t>
  </si>
  <si>
    <t>https://dd3ka9h4chfr8.cloudfront.net/image/725136000567/image_4kogn5pdnd1dl1td7pc3av0j7q/-FJPG/227723-001_DET_3.jpg</t>
  </si>
  <si>
    <t>https://dd3ka9h4chfr8.cloudfront.net/image/725136000567/image_v0ut3kvfi96ftf27bhf3umiu1n/-FJPG/227723-001_DET_4.jpg</t>
  </si>
  <si>
    <t>https://dd3ka9h4chfr8.cloudfront.net/image/725136000567/image_aagmh3okhd4tpd4l9id7u1ta05/-FJPG/227723-001_DET_5.jpg</t>
  </si>
  <si>
    <t>https://dd3ka9h4chfr8.cloudfront.net/image/725136000567/image_ptpkh3pe113ftdtfh1e5jp6p0u/-FJPG/227723-001_DET_6.jpg</t>
  </si>
  <si>
    <t>https://dd3ka9h4chfr8.cloudfront.net/image/725136000567/image_1thtk29hel7uh1krsf5pt7hu5k/-FJPG/227723-001_VIG_1.jpg</t>
  </si>
  <si>
    <t>Tig</t>
  </si>
  <si>
    <t>227724-001</t>
  </si>
  <si>
    <t>Bevin End Table - Dark Petrified Wood</t>
  </si>
  <si>
    <t>Shiny Brass</t>
  </si>
  <si>
    <t>Go natural. Go bold. Made from fossilized petrified woods with a brass-finished stainless steel post, a slim silhouette works into any space with ease.</t>
  </si>
  <si>
    <t>https://dd3ka9h4chfr8.cloudfront.net/image/725136000567/image_o5dkng8u5943d10dok87lqbj1h/-S150x150-FJPG/227724-001_PRM_1.jpg</t>
  </si>
  <si>
    <t>https://dd3ka9h4chfr8.cloudfront.net/image/725136000567/image_mhti9mdhmt7ef498hk79m2770a/-FJPG/227724-001_FRT_1.jpg</t>
  </si>
  <si>
    <t>https://dd3ka9h4chfr8.cloudfront.net/image/725136000567/image_o5dkng8u5943d10dok87lqbj1h/-FJPG/227724-001_PRM_1.jpg</t>
  </si>
  <si>
    <t>https://dd3ka9h4chfr8.cloudfront.net/image/725136000567/image_tpbot06on91et1rnp6mrid0r61/-FJPG/227724-001_ESS.tif</t>
  </si>
  <si>
    <t>https://dd3ka9h4chfr8.cloudfront.net/image/725136000567/image_s8er2gcvol22rfpq0kl2bkh261/-FJPG/227724-001_DET_2.jpg</t>
  </si>
  <si>
    <t>https://dd3ka9h4chfr8.cloudfront.net/image/725136000567/image_dfal5tlb3t12fdkasrt2v3bu4p/-FJPG/227724-001_DET_1.jpg</t>
  </si>
  <si>
    <t>https://dd3ka9h4chfr8.cloudfront.net/image/725136000567/image_l8924v7n0h2gbaomjno21ss922/-FJPG/227724-001_DET_3.jpg</t>
  </si>
  <si>
    <t>https://dd3ka9h4chfr8.cloudfront.net/image/725136000567/image_us4tn5a9gh1khc7nnv4dl5985o/-FJPG/227724-001_TOP_1.jpg</t>
  </si>
  <si>
    <t>https://dd3ka9h4chfr8.cloudfront.net/image/725136000567/image_ub6gqktrm52bdad1c3stal9s2o/-FJPG/227724-001_DET_4.jpg</t>
  </si>
  <si>
    <t>https://dd3ka9h4chfr8.cloudfront.net/image/725136000567/image_m5f66fhhrl09v7hib90onbfk59/-FJPG/227724-001_DET_6.jpg</t>
  </si>
  <si>
    <t>https://dd3ka9h4chfr8.cloudfront.net/image/725136000567/image_06g61vff2p3dj4q938po7vfp77/-FJPG/227724-001_VIG_1.jpg</t>
  </si>
  <si>
    <t>Bevin</t>
  </si>
  <si>
    <t>227725-001</t>
  </si>
  <si>
    <t>Galen End Table - Light Petrified Wood</t>
  </si>
  <si>
    <t>https://dd3ka9h4chfr8.cloudfront.net/image/725136000567/image_0v4o9bbt3h40r7ac7tggaaqn1u/-S150x150-FJPG/227725-001_PRM_1.jpg</t>
  </si>
  <si>
    <t>https://dd3ka9h4chfr8.cloudfront.net/image/725136000567/image_m57e3dksc123nderfbf5c15064/-FJPG/227725-001_FRT_1.jpg</t>
  </si>
  <si>
    <t>https://dd3ka9h4chfr8.cloudfront.net/image/725136000567/image_0v4o9bbt3h40r7ac7tggaaqn1u/-FJPG/227725-001_PRM_1.jpg</t>
  </si>
  <si>
    <t>https://dd3ka9h4chfr8.cloudfront.net/image/725136000567/image_f6585dhb794n5cgqctqlldt313/-FJPG/227725-001_SID_1.jpg</t>
  </si>
  <si>
    <t>https://dd3ka9h4chfr8.cloudfront.net/image/725136000567/image_b1agf9g6c123h7bc13fjbbcf7q/-FJPG/227725-001_ESS_1.jpg</t>
  </si>
  <si>
    <t>https://dd3ka9h4chfr8.cloudfront.net/image/725136000567/image_2tluu2pktt1gdc8lmuu77v4q38/-FJPG/227725-001_DET_2.jpg</t>
  </si>
  <si>
    <t>https://dd3ka9h4chfr8.cloudfront.net/image/725136000567/image_lu9fdgdm2p61dfkmksmcrf9455/-FJPG/227725-001_DET_1.jpg</t>
  </si>
  <si>
    <t>https://dd3ka9h4chfr8.cloudfront.net/image/725136000567/image_c999ta9cvt3k9eb95vj6mvts5c/-FJPG/227725-001_DET_3.jpg</t>
  </si>
  <si>
    <t>https://dd3ka9h4chfr8.cloudfront.net/image/725136000567/image_vckl3l8r6d533ebji80gbs2s40/-FJPG/227725-001_TOP_1.jpg</t>
  </si>
  <si>
    <t>https://dd3ka9h4chfr8.cloudfront.net/image/725136000567/image_n6arh5dmsh62bdrm328hp21j4e/-FJPG/227725-001_DET_4.jpg</t>
  </si>
  <si>
    <t>https://dd3ka9h4chfr8.cloudfront.net/image/725136000567/image_2o3k4049al16r03har3up9f76k/-FJPG/227725-001_VIG_2.jpg</t>
  </si>
  <si>
    <t>Galen</t>
  </si>
  <si>
    <t>227725-002</t>
  </si>
  <si>
    <t>Galen End Table - Dark Petrified Wood</t>
  </si>
  <si>
    <t>https://dd3ka9h4chfr8.cloudfront.net/image/725136000567/image_cfb7nj0hmt4qb9rtdta8jsrg3n/-S150x150-FJPG/227725-002_PRM_1.jpg</t>
  </si>
  <si>
    <t>https://dd3ka9h4chfr8.cloudfront.net/image/725136000567/image_f2n89a7ggd5ml2ghm739ev4s1m/-FJPG/227725-002_FRT_1.jpg</t>
  </si>
  <si>
    <t>https://dd3ka9h4chfr8.cloudfront.net/image/725136000567/image_cfb7nj0hmt4qb9rtdta8jsrg3n/-FJPG/227725-002_PRM_1.jpg</t>
  </si>
  <si>
    <t>https://dd3ka9h4chfr8.cloudfront.net/image/725136000567/image_qr1u4gr47116jdaagcbq76vs2i/-FJPG/227725-002_ESS_1.jpg</t>
  </si>
  <si>
    <t>https://dd3ka9h4chfr8.cloudfront.net/image/725136000567/image_jr4pevlcf1277flcig5uif644f/-FJPG/227725-002_DET_1.jpg</t>
  </si>
  <si>
    <t>https://dd3ka9h4chfr8.cloudfront.net/image/725136000567/image_shipq2b6e53njfloao5irnp535/-FJPG/227725-002_DET_3.jpg</t>
  </si>
  <si>
    <t>https://dd3ka9h4chfr8.cloudfront.net/image/725136000567/image_05nbijqm1t1i38lq8ifk8ioc6f/-FJPG/227725-002_TOP_1.jpg</t>
  </si>
  <si>
    <t>https://dd3ka9h4chfr8.cloudfront.net/image/725136000567/image_gk50q3vtu540h1tc2slfagqi0e/-FJPG/227725-002_DET_4.jpg</t>
  </si>
  <si>
    <t>https://dd3ka9h4chfr8.cloudfront.net/image/725136000567/image_qfl6q19cal6kr297q3aebb2c2g/-FJPG/227725-002_DET_5.jpg</t>
  </si>
  <si>
    <t>https://dd3ka9h4chfr8.cloudfront.net/image/725136000567/image_4ted4an4eh7cn4dhi5ohakhe4f/-FJPG/227725-002_DET_6.jpg</t>
  </si>
  <si>
    <t>227730-001</t>
  </si>
  <si>
    <t>Buck End Table - Dark Petrified Wood</t>
  </si>
  <si>
    <t>Made from dark petrified woods, a rectangular end table flaunts natural cracks and graining for a rich, organic look reflective ofÂ  unique, nature-based materials. A variance in color and texture is to be expected from piece to piece.</t>
  </si>
  <si>
    <t>https://dd3ka9h4chfr8.cloudfront.net/image/725136000567/image_l8iridqadl5op07mcbus1a9i4g/-S150x150-FJPG/227730-001_PRM_1.jpg</t>
  </si>
  <si>
    <t>https://dd3ka9h4chfr8.cloudfront.net/image/725136000567/image_k931dv3mqp29f8kr84p73tc957/-FJPG/227730-001_FRT_1.jpg</t>
  </si>
  <si>
    <t>https://dd3ka9h4chfr8.cloudfront.net/image/725136000567/image_l8iridqadl5op07mcbus1a9i4g/-FJPG/227730-001_PRM_1.jpg</t>
  </si>
  <si>
    <t>https://dd3ka9h4chfr8.cloudfront.net/image/725136000567/image_tp0kaanhj54s369n7cinbjau4l/-FJPG/227730-001_SID_1.jpg</t>
  </si>
  <si>
    <t>https://dd3ka9h4chfr8.cloudfront.net/image/725136000567/image_cigoiopnep2k15t78b9qkbqv7q/-FJPG/227730-001_ESS_1.jpg</t>
  </si>
  <si>
    <t>https://dd3ka9h4chfr8.cloudfront.net/image/725136000567/image_voosuuq7dl6o170h574cmp8h35/-FJPG/227730-001_DET_2.jpg</t>
  </si>
  <si>
    <t>https://dd3ka9h4chfr8.cloudfront.net/image/725136000567/image_0b2gc3jgth3t9fu3l8jja8eg33/-FJPG/227730-001_DET_1.jpg</t>
  </si>
  <si>
    <t>https://dd3ka9h4chfr8.cloudfront.net/image/725136000567/image_nd541i2ul11ud7a9qtuvlp4b65/-FJPG/227730-001_DET_3.jpg</t>
  </si>
  <si>
    <t>https://dd3ka9h4chfr8.cloudfront.net/image/725136000567/image_l1sjhq97b90pvd9hc67qn6kb29/-FJPG/227730-001_DET_4.jpg</t>
  </si>
  <si>
    <t>https://dd3ka9h4chfr8.cloudfront.net/image/725136000567/image_agkg5kpke533hc1j83rsteog3n/-FJPG/227730-001_DET_5.jpg</t>
  </si>
  <si>
    <t>https://dd3ka9h4chfr8.cloudfront.net/image/725136000567/image_25kmlj0f5p2nh4nccrus1c4q1g/-FJPG/227730-001_DET_6.jpg</t>
  </si>
  <si>
    <t>https://dd3ka9h4chfr8.cloudfront.net/image/725136000567/image_tgbl125o3h7c1443uinadatu4v/-FJPG/227730-001_DET_7.jpg</t>
  </si>
  <si>
    <t>https://dd3ka9h4chfr8.cloudfront.net/image/725136000567/image_f5hvnb0jr94gfc29qs2ad2p86d/-FJPG/227730-001_VIG_2.jpg</t>
  </si>
  <si>
    <t>Buck</t>
  </si>
  <si>
    <t>227776-001</t>
  </si>
  <si>
    <t>Montgomery Bed - Savile Flannel</t>
  </si>
  <si>
    <t>Savile Flannel</t>
  </si>
  <si>
    <t>Sky-high style. A tall, vertical-channeled headboard is upholstered in grey high-performance fabric for a sensible take on modern bedroom styling. A parawood plinth base grounds the whole look. Performance fabrics are specially created to withstand spills, stains, high traffic and wear, ensuring long-term comfort and unmatched durability.</t>
  </si>
  <si>
    <t>https://dd3ka9h4chfr8.cloudfront.net/image/725136000567/image_7rs1i6982h0r1c2vv956gnpq1h/-S150x150-FJPG/227776-001_PRM_1.jpg</t>
  </si>
  <si>
    <t>https://dd3ka9h4chfr8.cloudfront.net/image/725136000567/image_fbifu4kd611rraahl4tcibl160/-FJPG/227776-001_FRT_1.jpg</t>
  </si>
  <si>
    <t>https://dd3ka9h4chfr8.cloudfront.net/image/725136000567/image_7rs1i6982h0r1c2vv956gnpq1h/-FJPG/227776-001_PRM_1.jpg</t>
  </si>
  <si>
    <t>https://dd3ka9h4chfr8.cloudfront.net/image/725136000567/image_4q6h0g12ml3qfdr2j1kbnda15p/-FJPG/227776-001_SID_1.jpg</t>
  </si>
  <si>
    <t>https://dd3ka9h4chfr8.cloudfront.net/image/725136000567/image_mancu3i9k547j1cu1mi2tmmq2s/-FJPG/227776-001_ESS_1.jpg</t>
  </si>
  <si>
    <t>https://dd3ka9h4chfr8.cloudfront.net/image/725136000567/image_bt9u9chc8d1991r6gb991r5m5l/-FJPG/227776-001_DET_2.jpg</t>
  </si>
  <si>
    <t>https://dd3ka9h4chfr8.cloudfront.net/image/725136000567/image_7skpua52m14etfutufadh1ec6f/-FJPG/227776-001_BCK_1.jpg</t>
  </si>
  <si>
    <t>https://dd3ka9h4chfr8.cloudfront.net/image/725136000567/image_53m0kikkud4jhc6rfnd2ht931b/-FJPG/227776-001_INF_1.jpg</t>
  </si>
  <si>
    <t>https://dd3ka9h4chfr8.cloudfront.net/image/725136000567/image_12ki5b2cet3flb4vd7sbkhjv5o/-FJPG/227776-001_DET_1.jpg</t>
  </si>
  <si>
    <t>https://dd3ka9h4chfr8.cloudfront.net/image/725136000567/image_v6hko7935t1q7ebv2o8jg2ao0t/-FJPG/227776-001_DET_3.jpg</t>
  </si>
  <si>
    <t>https://dd3ka9h4chfr8.cloudfront.net/image/725136000567/image_fb06dsi0ql5lt2b3re04nk833l/-FJPG/227776-001_DET_4.jpg</t>
  </si>
  <si>
    <t>https://dd3ka9h4chfr8.cloudfront.net/image/725136000567/image_0p84mg1ev14otcpfo584hgv40m/-FJPG/227776-001_DET_5.jpg</t>
  </si>
  <si>
    <t>https://dd3ka9h4chfr8.cloudfront.net/image/725136000567/image_ip5g0iugjh4hv84hen9kboa513/-FJPG/227776-001_DET_6.jpg</t>
  </si>
  <si>
    <t>https://dd3ka9h4chfr8.cloudfront.net/image/725136000567/image_632jk5pnv54ln05uj2leq9up7c/-FJPG/227776-001_ROM_1.jpg</t>
  </si>
  <si>
    <t>Montgomery</t>
  </si>
  <si>
    <t>11.18"</t>
  </si>
  <si>
    <t>46.46"</t>
  </si>
  <si>
    <t>227776-002</t>
  </si>
  <si>
    <t>https://dd3ka9h4chfr8.cloudfront.net/image/725136000567/image_vm6rk2lqsd7opef6ilahv2822g/-S150x150-FJPG/227776-002_PRM_1.jpg</t>
  </si>
  <si>
    <t>https://dd3ka9h4chfr8.cloudfront.net/image/725136000567/image_e3phi85b554d10o81o8uucra0i/-FJPG/227776-002_FRT_1.jpg</t>
  </si>
  <si>
    <t>https://dd3ka9h4chfr8.cloudfront.net/image/725136000567/image_vm6rk2lqsd7opef6ilahv2822g/-FJPG/227776-002_PRM_1.jpg</t>
  </si>
  <si>
    <t>https://dd3ka9h4chfr8.cloudfront.net/image/725136000567/image_v4cin1dj615v7b05cvmh7d0j5p/-FJPG/227776-002_SID_1.jpg</t>
  </si>
  <si>
    <t>https://dd3ka9h4chfr8.cloudfront.net/image/725136000567/image_ij8eplmplt3jbep3e6skmnlk0l/-FJPG/227776-002_DET_2.jpg</t>
  </si>
  <si>
    <t>https://dd3ka9h4chfr8.cloudfront.net/image/725136000567/image_0r3emk6brd74dcodon3mb3qt0r/-FJPG/227776-002_BCK_1.jpg</t>
  </si>
  <si>
    <t>https://dd3ka9h4chfr8.cloudfront.net/image/725136000567/image_95cbnfuao147dfkvs2fo0sm32t/-FJPG/227776-002_INF_1.jpg</t>
  </si>
  <si>
    <t>https://dd3ka9h4chfr8.cloudfront.net/image/725136000567/image_s9mj27tg9h57f39s03r78d8r4e/-FJPG/227776-002_DET_1.jpg</t>
  </si>
  <si>
    <t>https://dd3ka9h4chfr8.cloudfront.net/image/725136000567/image_328qinu45p4gv4m9svlh3hmf3t/-FJPG/227776-002_DET_3.jpg</t>
  </si>
  <si>
    <t>https://dd3ka9h4chfr8.cloudfront.net/image/725136000567/image_44e8sut7b53c325mc073l3d73g/-FJPG/227776-002_DET_4.jpg</t>
  </si>
  <si>
    <t>https://dd3ka9h4chfr8.cloudfront.net/image/725136000567/image_jsbci28eph5dtf4g92qn4ebb1j/-FJPG/227776-002_DET_5.jpg</t>
  </si>
  <si>
    <t>https://dd3ka9h4chfr8.cloudfront.net/image/725136000567/image_ouc99722mp3gl5vc00maearj7q/-FJPG/227776-002_DET_6.jpg</t>
  </si>
  <si>
    <t>https://dd3ka9h4chfr8.cloudfront.net/image/725136000567/image_gu8tpgksih3415b4tdtmakpi4o/-FJPG/227776-002_ROM_1.jpg</t>
  </si>
  <si>
    <t>227776-007</t>
  </si>
  <si>
    <t>Montgomery Bed - Thames Cream</t>
  </si>
  <si>
    <t>A tall, vertical-channeled headboard is upholstered in cream high-performance fabric for a fresh take on modern bedroom styling. A parawood plinth base grounds the whole look. Performance fabrics are specially created to withstand spills, stains, high traffic and wear, ensuring long-term comfort and unmatched durability.</t>
  </si>
  <si>
    <t>https://dd3ka9h4chfr8.cloudfront.net/image/725136000567/image_6tl7uvu9gd4r556etafttlua71/-S150x150-FJPG/227776-007_PRM_1.jpg</t>
  </si>
  <si>
    <t>https://dd3ka9h4chfr8.cloudfront.net/image/725136000567/image_56glg44net5u7a3t6u0bufjq05/-FJPG/227776-007_FRT_1.jpg</t>
  </si>
  <si>
    <t>https://dd3ka9h4chfr8.cloudfront.net/image/725136000567/image_6tl7uvu9gd4r556etafttlua71/-FJPG/227776-007_PRM_1.jpg</t>
  </si>
  <si>
    <t>https://dd3ka9h4chfr8.cloudfront.net/image/725136000567/image_lr2qirpl911glbt1ocjkgt4i6d/-FJPG/227776-007_SID_1.jpg</t>
  </si>
  <si>
    <t>https://dd3ka9h4chfr8.cloudfront.net/image/725136000567/image_7uq0vt8cb51sn0gsk5cav22u6s/-FJPG/227776-007_ESS_1.jpg</t>
  </si>
  <si>
    <t>https://dd3ka9h4chfr8.cloudfront.net/image/725136000567/image_i88ltg67d52qp7i4re4uadeb3k/-FJPG/227776-007_DET_2.jpg</t>
  </si>
  <si>
    <t>https://dd3ka9h4chfr8.cloudfront.net/image/725136000567/image_apljk555kh3218if9kaiqj5o7l/-FJPG/227776-007_BCK_1.jpg</t>
  </si>
  <si>
    <t>https://dd3ka9h4chfr8.cloudfront.net/image/725136000567/image_kkq9hccpnt7it4o6nl7kb05k44/-FJPG/227776-007_DET_1.jpg</t>
  </si>
  <si>
    <t>https://dd3ka9h4chfr8.cloudfront.net/image/725136000567/image_f5pn0i5s753bpbgn29s3u4cv0s/-FJPG/227776-007_DET_3.jpg</t>
  </si>
  <si>
    <t>https://dd3ka9h4chfr8.cloudfront.net/image/725136000567/image_5v747u8ach3f9850ipto1d544m/-FJPG/227776-007_TOP_1.jpg</t>
  </si>
  <si>
    <t>https://dd3ka9h4chfr8.cloudfront.net/image/725136000567/image_7epau6ef0p56f524mdj3a3fs10/-FJPG/227776-007_DET_4.jpg</t>
  </si>
  <si>
    <t>https://dd3ka9h4chfr8.cloudfront.net/image/725136000567/image_h7flmrafjh5u998i8b5g8oc30t/-FJPG/227776-007_DET_5.jpg</t>
  </si>
  <si>
    <t>227776-008</t>
  </si>
  <si>
    <t>A tall, vertical-channeled headboard is upholstered in cream high-performance fabric for a sensible take on modern bedroom styling. A parawood plinth base grounds the whole look. Performance fabrics are specially created to withstand spills, stains, high traffic and wear, ensuring long-term comfort and unmatched durability.</t>
  </si>
  <si>
    <t>https://dd3ka9h4chfr8.cloudfront.net/image/725136000567/image_argsnhefn564fb18prk3hsqn02/-S150x150-FJPG/227776-008_PRM_1.jpg</t>
  </si>
  <si>
    <t>https://dd3ka9h4chfr8.cloudfront.net/image/725136000567/image_a2gg3i3ir96jvdssecdkl2fo18/-FJPG/227776-008_FRT_1.jpg</t>
  </si>
  <si>
    <t>https://dd3ka9h4chfr8.cloudfront.net/image/725136000567/image_argsnhefn564fb18prk3hsqn02/-FJPG/227776-008_PRM_1.jpg</t>
  </si>
  <si>
    <t>https://dd3ka9h4chfr8.cloudfront.net/image/725136000567/image_2bqvnlismt6599inhor5h34t07/-FJPG/227776-008_SID_1.jpg</t>
  </si>
  <si>
    <t>https://dd3ka9h4chfr8.cloudfront.net/image/725136000567/image_rspuj26a2h41p3c73m6eiu1m37/-FJPG/227776-008_ESS_1.jpg</t>
  </si>
  <si>
    <t>https://dd3ka9h4chfr8.cloudfront.net/image/725136000567/image_lc361jc43p2jncq65pjep1bn4n/-FJPG/227776-008_DET_2.jpg</t>
  </si>
  <si>
    <t>https://dd3ka9h4chfr8.cloudfront.net/image/725136000567/image_6j9d6pl5690kf1gq7o8j39002t/-FJPG/227776-008_BCK_1.jpg</t>
  </si>
  <si>
    <t>https://dd3ka9h4chfr8.cloudfront.net/image/725136000567/image_ohi52e75q17aj98km3icvej636/-FJPG/227776-008_DET_1.jpg</t>
  </si>
  <si>
    <t>https://dd3ka9h4chfr8.cloudfront.net/image/725136000567/image_lqua7s75dl08pche5skvovgs4d/-FJPG/227776-008_DET_3.jpg</t>
  </si>
  <si>
    <t>https://dd3ka9h4chfr8.cloudfront.net/image/725136000567/image_836mvp6g095jhffih6o9pcvb1a/-FJPG/227776-008_TOP_1.jpg</t>
  </si>
  <si>
    <t>https://dd3ka9h4chfr8.cloudfront.net/image/725136000567/image_0msba8bf8t3q79jdihsodgbn2b/-FJPG/227776-008_DET_4.jpg</t>
  </si>
  <si>
    <t>https://dd3ka9h4chfr8.cloudfront.net/image/725136000567/image_m3hsq2run91shcsm4cmea9o83o/-FJPG/227776-008_DET_5.jpg</t>
  </si>
  <si>
    <t>https://dd3ka9h4chfr8.cloudfront.net/image/725136000567/image_6doi34r54h66b6io6p6vhfj136/-FJPG/227776-008_DET_6.jpg</t>
  </si>
  <si>
    <t>227801-001</t>
  </si>
  <si>
    <t>Paden Coffee Table - Seasoned Brown Acacia</t>
  </si>
  <si>
    <t>Seasoned Brown Acacia</t>
  </si>
  <si>
    <t>Seasoned Brown Acacia Solid</t>
  </si>
  <si>
    <t>A study in shape. Solid brown acacia forms crescent-shaped legs and sprawling oval tabletop, bringing organic presence to the living room.</t>
  </si>
  <si>
    <t>https://dd3ka9h4chfr8.cloudfront.net/image/725136000567/image_l2ribkamlh0dnfcqie4tgrgf5o/-S150x150-FJPG/227801-001_PRM_1.jpg</t>
  </si>
  <si>
    <t>https://dd3ka9h4chfr8.cloudfront.net/image/725136000567/image_pav99a2aud5m953831cj8v666k/-FJPG/227801-001_FRT_1.jpg</t>
  </si>
  <si>
    <t>https://dd3ka9h4chfr8.cloudfront.net/image/725136000567/image_l2ribkamlh0dnfcqie4tgrgf5o/-FJPG/227801-001_PRM_1.jpg</t>
  </si>
  <si>
    <t>https://dd3ka9h4chfr8.cloudfront.net/image/725136000567/image_j03ns0cnc53t52dk1hsuc80038/-FJPG/227801-001_SID_1.jpg</t>
  </si>
  <si>
    <t>https://dd3ka9h4chfr8.cloudfront.net/image/725136000567/image_ag1u77cnjt79h9pim99o7det1g/-FJPG/227801-001_ESS_1.jpg</t>
  </si>
  <si>
    <t>https://dd3ka9h4chfr8.cloudfront.net/image/725136000567/image_vvbui23tv57758h7gif8vds72k/-FJPG/227801-001_DET_2.jpg</t>
  </si>
  <si>
    <t>https://dd3ka9h4chfr8.cloudfront.net/image/725136000567/image_h243ngvf6d0on61gcfehkjcc6n/-FJPG/227801-001_DET_1.jpg</t>
  </si>
  <si>
    <t>https://dd3ka9h4chfr8.cloudfront.net/image/725136000567/image_i9rhd2p3ip17l0l9kgjc78gt4n/-FJPG/227801-001_DET_3.jpg</t>
  </si>
  <si>
    <t>https://dd3ka9h4chfr8.cloudfront.net/image/725136000567/image_f2u9hq7tjh1qra5bjrvj5dt318/-FJPG/227801-001_DET_4.jpg</t>
  </si>
  <si>
    <t>https://dd3ka9h4chfr8.cloudfront.net/image/725136000567/image_v9ckl2q9i165ta26qrge56fm04/-FJPG/227801-001_DET_5.jpg</t>
  </si>
  <si>
    <t>15.51"</t>
  </si>
  <si>
    <t>16.97"</t>
  </si>
  <si>
    <t>8.98"</t>
  </si>
  <si>
    <t>8.03"</t>
  </si>
  <si>
    <t>227801-002</t>
  </si>
  <si>
    <t>Paden Coffee Table - Sandy Acacia</t>
  </si>
  <si>
    <t>A study in shape. Sandy brown acacia forms crescent-shaped legs and sprawling oval tabletop, bringing organic presence to the living room.</t>
  </si>
  <si>
    <t>https://dd3ka9h4chfr8.cloudfront.net/image/725136000567/image_mroa0vimpp6s91rdngntrklm52/-S150x150-FJPG/227801-002_PRM_1.jpg</t>
  </si>
  <si>
    <t>https://dd3ka9h4chfr8.cloudfront.net/image/725136000567/image_80mqc23kn10k7f9sffh5ii5u48/-FJPG/227801-002_FRT_1.jpg</t>
  </si>
  <si>
    <t>https://dd3ka9h4chfr8.cloudfront.net/image/725136000567/image_mroa0vimpp6s91rdngntrklm52/-FJPG/227801-002_PRM_1.jpg</t>
  </si>
  <si>
    <t>https://dd3ka9h4chfr8.cloudfront.net/image/725136000567/image_28jv2m5rk92ctegb7e99plsd7q/-FJPG/227801-002_SID_1.jpg</t>
  </si>
  <si>
    <t>https://dd3ka9h4chfr8.cloudfront.net/image/725136000567/image_a6rqmdjhl12pfbikr2bp1tql4n/-FJPG/227801-002_ESS_1.jpg</t>
  </si>
  <si>
    <t>https://dd3ka9h4chfr8.cloudfront.net/image/725136000567/image_c5ieq8u72l6a774d3mnealse2u/-FJPG/227801-002_DET_2.jpg</t>
  </si>
  <si>
    <t>https://dd3ka9h4chfr8.cloudfront.net/image/725136000567/image_8cfjkpgd4l5kl7npgftg5fh262/-FJPG/227801-002_DET_1.jpg</t>
  </si>
  <si>
    <t>https://dd3ka9h4chfr8.cloudfront.net/image/725136000567/image_2jbi85ovpt7qt4rbspne2k8v0i/-FJPG/227801-002_DET_3.jpg</t>
  </si>
  <si>
    <t>https://dd3ka9h4chfr8.cloudfront.net/image/725136000567/image_qqbjjghegd4qt18gi224i1dp31/-FJPG/227801-002_DET_4.jpg</t>
  </si>
  <si>
    <t>https://dd3ka9h4chfr8.cloudfront.net/image/725136000567/image_un3pjors3l7vj0vglhu5iu756b/-FJPG/227801-002_DET_5.jpg</t>
  </si>
  <si>
    <t>227801-005</t>
  </si>
  <si>
    <t>Paden Coffee Table - Aged Black Acacia</t>
  </si>
  <si>
    <t>A study in shape. Black acacia forms crescent-shaped legs and sprawling oval tabletop, bringing organic presence to the living room.</t>
  </si>
  <si>
    <t>https://dd3ka9h4chfr8.cloudfront.net/image/725136000567/image_esnnrbmg6d3o76m9o191hb9j1l/-S150x150-FJPG/227801-005_PRM_1.jpg</t>
  </si>
  <si>
    <t>https://dd3ka9h4chfr8.cloudfront.net/image/725136000567/image_tda7ap2jr91pn8qjtfgsbdha2g/-FJPG/227801-005_FRT_1.jpg</t>
  </si>
  <si>
    <t>https://dd3ka9h4chfr8.cloudfront.net/image/725136000567/image_esnnrbmg6d3o76m9o191hb9j1l/-FJPG/227801-005_PRM_1.jpg</t>
  </si>
  <si>
    <t>https://dd3ka9h4chfr8.cloudfront.net/image/725136000567/image_g2k95hisr925jfti6f8e1mnj1f/-FJPG/227801-005_SID_1.jpg</t>
  </si>
  <si>
    <t>https://dd3ka9h4chfr8.cloudfront.net/image/725136000567/image_qilal1v1bt25p3qo7tc2vhab26/-FJPG/227801-005_ESS_1.jpg</t>
  </si>
  <si>
    <t>https://dd3ka9h4chfr8.cloudfront.net/image/725136000567/image_hude86lsrh4df865j4pifiuu5o/-FJPG/227801-005_DET_2.jpg</t>
  </si>
  <si>
    <t>https://dd3ka9h4chfr8.cloudfront.net/image/725136000567/image_d3bput8q4l5ln2ocbnfabr5o7q/-FJPG/227801-005_DET_1.jpg</t>
  </si>
  <si>
    <t>https://dd3ka9h4chfr8.cloudfront.net/image/725136000567/image_0h9bqinhid68r97mhb6oqvmb71/-FJPG/227801-005_DET_3.jpg</t>
  </si>
  <si>
    <t>https://dd3ka9h4chfr8.cloudfront.net/image/725136000567/image_0cl0fr5es96fp9qjkpg79lsi76/-FJPG/227801-005_DET_4.jpg</t>
  </si>
  <si>
    <t>https://dd3ka9h4chfr8.cloudfront.net/image/725136000567/image_l4eh0h673549921dan49mkda6d/-FJPG/227801-005_DET_5.jpg</t>
  </si>
  <si>
    <t>227801-009</t>
  </si>
  <si>
    <t>Paden Coffee Table - Worn Oak Veneer</t>
  </si>
  <si>
    <t>Light, natural oak forms the crescent-shaped legs and round tabletop of this coffee table, bringing organic presence to the living room.</t>
  </si>
  <si>
    <t>https://dd3ka9h4chfr8.cloudfront.net/image/725136000567/image_uq0djjbgol7tt5212kqs020u3r/-S150x150-FJPG/227801-009_PRM_1.jpg</t>
  </si>
  <si>
    <t>https://dd3ka9h4chfr8.cloudfront.net/image/725136000567/image_49frt8j7k56uh9364n0banl20e/-FJPG/227801-009_FRT_1.jpg</t>
  </si>
  <si>
    <t>https://dd3ka9h4chfr8.cloudfront.net/image/725136000567/image_uq0djjbgol7tt5212kqs020u3r/-FJPG/227801-009_PRM_1.jpg</t>
  </si>
  <si>
    <t>https://dd3ka9h4chfr8.cloudfront.net/image/725136000567/image_4h0m86r5gd6h7dch9ijll6dl33/-FJPG/227801-009_SID_1.jpg</t>
  </si>
  <si>
    <t>https://dd3ka9h4chfr8.cloudfront.net/image/725136000567/image_6man8tslbl4mlc721es6rqnl4d/-FJPG/227801-009_DET_2.jpg</t>
  </si>
  <si>
    <t>https://dd3ka9h4chfr8.cloudfront.net/image/725136000567/image_rujfbocg1l5512q90a4pvs7344/-FJPG/227801-009_DET_1.jpg</t>
  </si>
  <si>
    <t>https://dd3ka9h4chfr8.cloudfront.net/image/725136000567/image_bo22c7df5l6vrfno6tdojfil3n/-FJPG/227801-009_DET_3.jpg</t>
  </si>
  <si>
    <t>https://dd3ka9h4chfr8.cloudfront.net/image/725136000567/image_ulm7ph0gn93in5lruuhglvs36p/-FJPG/227801-009_TOP_1.jpg</t>
  </si>
  <si>
    <t>https://dd3ka9h4chfr8.cloudfront.net/image/725136000567/image_vtiai6j8c95ahb2k3fdv629p6n/-FJPG/227801-009_DET_4.jpg</t>
  </si>
  <si>
    <t>https://dd3ka9h4chfr8.cloudfront.net/image/725136000567/image_sn9km2cmll42f9po1sq6fju75l/-FJPG/227801-009_DET_5.jpg</t>
  </si>
  <si>
    <t>227802-004</t>
  </si>
  <si>
    <t>Paden End Table - Aged Black Acacia</t>
  </si>
  <si>
    <t>A study in shape. Black acacia forms crescent-shaped legs and round tabletop, bringing organic presence to the living room.</t>
  </si>
  <si>
    <t>https://dd3ka9h4chfr8.cloudfront.net/image/725136000567/image_i0snlt0g496un1lk422rflvh2v/-S150x150-FJPG/227802-004_PRM_1.jpg</t>
  </si>
  <si>
    <t>https://dd3ka9h4chfr8.cloudfront.net/image/725136000567/image_f9o5o1s67d71f893h041igdk13/-FJPG/227802-004_FRT_1.jpg</t>
  </si>
  <si>
    <t>https://dd3ka9h4chfr8.cloudfront.net/image/725136000567/image_i0snlt0g496un1lk422rflvh2v/-FJPG/227802-004_PRM_1.jpg</t>
  </si>
  <si>
    <t>https://dd3ka9h4chfr8.cloudfront.net/image/725136000567/image_29umlmsn8l16fdhv6aqco1vu3i/-FJPG/227802-004_SID_1.jpg</t>
  </si>
  <si>
    <t>https://dd3ka9h4chfr8.cloudfront.net/image/725136000567/image_f3k1mq6q5d28f18i155ug7be69/-FJPG/227802-004_ESS_1.jpg</t>
  </si>
  <si>
    <t>https://dd3ka9h4chfr8.cloudfront.net/image/725136000567/image_f6q48p7u5d1jf7ql779ceqqv4c/-FJPG/227802-004_DET_2.jpg</t>
  </si>
  <si>
    <t>https://dd3ka9h4chfr8.cloudfront.net/image/725136000567/image_o1lo3un9351a19v7eqivoite3u/-FJPG/227802-004_DET_1.jpg</t>
  </si>
  <si>
    <t>https://dd3ka9h4chfr8.cloudfront.net/image/725136000567/image_6ssf5i6k494i9bbgrl4q65v64a/-FJPG/227802-004_DET_3.jpg</t>
  </si>
  <si>
    <t>https://dd3ka9h4chfr8.cloudfront.net/image/725136000567/image_uv30d482ll23b6l5ngrv6n4e6u/-FJPG/227802-004_DET_4.jpg</t>
  </si>
  <si>
    <t>Table Top</t>
  </si>
  <si>
    <t>2.95"</t>
  </si>
  <si>
    <t>5.47"</t>
  </si>
  <si>
    <t>4.04"</t>
  </si>
  <si>
    <t>227802-008</t>
  </si>
  <si>
    <t>Paden End Table - Worn Oak Veneer</t>
  </si>
  <si>
    <t>Worn oak forms crescent-shaped legs and a round tabletop, bringing a light, organic look to the living room.</t>
  </si>
  <si>
    <t>https://dd3ka9h4chfr8.cloudfront.net/image/725136000567/image_jj1v347nqt6af2hb2a7atvaa2h/-S150x150-FJPG/227802-008_PRM_1.jpg</t>
  </si>
  <si>
    <t>https://dd3ka9h4chfr8.cloudfront.net/image/725136000567/image_id54kdg8jd7otdo3qbpi2p9f6n/-FJPG/227802-008_FRT_1.jpg</t>
  </si>
  <si>
    <t>https://dd3ka9h4chfr8.cloudfront.net/image/725136000567/image_jj1v347nqt6af2hb2a7atvaa2h/-FJPG/227802-008_PRM_1.jpg</t>
  </si>
  <si>
    <t>https://dd3ka9h4chfr8.cloudfront.net/image/725136000567/image_dqpogp9f4p37pc6c45j1k8ao5q/-FJPG/227802-008_SID_1.jpg</t>
  </si>
  <si>
    <t>https://dd3ka9h4chfr8.cloudfront.net/image/725136000567/image_3e0bnrldi96bb8m76ji6m89q5t/-FJPG/227802-008_DET_2.jpg</t>
  </si>
  <si>
    <t>https://dd3ka9h4chfr8.cloudfront.net/image/725136000567/image_r4q2f1jts13r593f4hd3mft208/-FJPG/227802-008_DET_1.jpg</t>
  </si>
  <si>
    <t>https://dd3ka9h4chfr8.cloudfront.net/image/725136000567/image_ndfcdrorp90f55c8sot50nmf4n/-FJPG/227802-008_DET_3.jpg</t>
  </si>
  <si>
    <t>https://dd3ka9h4chfr8.cloudfront.net/image/725136000567/image_7748dt8hqp6kn2j7dekk6rql25/-FJPG/227802-008_TOP_1.jpg</t>
  </si>
  <si>
    <t>https://dd3ka9h4chfr8.cloudfront.net/image/725136000567/image_42ad2473a57mr1hga44r95st4c/-FJPG/227802-008_DET_4.jpg</t>
  </si>
  <si>
    <t>227825-001</t>
  </si>
  <si>
    <t>Millie Small Cabinet - Drifted Matte Black</t>
  </si>
  <si>
    <t>Black drifted oak frames lighter interior shelving for subtle but striking contrast. Glass doors allow for prized possessions to dazzle on display. Rear cutout for cord management.</t>
  </si>
  <si>
    <t>https://dd3ka9h4chfr8.cloudfront.net/image/725136000567/image_qn23llv14d1gfavmno0bbqm46q/-S150x150-FJPG/227825-001_PRM_1.jpg</t>
  </si>
  <si>
    <t>https://dd3ka9h4chfr8.cloudfront.net/image/725136000567/image_cq5ieq43s17vl9ir38nqa4c82k/-FJPG/227825-001_FRT_1.jpg</t>
  </si>
  <si>
    <t>https://dd3ka9h4chfr8.cloudfront.net/image/725136000567/image_qn23llv14d1gfavmno0bbqm46q/-FJPG/227825-001_PRM_1.jpg</t>
  </si>
  <si>
    <t>https://dd3ka9h4chfr8.cloudfront.net/image/725136000567/image_utjg7m149p08b9u0uie10pkp4o/-FJPG/227825-001_SID_1.jpg</t>
  </si>
  <si>
    <t>https://dd3ka9h4chfr8.cloudfront.net/image/725136000567/image_1gehiigib57aj9404n8v4o2451/-FJPG/227825-001_DET_2.jpg</t>
  </si>
  <si>
    <t>https://dd3ka9h4chfr8.cloudfront.net/image/725136000567/image_cdusmcj1qp6rv0agphkkv7tj1j/-FJPG/227825-001_BCK_1.jpg</t>
  </si>
  <si>
    <t>https://dd3ka9h4chfr8.cloudfront.net/image/725136000567/image_oc5ls7hsg556fegoual4beo91g/-FJPG/227825-001_DET_1.jpg</t>
  </si>
  <si>
    <t>https://dd3ka9h4chfr8.cloudfront.net/image/725136000567/image_rn8q49h49p0h365pdic4ub5104/-FJPG/227825-001_DET_3.jpg</t>
  </si>
  <si>
    <t>https://dd3ka9h4chfr8.cloudfront.net/image/725136000567/image_plj010phq96qddch0fd5h4354l/-FJPG/227825-001_OPN_1.jpg</t>
  </si>
  <si>
    <t>https://dd3ka9h4chfr8.cloudfront.net/image/725136000567/image_3ga3fpdp4l3ebf2tv6hu7he67h/-FJPG/227825-001_DET_4.jpg</t>
  </si>
  <si>
    <t>https://dd3ka9h4chfr8.cloudfront.net/image/725136000567/image_k1riaqbb4t4jp55djd6iar686u/-FJPG/227825-001_DET_5.jpg</t>
  </si>
  <si>
    <t>https://dd3ka9h4chfr8.cloudfront.net/image/725136000567/image_46e3cnjvsd155a06uvv6r4b21c/-FJPG/227825-001_DET_6.jpg</t>
  </si>
  <si>
    <t>https://dd3ka9h4chfr8.cloudfront.net/image/725136000567/image_s1r5tla0116cv2pqgb9q45tl5d/-FJPG/227825-001_DET_7.jpg</t>
  </si>
  <si>
    <t>https://dd3ka9h4chfr8.cloudfront.net/image/725136000567/image_9igpup5f9p7avffj3nn7b6kg5e/-FJPG/227825-001_VIG_1.jpg</t>
  </si>
  <si>
    <t>https://dd3ka9h4chfr8.cloudfront.net/image/725136000567/image_sgif882t2t1rf5k45bhh42j04p/-FJPG/227825-001_OPN_2.jpg</t>
  </si>
  <si>
    <t>https://dd3ka9h4chfr8.cloudfront.net/image/725136000567/image_ciu1hiak3h7c9a2gmfjupuan0p/-FJPG/227825-001_ESS_2.jpg</t>
  </si>
  <si>
    <t>33.50"</t>
  </si>
  <si>
    <t>Millie</t>
  </si>
  <si>
    <t>29.88"</t>
  </si>
  <si>
    <t>16.69"</t>
  </si>
  <si>
    <t>227862-001</t>
  </si>
  <si>
    <t>Eaton Executive Desk - Light Oak Resin</t>
  </si>
  <si>
    <t>Streamlined and stylish. Light-finished oak and contrasting resin form a fashionable executive desk with roomy cabinetry plus four total drawers for ample storage space. A modesty panel and fully finished back grant the option to style anywhere in the room.</t>
  </si>
  <si>
    <t>https://dd3ka9h4chfr8.cloudfront.net/image/725136000567/image_69c2bkacft6930h078vt9u583u/-S150x150-FJPG/227862-001_PRM_1.jpg</t>
  </si>
  <si>
    <t>https://dd3ka9h4chfr8.cloudfront.net/image/725136000567/image_palltgf1mt66tfu27q52h7851v/-FJPG/227862-001_FRT_1.jpg</t>
  </si>
  <si>
    <t>https://dd3ka9h4chfr8.cloudfront.net/image/725136000567/image_69c2bkacft6930h078vt9u583u/-FJPG/227862-001_PRM_1.jpg</t>
  </si>
  <si>
    <t>https://dd3ka9h4chfr8.cloudfront.net/image/725136000567/image_0lhu6u7h7h5dnfl5noe12b1u23/-FJPG/227862-001_SID_1.jpg</t>
  </si>
  <si>
    <t>https://dd3ka9h4chfr8.cloudfront.net/image/725136000567/image_5hq78grrg16lv1mnfcb9k6rq5k/-FJPG/227862-001_ESS_1.jpg</t>
  </si>
  <si>
    <t>https://dd3ka9h4chfr8.cloudfront.net/image/725136000567/image_mt69sga7bp19r8hklq241v3t0p/-FJPG/227862-001_DET_2.jpg</t>
  </si>
  <si>
    <t>https://dd3ka9h4chfr8.cloudfront.net/image/725136000567/image_kh0jral4e50ir79vf5ti65f53k/-FJPG/227862-001_BCK_1.jpg</t>
  </si>
  <si>
    <t>https://dd3ka9h4chfr8.cloudfront.net/image/725136000567/image_uv63qbelft63l0pr4p43m5rv18/-FJPG/227862-001_DET_1.jpg</t>
  </si>
  <si>
    <t>https://dd3ka9h4chfr8.cloudfront.net/image/725136000567/image_7vmjip5u7l2kra1oobosvhf37n/-FJPG/227862-001_DET_3.jpg</t>
  </si>
  <si>
    <t>https://dd3ka9h4chfr8.cloudfront.net/image/725136000567/image_3f4n519j0t5vt7emsfcffju82j/-FJPG/227862-001_OPN_1.jpg</t>
  </si>
  <si>
    <t>https://dd3ka9h4chfr8.cloudfront.net/image/725136000567/image_n7ri082le120dfvk8tdpq79g2n/-FJPG/227862-001_DET_4.jpg</t>
  </si>
  <si>
    <t>https://dd3ka9h4chfr8.cloudfront.net/image/725136000567/image_urotu4a2jp5r763n2so0qv4p6n/-FJPG/227862-001_DET_5.jpg</t>
  </si>
  <si>
    <t>https://dd3ka9h4chfr8.cloudfront.net/image/725136000567/image_c7o9kevj7964n663s355pc4546/-FJPG/227862-001_DET_6.jpg</t>
  </si>
  <si>
    <t>https://dd3ka9h4chfr8.cloudfront.net/image/725136000567/image_a84t6harp97a9atq1ga1p04h3t/-FJPG/227862-001_DET_7.jpg</t>
  </si>
  <si>
    <t>18.74"</t>
  </si>
  <si>
    <t>23.31"</t>
  </si>
  <si>
    <t>2.72"</t>
  </si>
  <si>
    <t>227862-002</t>
  </si>
  <si>
    <t>Eaton Executive Desk - Amber Oak Resin</t>
  </si>
  <si>
    <t>Amber oak and contrasting resin form a fashionable executive desk with roomy cabinetry plus four total drawers for ample storage space. A modesty panel and fully finished back grant the option to style anywhere in the room.</t>
  </si>
  <si>
    <t>https://dd3ka9h4chfr8.cloudfront.net/image/725136000567/image_65b3f7hktp4ep788uudi801p74/-S150x150-FJPG/227862-002_PRM_1.jpg</t>
  </si>
  <si>
    <t>https://dd3ka9h4chfr8.cloudfront.net/image/725136000567/image_d27kuj6cbt29vb7e6v93hdot32/-FJPG/227862-002_FRT_1.jpg</t>
  </si>
  <si>
    <t>https://dd3ka9h4chfr8.cloudfront.net/image/725136000567/image_65b3f7hktp4ep788uudi801p74/-FJPG/227862-002_PRM_1.jpg</t>
  </si>
  <si>
    <t>https://dd3ka9h4chfr8.cloudfront.net/image/725136000567/image_77u95ujrq91op3rtjoflabr22t/-FJPG/227862-002_SID_1.jpg</t>
  </si>
  <si>
    <t>https://dd3ka9h4chfr8.cloudfront.net/image/725136000567/image_3q3napf53d14d5mdkb3degs146/-FJPG/227862-002_ESS_1.jpg</t>
  </si>
  <si>
    <t>https://dd3ka9h4chfr8.cloudfront.net/image/725136000567/image_l8spv6sv7151jaug44mla1fh01/-FJPG/227862-002_DET_2.jpg</t>
  </si>
  <si>
    <t>https://dd3ka9h4chfr8.cloudfront.net/image/725136000567/image_1fd21li975123cm4lh1mqr7c53/-FJPG/227862-002_BCK_1.jpg</t>
  </si>
  <si>
    <t>https://dd3ka9h4chfr8.cloudfront.net/image/725136000567/image_9pk4hhc97p2n17a7jr1g31hc27/-FJPG/227862-002_DET_1.jpg</t>
  </si>
  <si>
    <t>https://dd3ka9h4chfr8.cloudfront.net/image/725136000567/image_r4a6pdlett2cva8q3birn7lo50/-FJPG/227862-002_DET_3.jpg</t>
  </si>
  <si>
    <t>https://dd3ka9h4chfr8.cloudfront.net/image/725136000567/image_13tjohlb890jv7ahs84bqnn346/-FJPG/227862-002_OPN_1.jpg</t>
  </si>
  <si>
    <t>https://dd3ka9h4chfr8.cloudfront.net/image/725136000567/image_26kela2kmp28n399g2sb7d290a/-FJPG/227862-002_DET_4.jpg</t>
  </si>
  <si>
    <t>https://dd3ka9h4chfr8.cloudfront.net/image/725136000567/image_jd9joj81jt505e34imqlgnne4b/-FJPG/227862-002_DET_5.jpg</t>
  </si>
  <si>
    <t>https://dd3ka9h4chfr8.cloudfront.net/image/725136000567/image_qgfl9p7hit3gp8p0q5bp8jet4l/-FJPG/227862-002_DET_6.jpg</t>
  </si>
  <si>
    <t>https://dd3ka9h4chfr8.cloudfront.net/image/725136000567/image_titu7ubdb50rv9o6cq9qg5o251/-FJPG/227862-002_DET_7.jpg</t>
  </si>
  <si>
    <t>227882-002</t>
  </si>
  <si>
    <t>Caroline 6 Drawer Dresser - Smoked Oak Veneer</t>
  </si>
  <si>
    <t>Made from light-smoked oak, six spacious drawers bring generous storage to the bedroom. Cradle-style base ups the intrigue. This item has been modified to comply with the STURDY Act. See a full list of modified products and data changes in the â€œSTURDY Actâ€ file in the Downloads section below.</t>
  </si>
  <si>
    <t>https://dd3ka9h4chfr8.cloudfront.net/image/725136000567/image_492hcph42l2rp7a4lvt9ed484o/-S150x150-FJPG/227882-002_PRM_1.jpg</t>
  </si>
  <si>
    <t>https://dd3ka9h4chfr8.cloudfront.net/image/725136000567/image_reslqg37jh70n2bl96327hkm5a/-FJPG/227882-002_FRT_1.jpg</t>
  </si>
  <si>
    <t>https://dd3ka9h4chfr8.cloudfront.net/image/725136000567/image_492hcph42l2rp7a4lvt9ed484o/-FJPG/227882-002_PRM_1.jpg</t>
  </si>
  <si>
    <t>https://dd3ka9h4chfr8.cloudfront.net/image/725136000567/image_s647ohg0fp69h1dc95o7i8co4j/-FJPG/227882-002_SID_1.jpg</t>
  </si>
  <si>
    <t>https://dd3ka9h4chfr8.cloudfront.net/image/725136000567/image_3sgkc45pmt7tn74qb1t8jkud6h/-FJPG/227882-002_ESS_1.jpg</t>
  </si>
  <si>
    <t>https://dd3ka9h4chfr8.cloudfront.net/image/725136000567/image_12qvctdom92u560jrpugkl0305/-FJPG/227882-002_DET_2.jpg</t>
  </si>
  <si>
    <t>https://dd3ka9h4chfr8.cloudfront.net/image/725136000567/image_83l8np6j6l6tl15sqicnpq580b/-FJPG/227882-002_BCK_1.jpg</t>
  </si>
  <si>
    <t>https://dd3ka9h4chfr8.cloudfront.net/image/725136000567/image_cu61h40k9t5974ee8cc851rc2p/-FJPG/227882-002_DET_1.jpg</t>
  </si>
  <si>
    <t>https://dd3ka9h4chfr8.cloudfront.net/image/725136000567/image_n1r2c0b0t57o99a7hn4ktkag24/-FJPG/227882-002_DET_3.jpg</t>
  </si>
  <si>
    <t>https://dd3ka9h4chfr8.cloudfront.net/image/725136000567/image_88hg5ci5450f5a4squpnkm611b/-FJPG/227882-002_OPN_1.jpg</t>
  </si>
  <si>
    <t>https://dd3ka9h4chfr8.cloudfront.net/image/725136000567/image_i8hqcd2g3d5bp2150dr5usfn6v/-FJPG/227882-002_DET_4.jpg</t>
  </si>
  <si>
    <t>https://dd3ka9h4chfr8.cloudfront.net/image/725136000567/image_ma5e1t9kd91272ovusbnuq426a/-FJPG/227882-002_DET_5.jpg</t>
  </si>
  <si>
    <t>6 Drawer Dresser</t>
  </si>
  <si>
    <t>6.22"</t>
  </si>
  <si>
    <t>29.70"</t>
  </si>
  <si>
    <t>227886-003</t>
  </si>
  <si>
    <t>Emma Bed - Knoll Sand</t>
  </si>
  <si>
    <t>Channel surfing. Upholstered with boucle-like fabric in a neutral sand, parawood legs run the height of a heavily channeled headboard, for a lengthy look with textural depth.</t>
  </si>
  <si>
    <t>https://dd3ka9h4chfr8.cloudfront.net/image/725136000567/image_v24qkkfm293vl3jouui5qo2a4c/-S150x150-FJPG/227886-003_PRM_1.jpg</t>
  </si>
  <si>
    <t>https://dd3ka9h4chfr8.cloudfront.net/image/725136000567/image_6l4lrqcj214rv1n0rq5v7idi2f/-FJPG/227886-003_FRT_1.jpg</t>
  </si>
  <si>
    <t>https://dd3ka9h4chfr8.cloudfront.net/image/725136000567/image_v24qkkfm293vl3jouui5qo2a4c/-FJPG/227886-003_PRM_1.jpg</t>
  </si>
  <si>
    <t>https://dd3ka9h4chfr8.cloudfront.net/image/725136000567/image_t9s1loucjt4p58vptkc2g7s86q/-FJPG/227886-003_SID_1.jpg</t>
  </si>
  <si>
    <t>https://dd3ka9h4chfr8.cloudfront.net/image/725136000567/image_o3rr1sl6bh1gremnq3qsisc50o/-FJPG/227886-003_ESS.tif</t>
  </si>
  <si>
    <t>https://dd3ka9h4chfr8.cloudfront.net/image/725136000567/image_1dqf4vdshp2jt8kjg75erjnt0f/-FJPG/227886-003_DET_2.jpg</t>
  </si>
  <si>
    <t>https://dd3ka9h4chfr8.cloudfront.net/image/725136000567/image_0itdms07ul5rta4s93t9gsld4h/-FJPG/227886-003_BCK_1.jpg</t>
  </si>
  <si>
    <t>https://dd3ka9h4chfr8.cloudfront.net/image/725136000567/image_oiioojggd14st7fni6025sh33s/-FJPG/227886-003_DET_1.jpg</t>
  </si>
  <si>
    <t>https://dd3ka9h4chfr8.cloudfront.net/image/725136000567/image_uu0qojb9rd67h0mhbviopo9m6r/-FJPG/227886-003_DET_3.jpg</t>
  </si>
  <si>
    <t>https://dd3ka9h4chfr8.cloudfront.net/image/725136000567/image_1a1ejplb2l69veoek3lgbo4k7f/-FJPG/227886-003_DET_4.jpg</t>
  </si>
  <si>
    <t>https://dd3ka9h4chfr8.cloudfront.net/image/725136000567/image_hfhpceqa7l0dhc03eklesis04n/-FJPG/227886-003_DET_5.jpg</t>
  </si>
  <si>
    <t>https://dd3ka9h4chfr8.cloudfront.net/image/725136000567/image_l7ed4btn091fj7tk896h39bu1q/-FJPG/227886-003_DET_6.jpg</t>
  </si>
  <si>
    <t>Slats/ Siderails</t>
  </si>
  <si>
    <t>Emma</t>
  </si>
  <si>
    <t>70.35"</t>
  </si>
  <si>
    <t>45.98"</t>
  </si>
  <si>
    <t>2.28"</t>
  </si>
  <si>
    <t>9.02"</t>
  </si>
  <si>
    <t>83.50"</t>
  </si>
  <si>
    <t>12.91"</t>
  </si>
  <si>
    <t>227886-004</t>
  </si>
  <si>
    <t>Channel surfing. A lux take on a vintage-inspired style, upholstered with boucle-like fabric in a neutral sand. Parawood legs run the height of a heavily channeled headboard, for a lengthy look with textural depth.</t>
  </si>
  <si>
    <t>https://dd3ka9h4chfr8.cloudfront.net/image/725136000567/image_fikkblh9053rf510f636pq7r65/-S150x150-FJPG/227886-004_PRM_1.jpg</t>
  </si>
  <si>
    <t>https://dd3ka9h4chfr8.cloudfront.net/image/725136000567/image_69nvv3ndud2938cgsuqdo0mr25/-FJPG/227886-004_FRT_1.jpg</t>
  </si>
  <si>
    <t>https://dd3ka9h4chfr8.cloudfront.net/image/725136000567/image_fikkblh9053rf510f636pq7r65/-FJPG/227886-004_PRM_1.jpg</t>
  </si>
  <si>
    <t>https://dd3ka9h4chfr8.cloudfront.net/image/725136000567/image_053dt3stfh3ah4921ladeluc23/-FJPG/227886-004_SID_1.jpg</t>
  </si>
  <si>
    <t>https://dd3ka9h4chfr8.cloudfront.net/image/725136000567/image_1j8f8oh3st7q911324vf5ltf2o/-FJPG/227886-004_DET_2.jpg</t>
  </si>
  <si>
    <t>https://dd3ka9h4chfr8.cloudfront.net/image/725136000567/image_krdfbgt4ud66f76r1on07n1i45/-FJPG/227886-004_BCK_1.jpg</t>
  </si>
  <si>
    <t>https://dd3ka9h4chfr8.cloudfront.net/image/725136000567/image_orlpqem5dp0c18lgdi6rtn601n/-FJPG/227886-004_DET_1.jpg</t>
  </si>
  <si>
    <t>https://dd3ka9h4chfr8.cloudfront.net/image/725136000567/image_i5654f2hut1sf7dlm3n1j6jj5t/-FJPG/227886-004_DET_3.jpg</t>
  </si>
  <si>
    <t>https://dd3ka9h4chfr8.cloudfront.net/image/725136000567/image_5fm4jrah7d2vdctqf0errp3i50/-FJPG/227886-004_DET_4.jpg</t>
  </si>
  <si>
    <t>https://dd3ka9h4chfr8.cloudfront.net/image/725136000567/image_nt52imp7u56lpb9decqv8eii32/-FJPG/227886-004_DET_5.jpg</t>
  </si>
  <si>
    <t>https://dd3ka9h4chfr8.cloudfront.net/image/725136000567/image_h4cou9l7el08b7c9rr19i8ko5j/-FJPG/227886-004_DET_6.jpg</t>
  </si>
  <si>
    <t>86.50"</t>
  </si>
  <si>
    <t>227991-002</t>
  </si>
  <si>
    <t>Colt Sleeper Sofa - Aldred Silver</t>
  </si>
  <si>
    <t>Simply styled with a convenient Queen-size pullout bed for guests. A soft cotton covering is made for comfort, with subtly flared sides for shapely effect, all grounded by a wrapped plinth base. Performance fabrics withstand spills, stains, high traffic and wear, ensuring long-term comfort and unmatched durability.</t>
  </si>
  <si>
    <t>https://dd3ka9h4chfr8.cloudfront.net/image/725136000567/image_gdderc63rd7tbagviekcd2km4q/-S150x150-FJPG/227991-002_PRM_1.jpg</t>
  </si>
  <si>
    <t>https://dd3ka9h4chfr8.cloudfront.net/image/725136000567/image_n9gcdf01p91o7b2umr6amtql3e/-FJPG/227991-002_FRT_1.jpg</t>
  </si>
  <si>
    <t>https://dd3ka9h4chfr8.cloudfront.net/image/725136000567/image_gdderc63rd7tbagviekcd2km4q/-FJPG/227991-002_PRM_1.jpg</t>
  </si>
  <si>
    <t>https://dd3ka9h4chfr8.cloudfront.net/image/725136000567/image_vn926fijel1pp15dcdtc6p0g11/-FJPG/227991-002_SID_1.jpg</t>
  </si>
  <si>
    <t>https://dd3ka9h4chfr8.cloudfront.net/image/725136000567/image_010u5fmo0d7mpatkqo4ao50746/-FJPG/227991-002_ESS_1.jpg</t>
  </si>
  <si>
    <t>https://dd3ka9h4chfr8.cloudfront.net/image/725136000567/image_bg2quauelp0kp2gqh3kkgn055p/-FJPG/227991-002_DET_2.jpg</t>
  </si>
  <si>
    <t>https://dd3ka9h4chfr8.cloudfront.net/image/725136000567/image_k6b9vk7uip5k1dr2l91gs39s2a/-FJPG/227991-002_BCK_1.jpg</t>
  </si>
  <si>
    <t>https://dd3ka9h4chfr8.cloudfront.net/image/725136000567/image_9vui7e6u0h6ulcmke7gont2e0o/-FJPG/227991-002_DET_1.jpg</t>
  </si>
  <si>
    <t>https://dd3ka9h4chfr8.cloudfront.net/image/725136000567/image_ch8jk64a8l1jd1d156gldvuc36/-FJPG/227991-002_DET_3.jpg</t>
  </si>
  <si>
    <t>https://dd3ka9h4chfr8.cloudfront.net/image/725136000567/image_cbf4t3fn5l4hpc3i8kuqgjfu4j/-FJPG/227991-002_OPN_1.jpg</t>
  </si>
  <si>
    <t>https://dd3ka9h4chfr8.cloudfront.net/image/725136000567/image_c2r7htjl5d2atc3esssroqla78/-FJPG/227991-002_DET_4.jpg</t>
  </si>
  <si>
    <t>https://dd3ka9h4chfr8.cloudfront.net/image/725136000567/image_3g2tmdv9hh2jr1hckdsgf34819/-FJPG/227991-002_DET_5.jpg</t>
  </si>
  <si>
    <t>https://dd3ka9h4chfr8.cloudfront.net/image/725136000567/image_dsbnnsu56p2tt4oeae1lfdl44g/-FJPG/227991-002_DET_6.jpg</t>
  </si>
  <si>
    <t>https://dd3ka9h4chfr8.cloudfront.net/image/725136000567/image_ilrij05pul1j5a55blrpohs87s/-FJPG/227991-002_ROM_1.jpg</t>
  </si>
  <si>
    <t>https://dd3ka9h4chfr8.cloudfront.net/image/725136000567/image_800k4t72eh1673vmjmt9u0hs45/-FJPG/227991-002_ESS_2.jpg</t>
  </si>
  <si>
    <t>https://dd3ka9h4chfr8.cloudfront.net/image/725136000567/image_930k09t28d3g3326a9cv1ctu2i/-FJPG/227991-002_OPN_2.jpg</t>
  </si>
  <si>
    <t>https://dd3ka9h4chfr8.cloudfront.net/image/725136000567/image_s4l0eh4jcl6blf9gvkah4fum0e/-FJPG/227991-002_OPN_3.jpg</t>
  </si>
  <si>
    <t>35.25"</t>
  </si>
  <si>
    <t>68.50"</t>
  </si>
  <si>
    <t>73.00"</t>
  </si>
  <si>
    <t>227991-005</t>
  </si>
  <si>
    <t>Colt Sleeper Sofa - Merino Cotton</t>
  </si>
  <si>
    <t>Simply styled with a convenient Queen-size pullout bed for guests. A soft cotton, boucle-yarn covering is made for comfort, with subtly flared sides for shapely effect, all grounded by a wrapped plinth base. Performance fabrics withstand spills, stains, high traffic and wear, ensuring long-term comfort and unmatched durability.</t>
  </si>
  <si>
    <t>https://dd3ka9h4chfr8.cloudfront.net/image/725136000567/image_meje38telt345acusl7g65r02u/-S150x150-FJPG/227991-005_PRM_1.jpg</t>
  </si>
  <si>
    <t>https://dd3ka9h4chfr8.cloudfront.net/image/725136000567/image_v64ere2te945l7tgd5fodova7o/-FJPG/227991-005_FRT_1.jpg</t>
  </si>
  <si>
    <t>https://dd3ka9h4chfr8.cloudfront.net/image/725136000567/image_meje38telt345acusl7g65r02u/-FJPG/227991-005_PRM_1.jpg</t>
  </si>
  <si>
    <t>https://dd3ka9h4chfr8.cloudfront.net/image/725136000567/image_5spjbijg6d26t94edqd97op879/-FJPG/227991-005_SID_1.jpg</t>
  </si>
  <si>
    <t>https://dd3ka9h4chfr8.cloudfront.net/image/725136000567/image_57vcm2748d7m93bp77v481de1d/-FJPG/227991-005_ESS.tif</t>
  </si>
  <si>
    <t>https://dd3ka9h4chfr8.cloudfront.net/image/725136000567/image_nkakbd48u571pfas2a7qt5pb7u/-FJPG/227991-005_DET_2.jpg</t>
  </si>
  <si>
    <t>https://dd3ka9h4chfr8.cloudfront.net/image/725136000567/image_v1f6ttfivt3ntd9aa254th6p30/-FJPG/227991-005_BCK_1.jpg</t>
  </si>
  <si>
    <t>https://dd3ka9h4chfr8.cloudfront.net/image/725136000567/image_f4d5lncjd57c9ealqfr8btdb3l/-FJPG/227991-005_INF_1.jpg</t>
  </si>
  <si>
    <t>https://dd3ka9h4chfr8.cloudfront.net/image/725136000567/image_7okin0o48p6u31l5nrip68ct77/-FJPG/227991-005_DET_1.jpg</t>
  </si>
  <si>
    <t>https://dd3ka9h4chfr8.cloudfront.net/image/725136000567/image_uhjc6utsc10pn80fsip3bbpr1j/-FJPG/227991-005_DET_3.jpg</t>
  </si>
  <si>
    <t>https://dd3ka9h4chfr8.cloudfront.net/image/725136000567/image_eun1bi6rm14r75cou8e55iir70/-FJPG/227991-005_OPN_1.jpg</t>
  </si>
  <si>
    <t>https://dd3ka9h4chfr8.cloudfront.net/image/725136000567/image_rt9t9inivd4tr7g4pbkiim7f4v/-FJPG/227991-005_DET_4.jpg</t>
  </si>
  <si>
    <t>https://dd3ka9h4chfr8.cloudfront.net/image/725136000567/image_9r9o7vjve50bt7g5g6b9j0l13v/-FJPG/227991-005_DET_5.jpg</t>
  </si>
  <si>
    <t>https://dd3ka9h4chfr8.cloudfront.net/image/725136000567/image_ht2tu80bel77l56u23u2jq364e/-FJPG/227991-005_DET_6.jpg</t>
  </si>
  <si>
    <t>https://dd3ka9h4chfr8.cloudfront.net/image/725136000567/image_v8j22ougi56lvak5ev4tfkqb2o/-FJPG/227991-005_OPN_2.jpg</t>
  </si>
  <si>
    <t>https://dd3ka9h4chfr8.cloudfront.net/image/725136000567/image_2hg2higbr97jnc2rlb1l32713f/-FJPG/227991-005_PRM_2.jpg</t>
  </si>
  <si>
    <t>https://dd3ka9h4chfr8.cloudfront.net/image/725136000567/image_5o2c7igpnl2irbb1169gkpvt1q/-FJPG/227991-005_ESS_2.tif</t>
  </si>
  <si>
    <t>https://dd3ka9h4chfr8.cloudfront.net/image/725136000567/image_ual19v292h1r58fj9ncgsi3i7e/-FJPG/227991-005_OPN_3.jpg</t>
  </si>
  <si>
    <t>228008-001</t>
  </si>
  <si>
    <t>Skye Round Dining Table - White Marble</t>
  </si>
  <si>
    <t>White Marble</t>
  </si>
  <si>
    <t>Weathered Dark Oak</t>
  </si>
  <si>
    <t>Mixed materials make for great drama. A cone-tapered base of dark, weathered oak supports a rounded tabletop of white-finished solid marble, with oak banding on the edges for thoughtful contrast.</t>
  </si>
  <si>
    <t>https://dd3ka9h4chfr8.cloudfront.net/image/725136000567/image_0529sur73d1jr7su8apvfljq77/-S150x150-FJPG/228008-001_PRM_1.jpg</t>
  </si>
  <si>
    <t>https://dd3ka9h4chfr8.cloudfront.net/image/725136000567/image_0529sur73d1jr7su8apvfljq77/-FJPG/228008-001_PRM_1.jpg</t>
  </si>
  <si>
    <t>https://dd3ka9h4chfr8.cloudfront.net/image/725136000567/image_s2jcdjpi7p4h5a5di4u42dnm36/-FJPG/228008-001_ESS_1.jpg</t>
  </si>
  <si>
    <t>https://dd3ka9h4chfr8.cloudfront.net/image/725136000567/image_fv2bibuq1d4vv34rvij67a4f21/-FJPG/228008-001_DET_2.jpg</t>
  </si>
  <si>
    <t>https://dd3ka9h4chfr8.cloudfront.net/image/725136000567/image_bsdip3nagd6l3duqatmfr9gj2p/-FJPG/228008-001_DET_1.jpg</t>
  </si>
  <si>
    <t>https://dd3ka9h4chfr8.cloudfront.net/image/725136000567/image_am7dkt75615k1cjagj9cr57t5r/-FJPG/228008-001_DET_3.jpg</t>
  </si>
  <si>
    <t>https://dd3ka9h4chfr8.cloudfront.net/image/725136000567/image_p9g20qp6kd4r14eutta3dtal63/-FJPG/228008-001_DET_4.jpg</t>
  </si>
  <si>
    <t>https://dd3ka9h4chfr8.cloudfront.net/image/725136000567/image_ttplb61rct49l6a3i9so74bi4h/-FJPG/228008-001_PRM_2.jpg</t>
  </si>
  <si>
    <t>Skye</t>
  </si>
  <si>
    <t>26.85"</t>
  </si>
  <si>
    <t>15.69"</t>
  </si>
  <si>
    <t>228012-001</t>
  </si>
  <si>
    <t>Soto 8 Drawer Dresser - Black</t>
  </si>
  <si>
    <t>Bring a clean, beautifully industrial look to the bedroom with a spacious six-drawer dresser made from black-finished iron, featuring bronzed iron hardware. This item has been modified to comply with the STURDY Act. See a full list of modified products and data changes in the â€œSTURDY Actâ€ file in the Downloads section below.</t>
  </si>
  <si>
    <t>https://dd3ka9h4chfr8.cloudfront.net/image/725136000567/image_i360kdnbql3979egoaf055i225/-S150x150-FJPG/228012-001_PRM_1.jpg</t>
  </si>
  <si>
    <t>https://dd3ka9h4chfr8.cloudfront.net/image/725136000567/image_mv0ku462r50nt8dbnlspldei3c/-FJPG/228012-001_FRT_1.jpg</t>
  </si>
  <si>
    <t>https://dd3ka9h4chfr8.cloudfront.net/image/725136000567/image_i360kdnbql3979egoaf055i225/-FJPG/228012-001_PRM_1.jpg</t>
  </si>
  <si>
    <t>https://dd3ka9h4chfr8.cloudfront.net/image/725136000567/image_sdtai7fimd5qfa4po6bmm3vh4l/-FJPG/228012-001_SID_1.jpg</t>
  </si>
  <si>
    <t>https://dd3ka9h4chfr8.cloudfront.net/image/725136000567/image_k2ifs5rbol32nd5rvlidlioi1u/-FJPG/228012-001_ESS_1.jpg</t>
  </si>
  <si>
    <t>https://dd3ka9h4chfr8.cloudfront.net/image/725136000567/image_dpmim99aap3efbpc57uqqkta12/-FJPG/228012-001_DET_2.jpg</t>
  </si>
  <si>
    <t>https://dd3ka9h4chfr8.cloudfront.net/image/725136000567/image_rvrano3tbl08h7u6pl8tbm054v/-FJPG/228012-001_BCK_1.jpg</t>
  </si>
  <si>
    <t>https://dd3ka9h4chfr8.cloudfront.net/image/725136000567/image_rif8krsko57vb7uu8etpmurs0u/-FJPG/228012-001_DET_1.jpg</t>
  </si>
  <si>
    <t>https://dd3ka9h4chfr8.cloudfront.net/image/725136000567/image_k5l7114dk94sh4ci2apn0cm61q/-FJPG/228012-001_DET_3.jpg</t>
  </si>
  <si>
    <t>https://dd3ka9h4chfr8.cloudfront.net/image/725136000567/image_h3rftcphqd6uf589s2jpp3fb5u/-FJPG/228012-001_OPN_1.jpg</t>
  </si>
  <si>
    <t>https://dd3ka9h4chfr8.cloudfront.net/image/725136000567/image_qdrt0e3bth2khffgi86rhq5a0f/-FJPG/228012-001_DET_4.jpg</t>
  </si>
  <si>
    <t>https://dd3ka9h4chfr8.cloudfront.net/image/725136000567/image_olgdcv90th19539ouvsksogs07/-FJPG/228012-001_DET_5.jpg</t>
  </si>
  <si>
    <t>https://dd3ka9h4chfr8.cloudfront.net/image/725136000567/image_2u1nf011bp2972bb06jkb8hd35/-FJPG/228012-001_DET_7.jpg</t>
  </si>
  <si>
    <t>https://dd3ka9h4chfr8.cloudfront.net/image/725136000567/image_lkh6b8t0qh11t82mq7i66lrr1b/-FJPG/228012-001_DET_8.jpg</t>
  </si>
  <si>
    <t>https://dd3ka9h4chfr8.cloudfront.net/image/725136000567/image_72jnfuo1ot48p9fc35c96omb4o/-FJPG/228012-001_VIG_2.jpg</t>
  </si>
  <si>
    <t>Soto</t>
  </si>
  <si>
    <t>15.61"</t>
  </si>
  <si>
    <t>7.52"</t>
  </si>
  <si>
    <t>10.96"</t>
  </si>
  <si>
    <t>228016-003</t>
  </si>
  <si>
    <t>Eaton Sideboard - Amber Oak Resin</t>
  </si>
  <si>
    <t>Midcentury lines and ample storage blend style and practicality in this amber oak sideboard. Gunmetal iron knobs are subtle and clean, while the piece's coordinating legs cradle the exterior cabinets and provide architectural interest.</t>
  </si>
  <si>
    <t>https://dd3ka9h4chfr8.cloudfront.net/image/725136000567/image_pvd3k2d6jt5c51q9qe83hd0v5g/-S150x150-FJPG/228016-003_PRM_1.jpg</t>
  </si>
  <si>
    <t>https://dd3ka9h4chfr8.cloudfront.net/image/725136000567/image_vsiavoh3cl6ud96n68deq9i70u/-FJPG/228016-003_FRT_1.jpg</t>
  </si>
  <si>
    <t>https://dd3ka9h4chfr8.cloudfront.net/image/725136000567/image_pvd3k2d6jt5c51q9qe83hd0v5g/-FJPG/228016-003_PRM_1.jpg</t>
  </si>
  <si>
    <t>https://dd3ka9h4chfr8.cloudfront.net/image/725136000567/image_tvvj6ftmp54114aievs7uprg07/-FJPG/228016-003_SID_1.jpg</t>
  </si>
  <si>
    <t>https://dd3ka9h4chfr8.cloudfront.net/image/725136000567/image_30s2d6bq2t5h3665b8b3jemo1c/-FJPG/228016-003_ESS_1.jpg</t>
  </si>
  <si>
    <t>https://dd3ka9h4chfr8.cloudfront.net/image/725136000567/image_4mf3rq4lmh6gp8ab68bj260m2s/-FJPG/228016-003_DET_2.jpg</t>
  </si>
  <si>
    <t>https://dd3ka9h4chfr8.cloudfront.net/image/725136000567/image_d638868s3d58n79jnka91ot16n/-FJPG/228016-003_BCK_1.jpg</t>
  </si>
  <si>
    <t>https://dd3ka9h4chfr8.cloudfront.net/image/725136000567/image_9ohcu448c500j3v4541aju8a4v/-FJPG/228016-003_DET_1.jpg</t>
  </si>
  <si>
    <t>https://dd3ka9h4chfr8.cloudfront.net/image/725136000567/image_4gc96uqtpd7fl5h8vskh4p5s3r/-FJPG/228016-003_DET_3.jpg</t>
  </si>
  <si>
    <t>https://dd3ka9h4chfr8.cloudfront.net/image/725136000567/image_copk6n5ggl69rdgjun0b0gjc7l/-FJPG/228016-003_OPN_1.jpg</t>
  </si>
  <si>
    <t>https://dd3ka9h4chfr8.cloudfront.net/image/725136000567/image_pbhthn7qp90tr446js4mook538/-FJPG/228016-003_DET_4.jpg</t>
  </si>
  <si>
    <t>https://dd3ka9h4chfr8.cloudfront.net/image/725136000567/image_glm40b534h7dd41f34u4f16v08/-FJPG/228016-003_DET_5.jpg</t>
  </si>
  <si>
    <t>https://dd3ka9h4chfr8.cloudfront.net/image/725136000567/image_o74qj8qlil1q15f8tc92pc8v3l/-FJPG/228016-003_DET_6.jpg</t>
  </si>
  <si>
    <t>https://dd3ka9h4chfr8.cloudfront.net/image/725136000567/image_utgjvrqedt0gd3bj1v14rvc806/-FJPG/228016-003_DET_7.jpg</t>
  </si>
  <si>
    <t>https://dd3ka9h4chfr8.cloudfront.net/image/725136000567/image_jnrc8dm0790mr62ua1h9v80r7g/-FJPG/228016-003_DET_8.jpg</t>
  </si>
  <si>
    <t>35.67"</t>
  </si>
  <si>
    <t>Barrister</t>
  </si>
  <si>
    <t>228128-002</t>
  </si>
  <si>
    <t>Toli End Table - Italian White Marble</t>
  </si>
  <si>
    <t>Italian White Marble</t>
  </si>
  <si>
    <t>Rustic Grey</t>
  </si>
  <si>
    <t>Mixed materials make the table. Finished in a rustic grey, thick-cut oak forms a chunky pedestal base for a rounded tabletop of white Italian marble, with beautifully subtle natural veining. Designed in partnership with longtime Four Hands collaborator Thomas Bina and Brazilian designer Ronald Sasson.</t>
  </si>
  <si>
    <t>https://dd3ka9h4chfr8.cloudfront.net/image/725136000567/image_4cfatjprlh0pj20j6gt5043b22/-S150x150-FJPG/228128-002_PRM_1.jpg</t>
  </si>
  <si>
    <t>https://dd3ka9h4chfr8.cloudfront.net/image/725136000567/image_r7iv3o9eol7v72aqt6lp56m57o/-FJPG/228128-002_FRT_1.jpg</t>
  </si>
  <si>
    <t>https://dd3ka9h4chfr8.cloudfront.net/image/725136000567/image_4cfatjprlh0pj20j6gt5043b22/-FJPG/228128-002_PRM_1.jpg</t>
  </si>
  <si>
    <t>https://dd3ka9h4chfr8.cloudfront.net/image/725136000567/image_burb1eivn159leaotp532e3g7u/-FJPG/228128-002_SID_1.jpg</t>
  </si>
  <si>
    <t>https://dd3ka9h4chfr8.cloudfront.net/image/725136000567/image_lvd2mnlqlh329ess1tvu0no343/-FJPG/228128-002_ESS.tif</t>
  </si>
  <si>
    <t>https://dd3ka9h4chfr8.cloudfront.net/image/725136000567/image_0svvsjcael4h56q8dkhh30742u/-FJPG/228128-002_DET_2.jpg</t>
  </si>
  <si>
    <t>https://dd3ka9h4chfr8.cloudfront.net/image/725136000567/image_vudvnc3sjd6h38ndu1h4gv113a/-FJPG/228128-002_DET_1.jpg</t>
  </si>
  <si>
    <t>https://dd3ka9h4chfr8.cloudfront.net/image/725136000567/image_i9p1idb84t66p94bh36fedg404/-FJPG/228128-002_DET_3.jpg</t>
  </si>
  <si>
    <t>https://dd3ka9h4chfr8.cloudfront.net/image/725136000567/image_7bv3es3hk54bf6kl3munb7gb3p/-FJPG/228128-002_DET_4.jpg</t>
  </si>
  <si>
    <t>https://dd3ka9h4chfr8.cloudfront.net/image/725136000567/image_5b11b7vcp536jem946o07tkk3g/-FJPG/228128-002_DET_9.tif</t>
  </si>
  <si>
    <t>https://dd3ka9h4chfr8.cloudfront.net/image/725136000567/image_6jgh4chbg513fb3jakb4hgjq7k/-FJPG/228128-002_VIG_1.jpg</t>
  </si>
  <si>
    <t>https://dd3ka9h4chfr8.cloudfront.net/image/725136000567/image_4nfim0l8rp4ip1km67s905vq4h/-FJPG/228128-002_ESS_2.jpg</t>
  </si>
  <si>
    <t>Toli</t>
  </si>
  <si>
    <t>19.57"</t>
  </si>
  <si>
    <t>228235-001</t>
  </si>
  <si>
    <t>Perrin Sideboard - Rustic Fawn Veneer</t>
  </si>
  <si>
    <t>Made from solid oak and oak veneer, visible knots and graining play up the natural beauty of this spacious sideboard, with adjustable interior shelving for ease. Magnetic door closures plus four rear cutouts for cord management. Designed in partnership with longtime Four Hands collaborator Thomas Bina and Brazilian designer Ronald Sasson.</t>
  </si>
  <si>
    <t>https://dd3ka9h4chfr8.cloudfront.net/image/725136000567/image_uml7agngjh04l1mmkhoq56p17n/-S150x150-FJPG/228235-001_PRM_1.jpg</t>
  </si>
  <si>
    <t>https://dd3ka9h4chfr8.cloudfront.net/image/725136000567/image_337es8uhhd5rpblbrqqcndnd08/-FJPG/228235-001_FRT_1.jpg</t>
  </si>
  <si>
    <t>https://dd3ka9h4chfr8.cloudfront.net/image/725136000567/image_uml7agngjh04l1mmkhoq56p17n/-FJPG/228235-001_PRM_1.jpg</t>
  </si>
  <si>
    <t>https://dd3ka9h4chfr8.cloudfront.net/image/725136000567/image_l4tobgrifd1ffd38gkv0ensk5f/-FJPG/228235-001_SID_1.jpg</t>
  </si>
  <si>
    <t>https://dd3ka9h4chfr8.cloudfront.net/image/725136000567/image_8lrmicc3ap2q93116s8ilr745u/-FJPG/228235-001_ESS_1.jpg</t>
  </si>
  <si>
    <t>https://dd3ka9h4chfr8.cloudfront.net/image/725136000567/image_l57ibsfgkl6d56tbhpb5gbn75k/-FJPG/228235-001_DET_2.jpg</t>
  </si>
  <si>
    <t>https://dd3ka9h4chfr8.cloudfront.net/image/725136000567/image_ukh3mgbi517or0nt9dpdtrtl19/-FJPG/228235-001_BCK_1.jpg</t>
  </si>
  <si>
    <t>https://dd3ka9h4chfr8.cloudfront.net/image/725136000567/image_4damh0fgvp6cbfpercg13kn732/-FJPG/228235-001_DET_1.jpg</t>
  </si>
  <si>
    <t>https://dd3ka9h4chfr8.cloudfront.net/image/725136000567/image_61seq1sl355ht7epl7vq773g74/-FJPG/228235-001_DET_3.jpg</t>
  </si>
  <si>
    <t>https://dd3ka9h4chfr8.cloudfront.net/image/725136000567/image_1ne7ts8sq50133kv4ljuvu0s0j/-FJPG/228235-001_OPN_1.jpg</t>
  </si>
  <si>
    <t>https://dd3ka9h4chfr8.cloudfront.net/image/725136000567/image_ushe1mrio52t35avrvl0puh35h/-FJPG/228235-001_DET_4.jpg</t>
  </si>
  <si>
    <t>https://dd3ka9h4chfr8.cloudfront.net/image/725136000567/image_forna9k40d2l94h1l9slpidc27/-FJPG/228235-001_DET_5.jpg</t>
  </si>
  <si>
    <t>1item/Box</t>
  </si>
  <si>
    <t>17.74"</t>
  </si>
  <si>
    <t>28.39"</t>
  </si>
  <si>
    <t>34.72"</t>
  </si>
  <si>
    <t>228290-001</t>
  </si>
  <si>
    <t>Chloe Swivel Chair - Delta Bisque</t>
  </si>
  <si>
    <t>Delta Bisque</t>
  </si>
  <si>
    <t>97% Olefin</t>
  </si>
  <si>
    <t>3% Polyester</t>
  </si>
  <si>
    <t>Neutral performance fabric covers a dramatic U shape for a sink-in sit. Throw pillows add a touch of comfort to this 360-degree swivel chair. Performance fabrics are specially created to withstand spills, stains, high traffic and wear, ensuring long-term comfort and unmatched durability.</t>
  </si>
  <si>
    <t>https://dd3ka9h4chfr8.cloudfront.net/image/725136000567/image_5fvprsghot7qvcv0fpu1lum93e/-S150x150-FJPG/228290-001_PRM_1.jpg</t>
  </si>
  <si>
    <t>https://dd3ka9h4chfr8.cloudfront.net/image/725136000567/image_0tur720tvl4eb3ska5p6lep57i/-FJPG/228290-001_FRT_1.jpg</t>
  </si>
  <si>
    <t>https://dd3ka9h4chfr8.cloudfront.net/image/725136000567/image_5fvprsghot7qvcv0fpu1lum93e/-FJPG/228290-001_PRM_1.jpg</t>
  </si>
  <si>
    <t>https://dd3ka9h4chfr8.cloudfront.net/image/725136000567/image_4osu8pam0h21r2qj49ddeve104/-FJPG/228290-001_SID_1.jpg</t>
  </si>
  <si>
    <t>https://dd3ka9h4chfr8.cloudfront.net/image/725136000567/image_0prhg6k88d7etfetg9q0df3s2e/-FJPG/228290-001_ESS.tif</t>
  </si>
  <si>
    <t>https://dd3ka9h4chfr8.cloudfront.net/image/725136000567/image_vh472m4n590oj7t5d2il58vn5v/-FJPG/228290-001_DET_2.jpg</t>
  </si>
  <si>
    <t>https://dd3ka9h4chfr8.cloudfront.net/image/725136000567/image_ci3g3ti7v154d81kkhf2k8uk1i/-FJPG/228290-001_BCK_1.jpg</t>
  </si>
  <si>
    <t>https://dd3ka9h4chfr8.cloudfront.net/image/725136000567/image_6frqtvb6t955rambrremup8q4m/-FJPG/228290-001_INF_1.jpg</t>
  </si>
  <si>
    <t>https://dd3ka9h4chfr8.cloudfront.net/image/725136000567/image_e7k1vs4g5d7nhfodjmv9j0ri6n/-FJPG/228290-001_DET_1.jpg</t>
  </si>
  <si>
    <t>https://dd3ka9h4chfr8.cloudfront.net/image/725136000567/image_ceue1tdv3p2c5a7mesgj9jpj2d/-FJPG/228290-001_DET_3.jpg</t>
  </si>
  <si>
    <t>https://dd3ka9h4chfr8.cloudfront.net/image/725136000567/image_u6i9cf7g0p5dp523bi85hdp76a/-FJPG/228290-001_DET_4.jpg</t>
  </si>
  <si>
    <t>https://dd3ka9h4chfr8.cloudfront.net/image/725136000567/image_p3ppv81ep564farcta8pkc1h2b/-FJPG/228290-001_DET_5.jpg</t>
  </si>
  <si>
    <t>https://dd3ka9h4chfr8.cloudfront.net/image/725136000567/image_5ei0dg3me90pnfp654hkm0ps0p/-FJPG/228290-001_DET_6.jpg</t>
  </si>
  <si>
    <t>https://dd3ka9h4chfr8.cloudfront.net/image/725136000567/image_i7esf1nm3912dauqs7p6lb6j1p/-FJPG/228290-001_DET_9.tif</t>
  </si>
  <si>
    <t>228290-005</t>
  </si>
  <si>
    <t>Chloe Swivel Chair - Ivan Granite</t>
  </si>
  <si>
    <t>Ivan Granite</t>
  </si>
  <si>
    <t>60% Acrylic</t>
  </si>
  <si>
    <t>33% Cotton</t>
  </si>
  <si>
    <t>7% Polyester</t>
  </si>
  <si>
    <t>High-texture cotton-blend upholstery covers the smooth curves of this welcoming chair, with throw pillows and a 360-degree swivel.</t>
  </si>
  <si>
    <t>https://dd3ka9h4chfr8.cloudfront.net/image/725136000567/image_cmfk5noodp5e10v4057bnbkv36/-S150x150-FJPG/228290-005_PRM_1.jpg</t>
  </si>
  <si>
    <t>https://dd3ka9h4chfr8.cloudfront.net/image/725136000567/image_4nhr16rfpl3r770ajtht2rn74n/-FJPG/228290-005_FRT_1.jpg</t>
  </si>
  <si>
    <t>https://dd3ka9h4chfr8.cloudfront.net/image/725136000567/image_cmfk5noodp5e10v4057bnbkv36/-FJPG/228290-005_PRM_1.jpg</t>
  </si>
  <si>
    <t>https://dd3ka9h4chfr8.cloudfront.net/image/725136000567/image_clgojsio295l38u8kjvci8u348/-FJPG/228290-005_SID_1.jpg</t>
  </si>
  <si>
    <t>https://dd3ka9h4chfr8.cloudfront.net/image/725136000567/image_jmq88p8us1265ed91iho66dj40/-FJPG/228290-005_ESS.tif</t>
  </si>
  <si>
    <t>https://dd3ka9h4chfr8.cloudfront.net/image/725136000567/image_4ugcn14p2t6f1ei3g021ntgt3j/-FJPG/228290-005_DET_2.jpg</t>
  </si>
  <si>
    <t>https://dd3ka9h4chfr8.cloudfront.net/image/725136000567/image_9m190qd4lh0sv9ohvscp91vi5u/-FJPG/228290-005_BCK_1.jpg</t>
  </si>
  <si>
    <t>https://dd3ka9h4chfr8.cloudfront.net/image/725136000567/image_sj29f1nkf90br3373mdaljqb4t/-FJPG/228290-005_DET_1.jpg</t>
  </si>
  <si>
    <t>https://dd3ka9h4chfr8.cloudfront.net/image/725136000567/image_dasfllsrrh6kv52rf3lj9pan0u/-FJPG/228290-005_DET_3.jpg</t>
  </si>
  <si>
    <t>https://dd3ka9h4chfr8.cloudfront.net/image/725136000567/image_agnkfhpvm566dc70ts78viu83d/-FJPG/228290-005_DET_4.jpg</t>
  </si>
  <si>
    <t>https://dd3ka9h4chfr8.cloudfront.net/image/725136000567/image_rfcf5cmhk14gh4vd0qsdp5pl6q/-FJPG/228290-005_DET_5.jpg</t>
  </si>
  <si>
    <t>https://dd3ka9h4chfr8.cloudfront.net/image/725136000567/image_mef331ep6d0vhe7ci32g0cpt6h/-FJPG/228290-005_DET_6.jpg</t>
  </si>
  <si>
    <t>https://dd3ka9h4chfr8.cloudfront.net/image/725136000567/image_honfoqjusl5t16qoltbj3pm868/-FJPG/228290-005_DET_7.jpg</t>
  </si>
  <si>
    <t>https://dd3ka9h4chfr8.cloudfront.net/image/725136000567/image_u35hdt91eh5s1dekl9btphn327/-FJPG/228290-005_DET_9.tif</t>
  </si>
  <si>
    <t>228295-001</t>
  </si>
  <si>
    <t>Zuma Sideboard - Dune Ash Veneer</t>
  </si>
  <si>
    <t>Dune Ash Veneer</t>
  </si>
  <si>
    <t>Natural Paper Cord</t>
  </si>
  <si>
    <t>Rush</t>
  </si>
  <si>
    <t>Simple yet refined, a Danish design-influenced sideboard is made from solid ash, with iron hardware finished in a sleek gunmetal. Stretcher-style shelving made from woven paper cord serves up a textural finishing touch.</t>
  </si>
  <si>
    <t>https://dd3ka9h4chfr8.cloudfront.net/image/725136000567/image_7v0hsh9ru519p5b7marf9pqo5k/-S150x150-FJPG/228295-001_PRM_1.jpg</t>
  </si>
  <si>
    <t>https://dd3ka9h4chfr8.cloudfront.net/image/725136000567/image_qnhc0b6sg97h1addr9mi3v3i3v/-FJPG/228295-001_FRT_1.jpg</t>
  </si>
  <si>
    <t>https://dd3ka9h4chfr8.cloudfront.net/image/725136000567/image_7v0hsh9ru519p5b7marf9pqo5k/-FJPG/228295-001_PRM_1.jpg</t>
  </si>
  <si>
    <t>https://dd3ka9h4chfr8.cloudfront.net/image/725136000567/image_ar9v1m1l7d2lj7lu3aff2e9j61/-FJPG/228295-001_SID_1.jpg</t>
  </si>
  <si>
    <t>https://dd3ka9h4chfr8.cloudfront.net/image/725136000567/image_90hhkdknah07haihdrbdlci957/-FJPG/228295-001_ESS_1.jpg</t>
  </si>
  <si>
    <t>https://dd3ka9h4chfr8.cloudfront.net/image/725136000567/image_pap7flqol11tn2r1n1m8imlc7l/-FJPG/228295-001_DET_2.jpg</t>
  </si>
  <si>
    <t>https://dd3ka9h4chfr8.cloudfront.net/image/725136000567/image_v09u3v7c0h7un09o5h4d0inu44/-FJPG/228295-001_BCK_1.jpg</t>
  </si>
  <si>
    <t>https://dd3ka9h4chfr8.cloudfront.net/image/725136000567/image_53430749ip1tb8nhpglasicv41/-FJPG/228295-001_DET_1.jpg</t>
  </si>
  <si>
    <t>https://dd3ka9h4chfr8.cloudfront.net/image/725136000567/image_aut2v0gga91214h7j9ab1cdm38/-FJPG/228295-001_DET_3.jpg</t>
  </si>
  <si>
    <t>https://dd3ka9h4chfr8.cloudfront.net/image/725136000567/image_tu7kj7iki11r38hh59ulcbj660/-FJPG/228295-001_OPN_1.jpg</t>
  </si>
  <si>
    <t>https://dd3ka9h4chfr8.cloudfront.net/image/725136000567/image_39otbsfpvl5jr8i6aq8a1b0j0d/-FJPG/228295-001_DET_4.jpg</t>
  </si>
  <si>
    <t>https://dd3ka9h4chfr8.cloudfront.net/image/725136000567/image_bt85vav9a97krbq067a3t6mc4c/-FJPG/228295-001_DET_5.jpg</t>
  </si>
  <si>
    <t>https://dd3ka9h4chfr8.cloudfront.net/image/725136000567/image_a59keapt0d089d1ar0q93uc83b/-FJPG/228295-001_DET_6.jpg</t>
  </si>
  <si>
    <t>1.30"</t>
  </si>
  <si>
    <t>71.89"</t>
  </si>
  <si>
    <t>34.69"</t>
  </si>
  <si>
    <t>Zuma</t>
  </si>
  <si>
    <t>17.95"</t>
  </si>
  <si>
    <t>17.15"</t>
  </si>
  <si>
    <t>6.14"</t>
  </si>
  <si>
    <t>228346-001</t>
  </si>
  <si>
    <t>Eaton Drum Coffee Table - Light Oak Resin</t>
  </si>
  <si>
    <t>A slight cradle base of gunmetal-finished iron supports a beautifully rounded coffee table shaped from thick oak veneer. For a rich, one-of-a-kind look, black resin fills woods' natural cracks and graining. A subtle variance of resin placement and amount is to be expected, and reflective of materials' character-rich roots.</t>
  </si>
  <si>
    <t>https://dd3ka9h4chfr8.cloudfront.net/image/725136000567/image_6fee2hct9h4o39eqi2ppsif46s/-S150x150-FJPG/228346-001_PRM_1.jpg</t>
  </si>
  <si>
    <t>https://dd3ka9h4chfr8.cloudfront.net/image/725136000567/image_vqois717pl0nv56qr5825mjh4c/-FJPG/228346-001_FRT_1.jpg</t>
  </si>
  <si>
    <t>https://dd3ka9h4chfr8.cloudfront.net/image/725136000567/image_6fee2hct9h4o39eqi2ppsif46s/-FJPG/228346-001_PRM_1.jpg</t>
  </si>
  <si>
    <t>https://dd3ka9h4chfr8.cloudfront.net/image/725136000567/image_iq5uosa0t94sh0njf8lekofj7h/-FJPG/228346-001_DET_2.jpg</t>
  </si>
  <si>
    <t>https://dd3ka9h4chfr8.cloudfront.net/image/725136000567/image_2tibuflk6t2knaom55rm73kj35/-FJPG/228346-001_DET_1.jpg</t>
  </si>
  <si>
    <t>https://dd3ka9h4chfr8.cloudfront.net/image/725136000567/image_526slfq3rt4756rgcbolc4834l/-FJPG/228346-001_DET_3.jpg</t>
  </si>
  <si>
    <t>https://dd3ka9h4chfr8.cloudfront.net/image/725136000567/image_8ism6ouan50lb8b4gpf2sfj40m/-FJPG/228346-001_DET_4.jpg</t>
  </si>
  <si>
    <t>https://dd3ka9h4chfr8.cloudfront.net/image/725136000567/image_mu5m84p4ld3ejbm9f83itnpo56/-FJPG/228346-001_DET_5.jpg</t>
  </si>
  <si>
    <t>https://dd3ka9h4chfr8.cloudfront.net/image/725136000567/image_takqjnr7bd6gfbv81fe84ulj0r/-FJPG/228346-001_VIG_1.jpg</t>
  </si>
  <si>
    <t>https://dd3ka9h4chfr8.cloudfront.net/image/725136000567/image_kugarr76gh2mrbcju9be0vko0p/-FJPG/228346-001_ESS.tif</t>
  </si>
  <si>
    <t>19.74"</t>
  </si>
  <si>
    <t>9.96"</t>
  </si>
  <si>
    <t>228349-002</t>
  </si>
  <si>
    <t>Eaton Media - Amber Oak Resin</t>
  </si>
  <si>
    <t>Framed by slim iron finished in a dark gunmetal, amber oak and contrasting resin form a modern media console.</t>
  </si>
  <si>
    <t>https://dd3ka9h4chfr8.cloudfront.net/image/725136000567/image_flcgnf96q9621fte4d22uv0b2l/-S150x150-FJPG/228349-002_PRM_1.jpg</t>
  </si>
  <si>
    <t>https://dd3ka9h4chfr8.cloudfront.net/image/725136000567/image_0ko7pr6rnd6ql127ml883o647c/-FJPG/228349-002_FRT_1.jpg</t>
  </si>
  <si>
    <t>https://dd3ka9h4chfr8.cloudfront.net/image/725136000567/image_flcgnf96q9621fte4d22uv0b2l/-FJPG/228349-002_PRM_1.jpg</t>
  </si>
  <si>
    <t>https://dd3ka9h4chfr8.cloudfront.net/image/725136000567/image_hace7rsj1p4o788lnobr1mkr66/-FJPG/228349-002_SID_1.jpg</t>
  </si>
  <si>
    <t>https://dd3ka9h4chfr8.cloudfront.net/image/725136000567/image_uqoh4jn84d7ale922cigtg2j10/-FJPG/228349-002_ESS_1.jpg</t>
  </si>
  <si>
    <t>https://dd3ka9h4chfr8.cloudfront.net/image/725136000567/image_3vhps776h5333528lhun2ia47q/-FJPG/228349-002_DET_2.jpg</t>
  </si>
  <si>
    <t>https://dd3ka9h4chfr8.cloudfront.net/image/725136000567/image_pmt1dd7iep5qhbk8932uhh5s6q/-FJPG/228349-002_BCK_1.jpg</t>
  </si>
  <si>
    <t>https://dd3ka9h4chfr8.cloudfront.net/image/725136000567/image_ba7v4579up5bbbcd7u3helj57q/-FJPG/228349-002_DET_1.jpg</t>
  </si>
  <si>
    <t>https://dd3ka9h4chfr8.cloudfront.net/image/725136000567/image_g9mo6cnn1l2trann39oms62535/-FJPG/228349-002_DET_3.jpg</t>
  </si>
  <si>
    <t>https://dd3ka9h4chfr8.cloudfront.net/image/725136000567/image_oepchkdvsl1e1c8d9tdqom8r5j/-FJPG/228349-002_OPN_1.jpg</t>
  </si>
  <si>
    <t>https://dd3ka9h4chfr8.cloudfront.net/image/725136000567/image_u4e0n87vnh0q3bkagibtkkb66q/-FJPG/228349-002_DET_4.jpg</t>
  </si>
  <si>
    <t>https://dd3ka9h4chfr8.cloudfront.net/image/725136000567/image_l67d3ftk3t0or4a3812301eu6f/-FJPG/228349-002_DET_5.jpg</t>
  </si>
  <si>
    <t>https://dd3ka9h4chfr8.cloudfront.net/image/725136000567/image_0olq3i3s2t051cvgmlmjr3kf5v/-FJPG/228349-002_DET_6.jpg</t>
  </si>
  <si>
    <t>https://dd3ka9h4chfr8.cloudfront.net/image/725136000567/image_6qpbe2ese124vdulbldu3p7b6n/-FJPG/228349-002_DET_7.jpg</t>
  </si>
  <si>
    <t>https://dd3ka9h4chfr8.cloudfront.net/image/725136000567/image_llhi7qdshd4fd5h3vse4cg2n6h/-FJPG/228349-002_ESS_2.jpg</t>
  </si>
  <si>
    <t>16.10"</t>
  </si>
  <si>
    <t>228437-001</t>
  </si>
  <si>
    <t>Liza Bed - Vintage Natural</t>
  </si>
  <si>
    <t>Grass Roots</t>
  </si>
  <si>
    <t>Vintage Natural</t>
  </si>
  <si>
    <t>Toasted Sungkai</t>
  </si>
  <si>
    <t>100% Polyethylene</t>
  </si>
  <si>
    <t>Solid Sungkai</t>
  </si>
  <si>
    <t>Mixed materials play up the Safari-style inspiration of this beautifully balanced bed. Framed in solid sungkai wood and woven with durable faux rattan for long-lasting appeal.</t>
  </si>
  <si>
    <t>https://dd3ka9h4chfr8.cloudfront.net/image/725136000567/image_4frlvpe33t4lt3fjiec09mpb3m/-S150x150-FJPG/228437-001_PRM_1.jpg</t>
  </si>
  <si>
    <t>https://dd3ka9h4chfr8.cloudfront.net/image/725136000567/image_1iag8t76h961r7hn9podq0k34q/-FJPG/228437-001_FRT_1.jpg</t>
  </si>
  <si>
    <t>https://dd3ka9h4chfr8.cloudfront.net/image/725136000567/image_4frlvpe33t4lt3fjiec09mpb3m/-FJPG/228437-001_PRM_1.jpg</t>
  </si>
  <si>
    <t>https://dd3ka9h4chfr8.cloudfront.net/image/725136000567/image_704nk0ncup2gf4h68nc7tmhh47/-FJPG/228437-001_SID_1.jpg</t>
  </si>
  <si>
    <t>https://dd3ka9h4chfr8.cloudfront.net/image/725136000567/image_t505d4pp596jj1enhk9e0u9i38/-FJPG/228437-001_ESS_1.jpg</t>
  </si>
  <si>
    <t>https://dd3ka9h4chfr8.cloudfront.net/image/725136000567/image_tpeecu53qh7rne9fnjt8cvf25g/-FJPG/228437-001_DET_2.jpg</t>
  </si>
  <si>
    <t>https://dd3ka9h4chfr8.cloudfront.net/image/725136000567/image_v8q8htbq9p3fv2jc7j4dnbna4e/-FJPG/228437-001_BCK_1.jpg</t>
  </si>
  <si>
    <t>https://dd3ka9h4chfr8.cloudfront.net/image/725136000567/image_ibm2f3chvd2g54aqmlm3l0f51c/-FJPG/228437-001_DET_1.jpg</t>
  </si>
  <si>
    <t>https://dd3ka9h4chfr8.cloudfront.net/image/725136000567/image_e8lil6v2td71je0smrkvu35h5s/-FJPG/228437-001_DET_3.jpg</t>
  </si>
  <si>
    <t>https://dd3ka9h4chfr8.cloudfront.net/image/725136000567/image_fhr4hf5gld6cf7g92g8t4rte5c/-FJPG/228437-001_DET_4.jpg</t>
  </si>
  <si>
    <t>https://dd3ka9h4chfr8.cloudfront.net/image/725136000567/image_f89aad276t5ul5dna8sqqmg974/-FJPG/228437-001_DET_5.jpg</t>
  </si>
  <si>
    <t>https://dd3ka9h4chfr8.cloudfront.net/image/725136000567/image_alf1blsh656jhbvq9peftmpj0j/-FJPG/228437-001_DET_6.jpg</t>
  </si>
  <si>
    <t>https://dd3ka9h4chfr8.cloudfront.net/image/725136000567/image_2le9ajrp85543crf5rj981db3n/-FJPG/228437-001_DET_7.jpg</t>
  </si>
  <si>
    <t>https://dd3ka9h4chfr8.cloudfront.net/image/725136000567/image_8vv5bs7st9335d4g2tdf16bc20/-FJPG/228437-001_SID_2.jpg</t>
  </si>
  <si>
    <t>https://dd3ka9h4chfr8.cloudfront.net/image/725136000567/image_dl8ln6c8kh23hdh2b5jkqd0k23/-FJPG/228437-001_PRM_2.jpg</t>
  </si>
  <si>
    <t>https://dd3ka9h4chfr8.cloudfront.net/image/725136000567/image_qjgtk9n6s179v89g39ahp5462f/-FJPG/228437-001_FRT_2.jpg</t>
  </si>
  <si>
    <t>Sideralis &amp; Slats</t>
  </si>
  <si>
    <t>Liza</t>
  </si>
  <si>
    <t>64.50"</t>
  </si>
  <si>
    <t>3.25"</t>
  </si>
  <si>
    <t>228437-002</t>
  </si>
  <si>
    <t>https://dd3ka9h4chfr8.cloudfront.net/image/725136000567/image_qba061vj594at15j1se4l9bm0a/-S150x150-FJPG/228437-002_PRM_1.jpg</t>
  </si>
  <si>
    <t>https://dd3ka9h4chfr8.cloudfront.net/image/725136000567/image_o0km8gnglh55b3k4raem39im0o/-FJPG/228437-002_FRT_1.jpg</t>
  </si>
  <si>
    <t>https://dd3ka9h4chfr8.cloudfront.net/image/725136000567/image_qba061vj594at15j1se4l9bm0a/-FJPG/228437-002_PRM_1.jpg</t>
  </si>
  <si>
    <t>https://dd3ka9h4chfr8.cloudfront.net/image/725136000567/image_37hpu6otrl5bh4nqmpm8mpgf4v/-FJPG/228437-002_SID_1.jpg</t>
  </si>
  <si>
    <t>https://dd3ka9h4chfr8.cloudfront.net/image/725136000567/image_9fo1o0q6fp29d46n6c3ta6ls4j/-FJPG/228437-002_DET_2.jpg</t>
  </si>
  <si>
    <t>https://dd3ka9h4chfr8.cloudfront.net/image/725136000567/image_dmo0cdmrsp4franpi7c2i4jo7u/-FJPG/228437-002_BCK_1.jpg</t>
  </si>
  <si>
    <t>https://dd3ka9h4chfr8.cloudfront.net/image/725136000567/image_us9qdnrell6ip6euk98c25iq11/-FJPG/228437-002_DET_1.jpg</t>
  </si>
  <si>
    <t>https://dd3ka9h4chfr8.cloudfront.net/image/725136000567/image_jltddhsrvl3lvdrnvkvbej174t/-FJPG/228437-002_DET_3.jpg</t>
  </si>
  <si>
    <t>https://dd3ka9h4chfr8.cloudfront.net/image/725136000567/image_j1m1f9na3547pf0km6pnlleh0t/-FJPG/228437-002_DET_4.jpg</t>
  </si>
  <si>
    <t>https://dd3ka9h4chfr8.cloudfront.net/image/725136000567/image_7ptobqpbrd3u53b8b5j002rv2c/-FJPG/228437-002_DET_5.jpg</t>
  </si>
  <si>
    <t>https://dd3ka9h4chfr8.cloudfront.net/image/725136000567/image_nral31o7vl76f8mkr0dt5lof1j/-FJPG/228437-002_DET_6.jpg</t>
  </si>
  <si>
    <t>https://dd3ka9h4chfr8.cloudfront.net/image/725136000567/image_tipft7t8ph7if78mj6l8dp917n/-FJPG/228437-002_DET_7.jpg</t>
  </si>
  <si>
    <t>https://dd3ka9h4chfr8.cloudfront.net/image/725136000567/image_0nj8mrcfbt1hdd5k31cao4fb0d/-FJPG/228437-002_PRM_2.jpg</t>
  </si>
  <si>
    <t>https://dd3ka9h4chfr8.cloudfront.net/image/725136000567/image_hjb5bec06t3tr6onh9q0utcu1r/-FJPG/228437-002_SID_2.jpg</t>
  </si>
  <si>
    <t>https://dd3ka9h4chfr8.cloudfront.net/image/725136000567/image_74m6r9k98p6frb3bhkpoifn006/-FJPG/228437-002_FRT_2.jpg</t>
  </si>
  <si>
    <t>228452-001</t>
  </si>
  <si>
    <t>Everson Cabinet - Scrubbed Teak</t>
  </si>
  <si>
    <t>Reclaimed</t>
  </si>
  <si>
    <t>Scrubbed Teak</t>
  </si>
  <si>
    <t>Simple and natural-spirited. Light-finished reclaimed woods shape stately cabinetry with rounded corners for a softened look. Inside, generous space and adjustable shelving fuse for ample storage ideal in any room.</t>
  </si>
  <si>
    <t>https://dd3ka9h4chfr8.cloudfront.net/image/725136000567/image_nd4v3j9le928fc05fecfkbls0r/-S150x150-FJPG/228452-001_PRM_1.jpg</t>
  </si>
  <si>
    <t>https://dd3ka9h4chfr8.cloudfront.net/image/725136000567/image_1lasoc9r3l1l99344lgbfhj97r/-FJPG/228452-001_FRT_1.jpg</t>
  </si>
  <si>
    <t>https://dd3ka9h4chfr8.cloudfront.net/image/725136000567/image_nd4v3j9le928fc05fecfkbls0r/-FJPG/228452-001_PRM_1.jpg</t>
  </si>
  <si>
    <t>https://dd3ka9h4chfr8.cloudfront.net/image/725136000567/image_m6b7kfidp100d7cuio3bfh805o/-FJPG/228452-001_SID_1.jpg</t>
  </si>
  <si>
    <t>https://dd3ka9h4chfr8.cloudfront.net/image/725136000567/image_mdb8m9loqp6q3ef856a1iuh860/-FJPG/228452-001_ESS_1.jpg</t>
  </si>
  <si>
    <t>https://dd3ka9h4chfr8.cloudfront.net/image/725136000567/image_381h3paja51ah8oe0borkibh3p/-FJPG/228452-001_DET_2.jpg</t>
  </si>
  <si>
    <t>https://dd3ka9h4chfr8.cloudfront.net/image/725136000567/image_6ap2eu38op4f5a9prkgi829m63/-FJPG/228452-001_BCK_1.jpg</t>
  </si>
  <si>
    <t>https://dd3ka9h4chfr8.cloudfront.net/image/725136000567/image_ractjahp3940l6qsup7g3hmo26/-FJPG/228452-001_DET_1.jpg</t>
  </si>
  <si>
    <t>https://dd3ka9h4chfr8.cloudfront.net/image/725136000567/image_l4vvqmca71209868a6u7oker1m/-FJPG/228452-001_DET_3.jpg</t>
  </si>
  <si>
    <t>https://dd3ka9h4chfr8.cloudfront.net/image/725136000567/image_qe44c3ruj93bl4g0vqcihcl25n/-FJPG/228452-001_OPN_1.jpg</t>
  </si>
  <si>
    <t>https://dd3ka9h4chfr8.cloudfront.net/image/725136000567/image_brg7ogtc0p4g7eevbp16ifbs5j/-FJPG/228452-001_DET_4.jpg</t>
  </si>
  <si>
    <t>https://dd3ka9h4chfr8.cloudfront.net/image/725136000567/image_86nhs5tl4913l9vlke1ms12s54/-FJPG/228452-001_DET_5.jpg</t>
  </si>
  <si>
    <t>https://dd3ka9h4chfr8.cloudfront.net/image/725136000567/image_0tj4rsqqp10nv9u4mtkvgp530p/-FJPG/228452-001_DET_6.jpg</t>
  </si>
  <si>
    <t>67.48"</t>
  </si>
  <si>
    <t>36.81"</t>
  </si>
  <si>
    <t>Everson</t>
  </si>
  <si>
    <t>70.28"</t>
  </si>
  <si>
    <t>17.52"</t>
  </si>
  <si>
    <t>1.06"</t>
  </si>
  <si>
    <t>13.35"</t>
  </si>
  <si>
    <t>228471-001</t>
  </si>
  <si>
    <t>Everson 71" Extension Dining Table - Scrubbed Teak</t>
  </si>
  <si>
    <t>Solid reclaimed woods form a beautifully simple Parsons-style dining table, with a butterfly leaf allowing easy extension from 71" to 87".</t>
  </si>
  <si>
    <t>https://dd3ka9h4chfr8.cloudfront.net/image/725136000567/image_6daspdjvvh2apcfpib9f3pl55j/-S150x150-FJPG/228471-001_PRM_1.jpg</t>
  </si>
  <si>
    <t>https://dd3ka9h4chfr8.cloudfront.net/image/725136000567/image_mj4rfg8q0t671c2aejci6ss56u/-FJPG/228471-001_FRT_1.jpg</t>
  </si>
  <si>
    <t>https://dd3ka9h4chfr8.cloudfront.net/image/725136000567/image_6daspdjvvh2apcfpib9f3pl55j/-FJPG/228471-001_PRM_1.jpg</t>
  </si>
  <si>
    <t>https://dd3ka9h4chfr8.cloudfront.net/image/725136000567/image_gvpd6e6ao97411er6qfvm0p954/-FJPG/228471-001_SID_1.jpg</t>
  </si>
  <si>
    <t>https://dd3ka9h4chfr8.cloudfront.net/image/725136000567/image_2au74gd6jd3b1063nj85o56i13/-FJPG/228471-001_DET_2.jpg</t>
  </si>
  <si>
    <t>https://dd3ka9h4chfr8.cloudfront.net/image/725136000567/image_74l3lqpheh25p5t6ppcnahi917/-FJPG/228471-001_DET_1.jpg</t>
  </si>
  <si>
    <t>https://dd3ka9h4chfr8.cloudfront.net/image/725136000567/image_nvqhps1uih2fdcatfnco6dk91p/-FJPG/228471-001_DET_3.jpg</t>
  </si>
  <si>
    <t>https://dd3ka9h4chfr8.cloudfront.net/image/725136000567/image_t0q2j0jih923j7vvchcho4c808/-FJPG/228471-001_OPN_1.jpg</t>
  </si>
  <si>
    <t>https://dd3ka9h4chfr8.cloudfront.net/image/725136000567/image_n3eveuqrdd38fe5ks5p2kko07q/-FJPG/228471-001_DET_4.jpg</t>
  </si>
  <si>
    <t>https://dd3ka9h4chfr8.cloudfront.net/image/725136000567/image_431v2o0rid5kn2pqhbtvh2d02q/-FJPG/228471-001_FRT_2.jpg</t>
  </si>
  <si>
    <t>33.07"</t>
  </si>
  <si>
    <t>86.61"</t>
  </si>
  <si>
    <t>Wood Glide</t>
  </si>
  <si>
    <t>228731-001</t>
  </si>
  <si>
    <t>Soto Sideboard - Black</t>
  </si>
  <si>
    <t>Bring a softened industrial look to the dining room with a simple black-finished iron console table featuring bronzed iron hardware for modernity. Three roomy drawers plus generous closed cabinetry offer ample storage area for table linens, serveware and more.</t>
  </si>
  <si>
    <t>https://dd3ka9h4chfr8.cloudfront.net/image/725136000567/image_ipnnu6o2rl7jhbg14mkjqihg3g/-S150x150-FJPG/228731-001_PRM_1.jpg</t>
  </si>
  <si>
    <t>https://dd3ka9h4chfr8.cloudfront.net/image/725136000567/image_db89d1kqk177f9o61uoj3on419/-FJPG/228731-001_FRT_1.jpg</t>
  </si>
  <si>
    <t>https://dd3ka9h4chfr8.cloudfront.net/image/725136000567/image_ipnnu6o2rl7jhbg14mkjqihg3g/-FJPG/228731-001_PRM_1.jpg</t>
  </si>
  <si>
    <t>https://dd3ka9h4chfr8.cloudfront.net/image/725136000567/image_kb3gcal5k907t5pepmkgbj6k54/-FJPG/228731-001_SID_1.jpg</t>
  </si>
  <si>
    <t>https://dd3ka9h4chfr8.cloudfront.net/image/725136000567/image_0gmoman4356s3dme6hq0b1pt57/-FJPG/228731-001_ESS_1.jpg</t>
  </si>
  <si>
    <t>https://dd3ka9h4chfr8.cloudfront.net/image/725136000567/image_o7gmlt5kfd559ep7va6tfmoe4a/-FJPG/228731-001_DET_2.jpg</t>
  </si>
  <si>
    <t>https://dd3ka9h4chfr8.cloudfront.net/image/725136000567/image_tuiujk85bl5inc36hn61gv9a1j/-FJPG/228731-001_BCK_1.jpg</t>
  </si>
  <si>
    <t>https://dd3ka9h4chfr8.cloudfront.net/image/725136000567/image_3v7acata7d72d8rflic8uscm0s/-FJPG/228731-001_DET_1.jpg</t>
  </si>
  <si>
    <t>https://dd3ka9h4chfr8.cloudfront.net/image/725136000567/image_ptisp5i5bt051596lepqksr901/-FJPG/228731-001_DET_3.jpg</t>
  </si>
  <si>
    <t>https://dd3ka9h4chfr8.cloudfront.net/image/725136000567/image_m1hko3ddft7e33n5ek6ai5nm4a/-FJPG/228731-001_OPN_1.jpg</t>
  </si>
  <si>
    <t>https://dd3ka9h4chfr8.cloudfront.net/image/725136000567/image_uiq7mein056p70qogm7vpq3d55/-FJPG/228731-001_DET_4.jpg</t>
  </si>
  <si>
    <t>https://dd3ka9h4chfr8.cloudfront.net/image/725136000567/image_kbcte9tqul3j14oona34nlt31m/-FJPG/228731-001_DET_5.jpg</t>
  </si>
  <si>
    <t>https://dd3ka9h4chfr8.cloudfront.net/image/725136000567/image_q2h6dl75g111j02mksk0404j4p/-FJPG/228731-001_DET_6.jpg</t>
  </si>
  <si>
    <t>17.17"</t>
  </si>
  <si>
    <t>17.36"</t>
  </si>
  <si>
    <t>17.07"</t>
  </si>
  <si>
    <t>34.57"</t>
  </si>
  <si>
    <t>228733-004</t>
  </si>
  <si>
    <t>Meadow Sideboard - Tawny Oak Veneer</t>
  </si>
  <si>
    <t>Tawny Oak Veneer</t>
  </si>
  <si>
    <t>With simple shaping inspired by midcentury casing, exposed framework and a warm oak finish bring a handcrafted, minimalist look to modern dining storage.</t>
  </si>
  <si>
    <t>https://dd3ka9h4chfr8.cloudfront.net/image/725136000567/image_7d51j4t8v57d11nddbpuenui4i/-S150x150-FJPG/228733-004_PRM_1.jpg</t>
  </si>
  <si>
    <t>https://dd3ka9h4chfr8.cloudfront.net/image/725136000567/image_u9n9as92al5q1076d7capfbl3u/-FJPG/228733-004_FRT_1.jpg</t>
  </si>
  <si>
    <t>https://dd3ka9h4chfr8.cloudfront.net/image/725136000567/image_7d51j4t8v57d11nddbpuenui4i/-FJPG/228733-004_PRM_1.jpg</t>
  </si>
  <si>
    <t>https://dd3ka9h4chfr8.cloudfront.net/image/725136000567/image_smdtamkdap7nbccthbq05j3152/-FJPG/228733-004_SID_1.jpg</t>
  </si>
  <si>
    <t>https://dd3ka9h4chfr8.cloudfront.net/image/725136000567/image_i31odp7qed3d90cqi3r6irc164/-FJPG/228733-004_ESS_1.jpg</t>
  </si>
  <si>
    <t>https://dd3ka9h4chfr8.cloudfront.net/image/725136000567/image_l2smejj64h7392fdvqp8vhv02p/-FJPG/228733-004_DET_2.jpg</t>
  </si>
  <si>
    <t>https://dd3ka9h4chfr8.cloudfront.net/image/725136000567/image_ue2hrvvmch50l4onhnqgco4e5p/-FJPG/228733-004_BCK_1.jpg</t>
  </si>
  <si>
    <t>https://dd3ka9h4chfr8.cloudfront.net/image/725136000567/image_62vf4dbbgd7bt4ki95jkciua5u/-FJPG/228733-004_DET_1.jpg</t>
  </si>
  <si>
    <t>https://dd3ka9h4chfr8.cloudfront.net/image/725136000567/image_ndf71qohj53g728anrt74mml0n/-FJPG/228733-004_DET_3.jpg</t>
  </si>
  <si>
    <t>https://dd3ka9h4chfr8.cloudfront.net/image/725136000567/image_2vpbm7j01d5p7f5f4aq1r4iu4m/-FJPG/228733-004_OPN_1.jpg</t>
  </si>
  <si>
    <t>https://dd3ka9h4chfr8.cloudfront.net/image/725136000567/image_f7fcgo6mv13sd0b62k6qjnp414/-FJPG/228733-004_DET_4.jpg</t>
  </si>
  <si>
    <t>https://dd3ka9h4chfr8.cloudfront.net/image/725136000567/image_q7g2vuejgp67hdj9c054hkqh18/-FJPG/228733-004_DET_5.jpg</t>
  </si>
  <si>
    <t>https://dd3ka9h4chfr8.cloudfront.net/image/725136000567/image_mqv9oir2490ef2i8rar6q6sj40/-FJPG/228733-004_OPN_2.jpg</t>
  </si>
  <si>
    <t>22.72"</t>
  </si>
  <si>
    <t>34.06"</t>
  </si>
  <si>
    <t>Meadow</t>
  </si>
  <si>
    <t>17.38"</t>
  </si>
  <si>
    <t>14.06"</t>
  </si>
  <si>
    <t>3.07"</t>
  </si>
  <si>
    <t>7.17"</t>
  </si>
  <si>
    <t>15.45"</t>
  </si>
  <si>
    <t>7.76"</t>
  </si>
  <si>
    <t>228734-002</t>
  </si>
  <si>
    <t>Diana Sofa - Palermo Nude</t>
  </si>
  <si>
    <t>https://dd3ka9h4chfr8.cloudfront.net/image/725136000567/image_papst0ucd52j791eiqsc452k6j/-S150x150-FJPG/228734-002_PRM_1.jpg</t>
  </si>
  <si>
    <t>https://dd3ka9h4chfr8.cloudfront.net/image/725136000567/image_1kmof72bf934ja9s8tshrm4852/-FJPG/228734-002_FRT_1.jpg</t>
  </si>
  <si>
    <t>https://dd3ka9h4chfr8.cloudfront.net/image/725136000567/image_papst0ucd52j791eiqsc452k6j/-FJPG/228734-002_PRM_1.jpg</t>
  </si>
  <si>
    <t>https://dd3ka9h4chfr8.cloudfront.net/image/725136000567/image_60l8qvrsh52cr6lpqn0653dt2m/-FJPG/228734-002_SID_1.jpg</t>
  </si>
  <si>
    <t>https://dd3ka9h4chfr8.cloudfront.net/image/725136000567/image_mukp41ll9102p0vgcknmjtpr78/-FJPG/228734-002_ESS_1.jpg</t>
  </si>
  <si>
    <t>https://dd3ka9h4chfr8.cloudfront.net/image/725136000567/image_fhqjsoqe3d48h405vlq2bl6125/-FJPG/228734-002_DET_2.jpg</t>
  </si>
  <si>
    <t>https://dd3ka9h4chfr8.cloudfront.net/image/725136000567/image_2p74ic9vkh4fr3i9ufuo9qbe36/-FJPG/228734-002_BCK_1.jpg</t>
  </si>
  <si>
    <t>https://dd3ka9h4chfr8.cloudfront.net/image/725136000567/image_p2r2h6ngdd4g17rl381rk0h27l/-FJPG/228734-002_DET_1.jpg</t>
  </si>
  <si>
    <t>https://dd3ka9h4chfr8.cloudfront.net/image/725136000567/image_ma3ajtin0536h7qu1415gg3v0d/-FJPG/228734-002_DET_3.jpg</t>
  </si>
  <si>
    <t>https://dd3ka9h4chfr8.cloudfront.net/image/725136000567/image_dtug5oaoi561r7bpmgbspn9q4g/-FJPG/228734-002_DET_4.jpg</t>
  </si>
  <si>
    <t>https://dd3ka9h4chfr8.cloudfront.net/image/725136000567/image_75tmuc9a5h1c9459vkk0jge53f/-FJPG/228734-002_DET_5.jpg</t>
  </si>
  <si>
    <t>https://dd3ka9h4chfr8.cloudfront.net/image/725136000567/image_nu1kbs66k938l928d4rnptad4o/-FJPG/228734-002_DET_6.jpg</t>
  </si>
  <si>
    <t>https://dd3ka9h4chfr8.cloudfront.net/image/725136000567/image_bcnhcs8bjd5r111oor62g2e90a/-FJPG/228734-002_DET_7.jpg</t>
  </si>
  <si>
    <t>228734-004</t>
  </si>
  <si>
    <t>Diana Sofa - Sonoma Butterscotch</t>
  </si>
  <si>
    <t>Natural</t>
  </si>
  <si>
    <t>https://dd3ka9h4chfr8.cloudfront.net/image/725136000567/image_fkl92rsfcd5n9aud6tkao1al2l/-S150x150-FJPG/228734-004_PRM_1.JPG</t>
  </si>
  <si>
    <t>https://dd3ka9h4chfr8.cloudfront.net/image/725136000567/image_e5sfn2ddep1ujbi564j98h157i/-FJPG/228734-004_FRT_1.JPG</t>
  </si>
  <si>
    <t>https://dd3ka9h4chfr8.cloudfront.net/image/725136000567/image_fkl92rsfcd5n9aud6tkao1al2l/-FJPG/228734-004_PRM_1.JPG</t>
  </si>
  <si>
    <t>https://dd3ka9h4chfr8.cloudfront.net/image/725136000567/image_pk8ubfq0kh46j4tshvdra80p33/-FJPG/228734-004_SID_1.JPG</t>
  </si>
  <si>
    <t>https://dd3ka9h4chfr8.cloudfront.net/image/725136000567/image_a1lq3h0nmp0mvf8vvlipmc643p/-FJPG/228734-004_DET_2.JPG</t>
  </si>
  <si>
    <t>https://dd3ka9h4chfr8.cloudfront.net/image/725136000567/image_2ifv8r9lsl2a93c0nhis2tog7l/-FJPG/228734-004_BCK_1.JPG</t>
  </si>
  <si>
    <t>https://dd3ka9h4chfr8.cloudfront.net/image/725136000567/image_oij8q3h6u916vaq6p4utqioj2a/-FJPG/228734-004_DET_1.JPG</t>
  </si>
  <si>
    <t>https://dd3ka9h4chfr8.cloudfront.net/image/725136000567/image_d1sn21agv90jdaev0n33e09c7c/-FJPG/228734-004_DET_3.JPG</t>
  </si>
  <si>
    <t>https://dd3ka9h4chfr8.cloudfront.net/image/725136000567/image_q2lqia8j45103dgnaj54j9mu1p/-FJPG/228734-004_DET_4.JPG</t>
  </si>
  <si>
    <t>228734-006</t>
  </si>
  <si>
    <t>Diana Sofa - Heirloom Black</t>
  </si>
  <si>
    <t>Thick-cut top-grain leather with a plump, pronounced grain is framed by almond-finished parawood with a splayed, angular look. Sourced from one of the oldest family-owned tanneries in Italyâ€™s Bassano del Grappa, our heirloom leather covering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</si>
  <si>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https://dd3ka9h4chfr8.cloudfront.net/image/725136000567/image_gp5etoh10h11n9dgetna5e1q0t/-S150x150-FJPG/228734-006_PRM_1.jpg</t>
  </si>
  <si>
    <t>https://dd3ka9h4chfr8.cloudfront.net/image/725136000567/image_464f2931b14q38h0snotuqfl7m/-FJPG/228734-006_FRT_1.jpg</t>
  </si>
  <si>
    <t>https://dd3ka9h4chfr8.cloudfront.net/image/725136000567/image_gp5etoh10h11n9dgetna5e1q0t/-FJPG/228734-006_PRM_1.jpg</t>
  </si>
  <si>
    <t>https://dd3ka9h4chfr8.cloudfront.net/image/725136000567/image_2789u8ej9l76v71utuvmqg9m0h/-FJPG/228734-006_SID_1.jpg</t>
  </si>
  <si>
    <t>https://dd3ka9h4chfr8.cloudfront.net/image/725136000567/image_4t0r86mub50jb6gaemj27jm05f/-FJPG/228734-006_ESS.tif</t>
  </si>
  <si>
    <t>https://dd3ka9h4chfr8.cloudfront.net/image/725136000567/image_s4kliisuip4ft7km6dcnkv5275/-FJPG/228734-006_DET_2.jpg</t>
  </si>
  <si>
    <t>https://dd3ka9h4chfr8.cloudfront.net/image/725136000567/image_j0kgmonrih7c55ic8udaf5jo03/-FJPG/228734-006_BCK_1.jpg</t>
  </si>
  <si>
    <t>https://dd3ka9h4chfr8.cloudfront.net/image/725136000567/image_ajpbk277251tp5mqd55sr2a160/-FJPG/228734-006_DET_1.jpg</t>
  </si>
  <si>
    <t>https://dd3ka9h4chfr8.cloudfront.net/image/725136000567/image_07vods26ph1q91gldbi47i671r/-FJPG/228734-006_DET_3.jpg</t>
  </si>
  <si>
    <t>https://dd3ka9h4chfr8.cloudfront.net/image/725136000567/image_cdiuufqav910lcd7m1g3aou47v/-FJPG/228734-006_DET_4.jpg</t>
  </si>
  <si>
    <t>https://dd3ka9h4chfr8.cloudfront.net/image/725136000567/image_4dimu0dc417839rclqsekn7f40/-FJPG/228734-006_DET_5.jpg</t>
  </si>
  <si>
    <t>https://dd3ka9h4chfr8.cloudfront.net/image/725136000567/image_so8992k1i576hegkdb2hjgv77c/-FJPG/228734-006_DET_6.jpg</t>
  </si>
  <si>
    <t>https://dd3ka9h4chfr8.cloudfront.net/image/725136000567/image_023p5l1ctd32j1khbh373bsj32/-FJPG/228734-006_DET_7.jpg</t>
  </si>
  <si>
    <t>https://dd3ka9h4chfr8.cloudfront.net/image/725136000567/image_dcbtcj823d5iddk0aqt2efb03f/-FJPG/228734-006_DET_8.jpg</t>
  </si>
  <si>
    <t>228770-001</t>
  </si>
  <si>
    <t>Zuma Coffee Table - Dune Ash Veneer</t>
  </si>
  <si>
    <t>A Danish-inspired design celebrates simple, refined shaping. Made from solid ash with dual drawers, open shelving of woven paper cord further ups storage and display options.</t>
  </si>
  <si>
    <t>https://dd3ka9h4chfr8.cloudfront.net/image/725136000567/image_gu9oo0to2p3mj5q6dfu85tcr4p/-S150x150-FJPG/228770-001_PRM_1.jpg</t>
  </si>
  <si>
    <t>https://dd3ka9h4chfr8.cloudfront.net/image/725136000567/image_j09l7a8op921fcj5oaejvhdn12/-FJPG/228770-001_FRT_1.jpg</t>
  </si>
  <si>
    <t>https://dd3ka9h4chfr8.cloudfront.net/image/725136000567/image_gu9oo0to2p3mj5q6dfu85tcr4p/-FJPG/228770-001_PRM_1.jpg</t>
  </si>
  <si>
    <t>https://dd3ka9h4chfr8.cloudfront.net/image/725136000567/image_1o6nr8mjr90tve4ucvtb4vre3t/-FJPG/228770-001_SID_1.jpg</t>
  </si>
  <si>
    <t>https://dd3ka9h4chfr8.cloudfront.net/image/725136000567/image_dn2e23b00h07rdni1g9gue2a68/-FJPG/228770-001_DET_2.jpg</t>
  </si>
  <si>
    <t>https://dd3ka9h4chfr8.cloudfront.net/image/725136000567/image_1qs9g047g50drea05o3a1u185f/-FJPG/228770-001_BCK_1.jpg</t>
  </si>
  <si>
    <t>https://dd3ka9h4chfr8.cloudfront.net/image/725136000567/image_omsn4dg2g143v2aj21btmgdm48/-FJPG/228770-001_DET_1.jpg</t>
  </si>
  <si>
    <t>https://dd3ka9h4chfr8.cloudfront.net/image/725136000567/image_0cttme7h6147bf1f5aq83lgo2t/-FJPG/228770-001_DET_3.jpg</t>
  </si>
  <si>
    <t>https://dd3ka9h4chfr8.cloudfront.net/image/725136000567/image_ojst83nbr17gdcba1ij9kujo4u/-FJPG/228770-001_OPN_1.jpg</t>
  </si>
  <si>
    <t>https://dd3ka9h4chfr8.cloudfront.net/image/725136000567/image_2gintm76b56610gokilp3iva4e/-FJPG/228770-001_DET_4.jpg</t>
  </si>
  <si>
    <t>https://dd3ka9h4chfr8.cloudfront.net/image/725136000567/image_hparbod8jp621040j7fkf6uo1v/-FJPG/228770-001_DET_5.jpg</t>
  </si>
  <si>
    <t>https://dd3ka9h4chfr8.cloudfront.net/image/725136000567/image_71550rr97d5b9dtivfkurig31f/-FJPG/228770-001_DET_6.jpg</t>
  </si>
  <si>
    <t>https://dd3ka9h4chfr8.cloudfront.net/image/725136000567/image_2fsudnc6612hf4km70n9utpi4p/-FJPG/228770-001_DET_7.jpg</t>
  </si>
  <si>
    <t>https://dd3ka9h4chfr8.cloudfront.net/image/725136000567/image_u4ln3ne3ip6bj6k82ha1kkmr0i/-FJPG/228770-001_DET_8.jpg</t>
  </si>
  <si>
    <t>47.91"</t>
  </si>
  <si>
    <t>3.82"</t>
  </si>
  <si>
    <t>10.87"</t>
  </si>
  <si>
    <t>2.56"</t>
  </si>
  <si>
    <t>20.18"</t>
  </si>
  <si>
    <t>228775-001</t>
  </si>
  <si>
    <t>Soto Console Table - Black</t>
  </si>
  <si>
    <t>Bring a softened industrial look to the media room, dining space or entryway with a simple black-finished iron console table featuring bronzed iron hardware for modernity. Dual drawers and lower shelving add bonus storage space.</t>
  </si>
  <si>
    <t>https://dd3ka9h4chfr8.cloudfront.net/image/725136000567/image_7tvqbakee54717ab4f1dupac3q/-S150x150-FJPG/228775-001_PRM_1.jpg</t>
  </si>
  <si>
    <t>https://dd3ka9h4chfr8.cloudfront.net/image/725136000567/image_scmqr11nch7qpddmi98mb64k1l/-FJPG/228775-001_FRT_1.jpg</t>
  </si>
  <si>
    <t>https://dd3ka9h4chfr8.cloudfront.net/image/725136000567/image_7tvqbakee54717ab4f1dupac3q/-FJPG/228775-001_PRM_1.jpg</t>
  </si>
  <si>
    <t>https://dd3ka9h4chfr8.cloudfront.net/image/725136000567/image_tspv3o09bt09neeh4ull1vk11e/-FJPG/228775-001_SID_1.jpg</t>
  </si>
  <si>
    <t>https://dd3ka9h4chfr8.cloudfront.net/image/725136000567/image_ut1jllu9h56n57g65n9la81i0o/-FJPG/228775-001_ESS_1.jpg</t>
  </si>
  <si>
    <t>https://dd3ka9h4chfr8.cloudfront.net/image/725136000567/image_l8blisu72p67tdomt7d7uutm10/-FJPG/228775-001_DET_2.jpg</t>
  </si>
  <si>
    <t>https://dd3ka9h4chfr8.cloudfront.net/image/725136000567/image_9kachguhup62raf89f1veei91f/-FJPG/228775-001_BCK_1.jpg</t>
  </si>
  <si>
    <t>https://dd3ka9h4chfr8.cloudfront.net/image/725136000567/image_acqaajoaup7kd8hrtu8g1f5g14/-FJPG/228775-001_DET_1.jpg</t>
  </si>
  <si>
    <t>https://dd3ka9h4chfr8.cloudfront.net/image/725136000567/image_lmauriqes50s7espujidum5b2b/-FJPG/228775-001_DET_3.jpg</t>
  </si>
  <si>
    <t>https://dd3ka9h4chfr8.cloudfront.net/image/725136000567/image_e7bnh5nl2p66r1g57gee4j0e2v/-FJPG/228775-001_OPN_1.jpg</t>
  </si>
  <si>
    <t>https://dd3ka9h4chfr8.cloudfront.net/image/725136000567/image_0cn6dgn6pt145368i9f8lms46n/-FJPG/228775-001_DET_4.jpg</t>
  </si>
  <si>
    <t>https://dd3ka9h4chfr8.cloudfront.net/image/725136000567/image_r7qnlu60j10spd68q5krftcq0t/-FJPG/228775-001_DET_5.jpg</t>
  </si>
  <si>
    <t>https://dd3ka9h4chfr8.cloudfront.net/image/725136000567/image_ngkv9d54j920b4vacgh751pt0r/-FJPG/228775-001_DET_6.jpg</t>
  </si>
  <si>
    <t>https://dd3ka9h4chfr8.cloudfront.net/image/725136000567/image_95btv02n0d5tnfjirfuddn7a1j/-FJPG/228775-001_DET_7.jpg</t>
  </si>
  <si>
    <t>17.76"</t>
  </si>
  <si>
    <t>15.04"</t>
  </si>
  <si>
    <t>55.04"</t>
  </si>
  <si>
    <t>57.01"</t>
  </si>
  <si>
    <t>13.64"</t>
  </si>
  <si>
    <t>3.19"</t>
  </si>
  <si>
    <t>228776-001</t>
  </si>
  <si>
    <t>Soto Media Console - Black</t>
  </si>
  <si>
    <t>Bring a softened industrial look to the media room with a simple black-finished iron console table featuring bronzed iron hardware for modernity. Four roomy drawers plus open center shelving offer ample storage area for media needs, with a rear cutout for cord management.</t>
  </si>
  <si>
    <t>https://dd3ka9h4chfr8.cloudfront.net/image/725136000567/image_2khj7icm6t10j5l5lv3n7emt54/-S150x150-FJPG/228776-001_PRM_1.jpg</t>
  </si>
  <si>
    <t>https://dd3ka9h4chfr8.cloudfront.net/image/725136000567/image_3unkd98obl0kd5rhg5fhkb9u74/-FJPG/228776-001_FRT_1.jpg</t>
  </si>
  <si>
    <t>https://dd3ka9h4chfr8.cloudfront.net/image/725136000567/image_2khj7icm6t10j5l5lv3n7emt54/-FJPG/228776-001_PRM_1.jpg</t>
  </si>
  <si>
    <t>https://dd3ka9h4chfr8.cloudfront.net/image/725136000567/image_uaepvssb3d0sj92t9rkm73lf0t/-FJPG/228776-001_SID_1.jpg</t>
  </si>
  <si>
    <t>https://dd3ka9h4chfr8.cloudfront.net/image/725136000567/image_l5qaduhq6l0arf4up715dddv2p/-FJPG/228776-001_ESS_1.jpg</t>
  </si>
  <si>
    <t>https://dd3ka9h4chfr8.cloudfront.net/image/725136000567/image_sfmrltgedt6r14qisu1j5gh65l/-FJPG/228776-001_DET_2.jpg</t>
  </si>
  <si>
    <t>https://dd3ka9h4chfr8.cloudfront.net/image/725136000567/image_a35tkj61jh3btb4b0lskfp435b/-FJPG/228776-001_BCK_1.jpg</t>
  </si>
  <si>
    <t>https://dd3ka9h4chfr8.cloudfront.net/image/725136000567/image_iemai52gjd0e7bs9rht8nh5932/-FJPG/228776-001_DET_1.jpg</t>
  </si>
  <si>
    <t>https://dd3ka9h4chfr8.cloudfront.net/image/725136000567/image_trnnai2csl5prd042stpa6m553/-FJPG/228776-001_DET_3.jpg</t>
  </si>
  <si>
    <t>https://dd3ka9h4chfr8.cloudfront.net/image/725136000567/image_5352ounb1t45v07j5egl68ce25/-FJPG/228776-001_OPN_1.jpg</t>
  </si>
  <si>
    <t>https://dd3ka9h4chfr8.cloudfront.net/image/725136000567/image_uom6l0eqgl5pl5emmnrsossd19/-FJPG/228776-001_DET_4.jpg</t>
  </si>
  <si>
    <t>https://dd3ka9h4chfr8.cloudfront.net/image/725136000567/image_kro7srapc17lj5nue338cfgi5v/-FJPG/228776-001_DET_5.jpg</t>
  </si>
  <si>
    <t>https://dd3ka9h4chfr8.cloudfront.net/image/725136000567/image_dsat18mrsh0if7b1cn65b08n39/-FJPG/228776-001_DET_7.jpg</t>
  </si>
  <si>
    <t>9.47"</t>
  </si>
  <si>
    <t>19.80"</t>
  </si>
  <si>
    <t>228835-001</t>
  </si>
  <si>
    <t>Zuma Console - Dune Ash Veneer</t>
  </si>
  <si>
    <t>https://dd3ka9h4chfr8.cloudfront.net/image/725136000567/image_sle5b44p896lv299vujudrlj62/-S150x150-FJPG/228835-001_PRM_1.jpg</t>
  </si>
  <si>
    <t>https://dd3ka9h4chfr8.cloudfront.net/image/725136000567/image_chtgv5eph15j7e7np2qro3ji4o/-FJPG/228835-001_FRT_1.jpg</t>
  </si>
  <si>
    <t>https://dd3ka9h4chfr8.cloudfront.net/image/725136000567/image_sle5b44p896lv299vujudrlj62/-FJPG/228835-001_PRM_1.jpg</t>
  </si>
  <si>
    <t>https://dd3ka9h4chfr8.cloudfront.net/image/725136000567/image_ei22pscp9l247dsktmansnm13l/-FJPG/228835-001_SID_1.jpg</t>
  </si>
  <si>
    <t>https://dd3ka9h4chfr8.cloudfront.net/image/725136000567/image_79vvdcfpfl1mfc7lhlq7d71q31/-FJPG/228835-001_ESS_1.jpg</t>
  </si>
  <si>
    <t>https://dd3ka9h4chfr8.cloudfront.net/image/725136000567/image_4nd5gogcqt1l9caprq4v9qp30b/-FJPG/228835-001_DET_2.jpg</t>
  </si>
  <si>
    <t>https://dd3ka9h4chfr8.cloudfront.net/image/725136000567/image_8is4qdas0p0kn8ndfci6cjit7s/-FJPG/228835-001_BCK_1.jpg</t>
  </si>
  <si>
    <t>https://dd3ka9h4chfr8.cloudfront.net/image/725136000567/image_fpsc0lqd417ol3lajik5fitr2d/-FJPG/228835-001_DET_1.jpg</t>
  </si>
  <si>
    <t>https://dd3ka9h4chfr8.cloudfront.net/image/725136000567/image_j91srdk3d10ojcunf9efhpug4t/-FJPG/228835-001_DET_3.jpg</t>
  </si>
  <si>
    <t>https://dd3ka9h4chfr8.cloudfront.net/image/725136000567/image_8le750em611gl2faphabt91t1h/-FJPG/228835-001_OPN_1.jpg</t>
  </si>
  <si>
    <t>https://dd3ka9h4chfr8.cloudfront.net/image/725136000567/image_dnrq0m85e9683ffh8cphcg1458/-FJPG/228835-001_DET_4.jpg</t>
  </si>
  <si>
    <t>https://dd3ka9h4chfr8.cloudfront.net/image/725136000567/image_7t9omf36d137b5ol8ltms55s2d/-FJPG/228835-001_DET_5.jpg</t>
  </si>
  <si>
    <t>https://dd3ka9h4chfr8.cloudfront.net/image/725136000567/image_ciimjqhuq96hp7odvle09uis7j/-FJPG/228835-001_DET_6.jpg</t>
  </si>
  <si>
    <t>https://dd3ka9h4chfr8.cloudfront.net/image/725136000567/image_m7jversffd0h30hep7fsb3r46j/-FJPG/228835-001_ROM_1.jpg</t>
  </si>
  <si>
    <t>15.79"</t>
  </si>
  <si>
    <t>54.92"</t>
  </si>
  <si>
    <t>52.01"</t>
  </si>
  <si>
    <t>23.68"</t>
  </si>
  <si>
    <t>228896-001</t>
  </si>
  <si>
    <t>Zuma 6 Drawer Dresser - Dune Ash Veneer</t>
  </si>
  <si>
    <t>Simple yet refined, a Danish design-influenced dresser is made from solid ash, with iron hardware finished in a sleek gunmetal. Stretcher-style shelving made from woven paper cord serves up a textural finishing touch. Six spacious drawers bring generous storage space to the bedroom. This item has been modified to comply with the STURDY Act. See a full list of modified products and data changes in the â€œSTURDY Actâ€ file in the Downloads section below.</t>
  </si>
  <si>
    <t>https://dd3ka9h4chfr8.cloudfront.net/image/725136000567/image_ueo37l72m1177euveodd4j013q/-S150x150-FJPG/228896-001_PRM_1.jpg</t>
  </si>
  <si>
    <t>https://dd3ka9h4chfr8.cloudfront.net/image/725136000567/image_4huuqbdpv53d1cqggvrgf9p826/-FJPG/228896-001_FRT_1.jpg</t>
  </si>
  <si>
    <t>https://dd3ka9h4chfr8.cloudfront.net/image/725136000567/image_ueo37l72m1177euveodd4j013q/-FJPG/228896-001_PRM_1.jpg</t>
  </si>
  <si>
    <t>https://dd3ka9h4chfr8.cloudfront.net/image/725136000567/image_7osqscp92t7b5942lsu091r56o/-FJPG/228896-001_SID_1.jpg</t>
  </si>
  <si>
    <t>https://dd3ka9h4chfr8.cloudfront.net/image/725136000567/image_0fl5v8oefl17hfo8bacr9umh2k/-FJPG/228896-001_ESS_1.jpg</t>
  </si>
  <si>
    <t>https://dd3ka9h4chfr8.cloudfront.net/image/725136000567/image_e2dkpbon053hlet55c0ipveh5h/-FJPG/228896-001_DET_2.jpg</t>
  </si>
  <si>
    <t>https://dd3ka9h4chfr8.cloudfront.net/image/725136000567/image_u3ehfjh13l331eo6oh80f6633d/-FJPG/228896-001_BCK_1.jpg</t>
  </si>
  <si>
    <t>https://dd3ka9h4chfr8.cloudfront.net/image/725136000567/image_1eivsa7f7h13lepn2ccf8hg74j/-FJPG/228896-001_DET_1.jpg</t>
  </si>
  <si>
    <t>https://dd3ka9h4chfr8.cloudfront.net/image/725136000567/image_h2bkjoh5i96dhd22fn1ffot61p/-FJPG/228896-001_DET_3.jpg</t>
  </si>
  <si>
    <t>https://dd3ka9h4chfr8.cloudfront.net/image/725136000567/image_hh001linq12g94ltr62si6lo3q/-FJPG/228896-001_OPN_1.jpg</t>
  </si>
  <si>
    <t>https://dd3ka9h4chfr8.cloudfront.net/image/725136000567/image_mc91k9j1m909v5i3br7jd7gd5t/-FJPG/228896-001_DET_4.jpg</t>
  </si>
  <si>
    <t>https://dd3ka9h4chfr8.cloudfront.net/image/725136000567/image_s2u28pb9lt7ntftn5cmmvtnm32/-FJPG/228896-001_DET_5.jpg</t>
  </si>
  <si>
    <t>69.02"</t>
  </si>
  <si>
    <t>5.87"</t>
  </si>
  <si>
    <t>2.44"</t>
  </si>
  <si>
    <t>30.71"</t>
  </si>
  <si>
    <t>228897-003</t>
  </si>
  <si>
    <t>Sorrento End Table - Aged Drift Mindi</t>
  </si>
  <si>
    <t>Simple while stately. Made entirely from solid oak, a rounded-rectangular end table features beautifully arched legs and mitered edging, for a light, organic look with substance.</t>
  </si>
  <si>
    <t>https://dd3ka9h4chfr8.cloudfront.net/image/725136000567/image_l9huthqgi51mpcau3sa1mnds6u/-S150x150-FJPG/228897-003_PRM_1.jpg</t>
  </si>
  <si>
    <t>https://dd3ka9h4chfr8.cloudfront.net/image/725136000567/image_6q7amrhf1101b8kuerfkvlbv40/-FJPG/228897-003_FRT_1.jpg</t>
  </si>
  <si>
    <t>https://dd3ka9h4chfr8.cloudfront.net/image/725136000567/image_l9huthqgi51mpcau3sa1mnds6u/-FJPG/228897-003_PRM_1.jpg</t>
  </si>
  <si>
    <t>https://dd3ka9h4chfr8.cloudfront.net/image/725136000567/image_64ndeokoud33599vg3re3vc47v/-FJPG/228897-003_SID_1.jpg</t>
  </si>
  <si>
    <t>https://dd3ka9h4chfr8.cloudfront.net/image/725136000567/image_fi28r6hrj11up1p6ab5rpv8334/-FJPG/228897-003_ESS.tif</t>
  </si>
  <si>
    <t>https://dd3ka9h4chfr8.cloudfront.net/image/725136000567/image_lhm2lj0okt7ancflveh6gje32b/-FJPG/228897-003_DET_2.jpg</t>
  </si>
  <si>
    <t>https://dd3ka9h4chfr8.cloudfront.net/image/725136000567/image_7t2agq79ll75j9h98fkk5hrv3d/-FJPG/228897-003_DET_1.jpg</t>
  </si>
  <si>
    <t>https://dd3ka9h4chfr8.cloudfront.net/image/725136000567/image_pl5osrul0l3adbpkp8milu1h22/-FJPG/228897-003_DET_3.jpg</t>
  </si>
  <si>
    <t>https://dd3ka9h4chfr8.cloudfront.net/image/725136000567/image_n9im8iofr97i77v06jlim1mn1l/-FJPG/228897-003_DET_4.jpg</t>
  </si>
  <si>
    <t>https://dd3ka9h4chfr8.cloudfront.net/image/725136000567/image_heoe1mi1i928j0gnqrndbmtu5v/-FJPG/228897-003_DET_5.jpg</t>
  </si>
  <si>
    <t>17.05"</t>
  </si>
  <si>
    <t>228899-001</t>
  </si>
  <si>
    <t>Zuma Nightstand - Dune Ash Veneer</t>
  </si>
  <si>
    <t>Simple yet refined, a Danish design-influenced nightstand is made from solid ash, with iron hardware finished in a sleek gunmetal. Dual drawers bring generous storage space to the bedside, while stretcher-style shelving made from woven paper cord doles a textural finishing touch.</t>
  </si>
  <si>
    <t>https://dd3ka9h4chfr8.cloudfront.net/image/725136000567/image_6u1kv9sli132t0h1g1gt9ue674/-S150x150-FJPG/228899-001_PRM_1.jpg</t>
  </si>
  <si>
    <t>https://dd3ka9h4chfr8.cloudfront.net/image/725136000567/image_5u4vmjtsh940v53j1jto7so611/-FJPG/228899-001_FRT_1.jpg</t>
  </si>
  <si>
    <t>https://dd3ka9h4chfr8.cloudfront.net/image/725136000567/image_6u1kv9sli132t0h1g1gt9ue674/-FJPG/228899-001_PRM_1.jpg</t>
  </si>
  <si>
    <t>https://dd3ka9h4chfr8.cloudfront.net/image/725136000567/image_dpbbqk40lh6nlafd80oa46nd54/-FJPG/228899-001_SID_1.jpg</t>
  </si>
  <si>
    <t>https://dd3ka9h4chfr8.cloudfront.net/image/725136000567/image_t6e6tnrh2d75v7hlvfbmbeqg2p/-FJPG/228899-001_ESS.tif</t>
  </si>
  <si>
    <t>https://dd3ka9h4chfr8.cloudfront.net/image/725136000567/image_vouh1tctup7q32t6ar5hlvtp7h/-FJPG/228899-001_DET_2.jpg</t>
  </si>
  <si>
    <t>https://dd3ka9h4chfr8.cloudfront.net/image/725136000567/image_aaa73puneh13h4n7gup7dsu82s/-FJPG/228899-001_BCK_1.jpg</t>
  </si>
  <si>
    <t>https://dd3ka9h4chfr8.cloudfront.net/image/725136000567/image_h7q99iu3f14232667plsphh619/-FJPG/228899-001_DET_1.jpg</t>
  </si>
  <si>
    <t>https://dd3ka9h4chfr8.cloudfront.net/image/725136000567/image_5eo30dldj158ldpa01eupbtn7l/-FJPG/228899-001_DET_3.jpg</t>
  </si>
  <si>
    <t>https://dd3ka9h4chfr8.cloudfront.net/image/725136000567/image_58c9em4dd55c5aibnv7ukkfg4o/-FJPG/228899-001_OPN_1.jpg</t>
  </si>
  <si>
    <t>https://dd3ka9h4chfr8.cloudfront.net/image/725136000567/image_n8d0l5hgjt787dbjc4a8depd67/-FJPG/228899-001_DET_4.jpg</t>
  </si>
  <si>
    <t>https://dd3ka9h4chfr8.cloudfront.net/image/725136000567/image_i720rhh0mh4j9a0jo7pmohkv0d/-FJPG/228899-001_DET_5.jpg</t>
  </si>
  <si>
    <t>https://dd3ka9h4chfr8.cloudfront.net/image/725136000567/image_pi81tbg03132d5re8m8hpp1b00/-FJPG/228899-001_DET_6.jpg</t>
  </si>
  <si>
    <t>https://dd3ka9h4chfr8.cloudfront.net/image/725136000567/image_4g6vdst88d1anbg15isui2o85c/-FJPG/228899-001_DET_7.jpg</t>
  </si>
  <si>
    <t>https://dd3ka9h4chfr8.cloudfront.net/image/725136000567/image_gd2c3asuft5m56eequmc0i6d51/-FJPG/228899-001_VIG_1.jpg</t>
  </si>
  <si>
    <t>8.11"</t>
  </si>
  <si>
    <t>18.94"</t>
  </si>
  <si>
    <t>228902-003</t>
  </si>
  <si>
    <t>Neda End Table - Polished White Marble</t>
  </si>
  <si>
    <t>Polished White Marble Solid</t>
  </si>
  <si>
    <t>Shape up. Polished white marble forms a stack-style end table of semicircles and squares, for a Deco-inspired look with subtle Eighties vibes.</t>
  </si>
  <si>
    <t>https://dd3ka9h4chfr8.cloudfront.net/image/725136000567/image_fh538clsm96q5c8qcgknks7g6j/-S150x150-FJPG/228902-003_PRM_1.jpg</t>
  </si>
  <si>
    <t>https://dd3ka9h4chfr8.cloudfront.net/image/725136000567/image_k4bupg26d517h8it5ilq2kbg01/-FJPG/228902-003_FRT_1.jpg</t>
  </si>
  <si>
    <t>https://dd3ka9h4chfr8.cloudfront.net/image/725136000567/image_fh538clsm96q5c8qcgknks7g6j/-FJPG/228902-003_PRM_1.jpg</t>
  </si>
  <si>
    <t>https://dd3ka9h4chfr8.cloudfront.net/image/725136000567/image_figed0eipl6nj2susdtt6bae0f/-FJPG/228902-003_ESS_1.jpg</t>
  </si>
  <si>
    <t>https://dd3ka9h4chfr8.cloudfront.net/image/725136000567/image_mv14h1sdv535n278k6dmtruk0j/-FJPG/228902-003_DET_2.jpg</t>
  </si>
  <si>
    <t>https://dd3ka9h4chfr8.cloudfront.net/image/725136000567/image_vp2h8v6uc5551de9e8gg6dcr4r/-FJPG/228902-003_DET_1.jpg</t>
  </si>
  <si>
    <t>https://dd3ka9h4chfr8.cloudfront.net/image/725136000567/image_fp4rt7qn7567pd11riivp0fk2r/-FJPG/228902-003_DET_3.jpg</t>
  </si>
  <si>
    <t>https://dd3ka9h4chfr8.cloudfront.net/image/725136000567/image_b47kdkej396m302l8bg3nql730/-FJPG/228902-003_TOP_1.jpg</t>
  </si>
  <si>
    <t>https://dd3ka9h4chfr8.cloudfront.net/image/725136000567/image_c955rdfv5p3ufadlust69r1v3k/-FJPG/228902-003_DET_4.jpg</t>
  </si>
  <si>
    <t>https://dd3ka9h4chfr8.cloudfront.net/image/725136000567/image_osb7a4irup17v0lbaibj5g122r/-FJPG/228902-003_DET_5.jpg</t>
  </si>
  <si>
    <t>https://dd3ka9h4chfr8.cloudfront.net/image/725136000567/image_t7d3kmqvil56v4dpe1sfi9e472/-FJPG/228902-003_DET_6.jpg</t>
  </si>
  <si>
    <t>Neda</t>
  </si>
  <si>
    <t>228902-004</t>
  </si>
  <si>
    <t>Neda End Table - Ebony Marble</t>
  </si>
  <si>
    <t>Ebony Marble</t>
  </si>
  <si>
    <t>Ebony Marble Solid</t>
  </si>
  <si>
    <t>https://dd3ka9h4chfr8.cloudfront.net/image/725136000567/image_5svclr9ta92qpe3hq6qpdp9m5e/-S150x150-FJPG/228902-004_PRM_1.jpg</t>
  </si>
  <si>
    <t>https://dd3ka9h4chfr8.cloudfront.net/image/725136000567/image_7fub1t9kbt2bp72j4jplouc45g/-FJPG/228902-004_FRT_1.jpg</t>
  </si>
  <si>
    <t>https://dd3ka9h4chfr8.cloudfront.net/image/725136000567/image_5svclr9ta92qpe3hq6qpdp9m5e/-FJPG/228902-004_PRM_1.jpg</t>
  </si>
  <si>
    <t>https://dd3ka9h4chfr8.cloudfront.net/image/725136000567/image_aropro0r1d36705gafpl4lup6p/-FJPG/228902-004_ESS_1.jpg</t>
  </si>
  <si>
    <t>https://dd3ka9h4chfr8.cloudfront.net/image/725136000567/image_ee81sslfn53av68k460os19821/-FJPG/228902-004_DET_2.jpg</t>
  </si>
  <si>
    <t>https://dd3ka9h4chfr8.cloudfront.net/image/725136000567/image_3ptpommvrh5i15jt0ed7gavr6n/-FJPG/228902-004_DET_1.jpg</t>
  </si>
  <si>
    <t>https://dd3ka9h4chfr8.cloudfront.net/image/725136000567/image_pre6auic7l5vj2usk2nccm1n0q/-FJPG/228902-004_DET_3.jpg</t>
  </si>
  <si>
    <t>https://dd3ka9h4chfr8.cloudfront.net/image/725136000567/image_9q0lrt8p3d3n7ckc8ep3du3t77/-FJPG/228902-004_TOP_1.jpg</t>
  </si>
  <si>
    <t>https://dd3ka9h4chfr8.cloudfront.net/image/725136000567/image_pn6c6a3ea523n3fu15rg49s167/-FJPG/228902-004_DET_4.jpg</t>
  </si>
  <si>
    <t>https://dd3ka9h4chfr8.cloudfront.net/image/725136000567/image_fj0td2rqgh48n6ku2tt8t5rm24/-FJPG/228902-004_DET_5.jpg</t>
  </si>
  <si>
    <t>https://dd3ka9h4chfr8.cloudfront.net/image/725136000567/image_dokav82d6d6u15n8m5sakonj6j/-FJPG/228902-004_DET_6.jpg</t>
  </si>
  <si>
    <t>228917-001</t>
  </si>
  <si>
    <t>Darian Console Table - White Mahogany</t>
  </si>
  <si>
    <t>Minimalist gone modern. White-finished mahogany forms a cantilever-like C shape, while an accent leg of bleached ash burl veneer speaks subtly to Brutalist inspiration. Color variance in sun-bleached finishes is expected and reflects woods' naturally unique character.</t>
  </si>
  <si>
    <t>https://dd3ka9h4chfr8.cloudfront.net/image/725136000567/image_8smrjql2hl1rd7q8m1pitdv368/-S150x150-FJPG/228917-001_PRM_1.jpg</t>
  </si>
  <si>
    <t>https://dd3ka9h4chfr8.cloudfront.net/image/725136000567/image_0gjrlp966d4h91pq2jnialdu6t/-FJPG/228917-001_FRT_1.jpg</t>
  </si>
  <si>
    <t>https://dd3ka9h4chfr8.cloudfront.net/image/725136000567/image_8smrjql2hl1rd7q8m1pitdv368/-FJPG/228917-001_PRM_1.jpg</t>
  </si>
  <si>
    <t>https://dd3ka9h4chfr8.cloudfront.net/image/725136000567/image_qp23k49bdl7v530eresiup3c5v/-FJPG/228917-001_SID_1.jpg</t>
  </si>
  <si>
    <t>https://dd3ka9h4chfr8.cloudfront.net/image/725136000567/image_aebc6i03sl723ckkdnls2ujt1f/-FJPG/228917-001_ESS_1.jpg</t>
  </si>
  <si>
    <t>https://dd3ka9h4chfr8.cloudfront.net/image/725136000567/image_tqrn7f055p19b8qbdqq54vgs6a/-FJPG/228917-001_DET_2.jpg</t>
  </si>
  <si>
    <t>https://dd3ka9h4chfr8.cloudfront.net/image/725136000567/image_f7p3o9uu15787f1v5l2gnndp5g/-FJPG/228917-001_DET_1.jpg</t>
  </si>
  <si>
    <t>https://dd3ka9h4chfr8.cloudfront.net/image/725136000567/image_9jl9f8es815kr1tfbbmen82u4h/-FJPG/228917-001_DET_3.jpg</t>
  </si>
  <si>
    <t>https://dd3ka9h4chfr8.cloudfront.net/image/725136000567/image_7i6vi1p1n94lf4o1c8nefahd0p/-FJPG/228917-001_TOP_1.jpg</t>
  </si>
  <si>
    <t>https://dd3ka9h4chfr8.cloudfront.net/image/725136000567/image_nf4otfhta93qlcf4sjn6fqgg3u/-FJPG/228917-001_DET_4.jpg</t>
  </si>
  <si>
    <t>https://dd3ka9h4chfr8.cloudfront.net/image/725136000567/image_jhaavepscp03p1gdang8bfq807/-FJPG/228917-001_DET_5.jpg</t>
  </si>
  <si>
    <t>https://dd3ka9h4chfr8.cloudfront.net/image/725136000567/image_uf9rora6r527tcn1o05nssp435/-FJPG/228917-001_DET_6.jpg</t>
  </si>
  <si>
    <t>https://dd3ka9h4chfr8.cloudfront.net/image/725136000567/image_dq5bqbn4uh5h79tiol8c8m496i/-FJPG/228917-001_DET_7.jpg</t>
  </si>
  <si>
    <t>https://dd3ka9h4chfr8.cloudfront.net/image/725136000567/image_8j7a1npkop42p9dgjjer9p9s4r/-FJPG/228917-001_DET_8.jpg</t>
  </si>
  <si>
    <t>Darian</t>
  </si>
  <si>
    <t>1.13"</t>
  </si>
  <si>
    <t>65.00"</t>
  </si>
  <si>
    <t>229169-003</t>
  </si>
  <si>
    <t>Abaso Sideboard - Ebony Rustic Wormwood Oak</t>
  </si>
  <si>
    <t>Ebony Rustic Wormwood Oak</t>
  </si>
  <si>
    <t>Made from thick-cut oak veneer with a faux rustic finish made to emulate wormwood oak, this low, large-scale sideboard features chunky squared legs and dovetail joinery detailing.</t>
  </si>
  <si>
    <t>https://dd3ka9h4chfr8.cloudfront.net/image/725136000567/image_1snich2l8t6enb12eilejkut4g/-S150x150-FJPG/229169-003_PRM_1.jpg</t>
  </si>
  <si>
    <t>https://dd3ka9h4chfr8.cloudfront.net/image/725136000567/image_lacovukib12pdc70heba6otd5o/-FJPG/229169-003_FRT_1.jpg</t>
  </si>
  <si>
    <t>https://dd3ka9h4chfr8.cloudfront.net/image/725136000567/image_1snich2l8t6enb12eilejkut4g/-FJPG/229169-003_PRM_1.jpg</t>
  </si>
  <si>
    <t>https://dd3ka9h4chfr8.cloudfront.net/image/725136000567/image_tac569im4h3k3c814h7t1vsk1f/-FJPG/229169-003_SID_1.jpg</t>
  </si>
  <si>
    <t>https://dd3ka9h4chfr8.cloudfront.net/image/725136000567/image_bvsi0k7qml35nat4nd0ger8p34/-FJPG/229169-003_ESS_1.jpg</t>
  </si>
  <si>
    <t>https://dd3ka9h4chfr8.cloudfront.net/image/725136000567/image_13ra3951vd4bfd68d5b4u2hb7f/-FJPG/229169-003_DET_2.jpg</t>
  </si>
  <si>
    <t>https://dd3ka9h4chfr8.cloudfront.net/image/725136000567/image_np0cahrk7d41h83656qm26qo6r/-FJPG/Color Variance Card_Ebony Rustic Wormwood.jpg</t>
  </si>
  <si>
    <t>https://dd3ka9h4chfr8.cloudfront.net/image/725136000567/image_3v01dkhb1p4cjebi04cedb1s3d/-FJPG/229169-003_DET_1.jpg</t>
  </si>
  <si>
    <t>https://dd3ka9h4chfr8.cloudfront.net/image/725136000567/image_labfrmv6dt0s32hdc0tmd1g82r/-FJPG/229169-003_DET_3.jpg</t>
  </si>
  <si>
    <t>https://dd3ka9h4chfr8.cloudfront.net/image/725136000567/image_mf93eavd0t3oj60lcota8jf23d/-FJPG/229169-003_OPN_1.jpg</t>
  </si>
  <si>
    <t>https://dd3ka9h4chfr8.cloudfront.net/image/725136000567/image_mlcqmf8hul5stckb0i8uscqa52/-FJPG/229169-003_DET_4.jpg</t>
  </si>
  <si>
    <t>https://dd3ka9h4chfr8.cloudfront.net/image/725136000567/image_lubpt8atil2vr10s61ub5hqh08/-FJPG/229169-003_DET_5.jpg</t>
  </si>
  <si>
    <t>https://dd3ka9h4chfr8.cloudfront.net/image/725136000567/image_3r9a0p966d0m5f1l19cvfnru23/-FJPG/229169-003_ESS_2.jpg</t>
  </si>
  <si>
    <t>Abaso</t>
  </si>
  <si>
    <t>229300-002</t>
  </si>
  <si>
    <t>Myla Coffee Table - Aged Brown</t>
  </si>
  <si>
    <t>Aged Brown</t>
  </si>
  <si>
    <t>Channel the organic with this chunky, aged brown- finished solid mango wood coffee table.</t>
  </si>
  <si>
    <t>https://dd3ka9h4chfr8.cloudfront.net/image/725136000567/image_i96t8rdm5l7tb0uhv9bfi4ml28/-S150x150-FJPG/229300-002_PRM_1.jpg</t>
  </si>
  <si>
    <t>https://dd3ka9h4chfr8.cloudfront.net/image/725136000567/image_a5bmmf3uc17b7a668plio8dl2c/-FJPG/229300-002_FRT_1.jpg</t>
  </si>
  <si>
    <t>https://dd3ka9h4chfr8.cloudfront.net/image/725136000567/image_i96t8rdm5l7tb0uhv9bfi4ml28/-FJPG/229300-002_PRM_1.jpg</t>
  </si>
  <si>
    <t>https://dd3ka9h4chfr8.cloudfront.net/image/725136000567/image_3usnbkh4hp1fv1u2cv7vm80r7n/-FJPG/229300-002_SID_1.jpg</t>
  </si>
  <si>
    <t>https://dd3ka9h4chfr8.cloudfront.net/image/725136000567/image_qqhbi4226l1q9cugj8h4qbhh0d/-FJPG/229300-002_ESS_1.jpg</t>
  </si>
  <si>
    <t>https://dd3ka9h4chfr8.cloudfront.net/image/725136000567/image_i99evlqnmp75neg1rc48mecc2n/-FJPG/229300-002_DET_2.jpg</t>
  </si>
  <si>
    <t>https://dd3ka9h4chfr8.cloudfront.net/image/725136000567/image_4f7lilmtkd70963cup8ild5k5v/-FJPG/229300-002_DET_1.jpg</t>
  </si>
  <si>
    <t>https://dd3ka9h4chfr8.cloudfront.net/image/725136000567/image_kqq53ibts949v7t3jmqhkotm18/-FJPG/229300-002_TOP_1.jpg</t>
  </si>
  <si>
    <t>https://dd3ka9h4chfr8.cloudfront.net/image/725136000567/image_9seesdlb2d2jb0q7e1s394981i/-FJPG/229300-002_DET_4.jpg</t>
  </si>
  <si>
    <t>Myla</t>
  </si>
  <si>
    <t>17.10"</t>
  </si>
  <si>
    <t>12.90"</t>
  </si>
  <si>
    <t>1.20"</t>
  </si>
  <si>
    <t>229354-006</t>
  </si>
  <si>
    <t>Shelton Chair - Palermo Cognac</t>
  </si>
  <si>
    <t>This minimal chair is anything but basic. Inspired by vintage campaign chairs, ours features a comfortable sling seating design and leather straps on back, paired with loose feather fiber knife-edge cushions in thick cut leather for a sumptuous sit.</t>
  </si>
  <si>
    <t>https://dd3ka9h4chfr8.cloudfront.net/image/725136000567/image_4snptbro5p44j1nf9qlv76vk3g/-S150x150-FJPG/229354-006_PRM_1.jpg</t>
  </si>
  <si>
    <t>https://dd3ka9h4chfr8.cloudfront.net/image/725136000567/image_ph9qpfpo0964p7ab0en764ku0a/-FJPG/229354-006_FRT_1.jpg</t>
  </si>
  <si>
    <t>https://dd3ka9h4chfr8.cloudfront.net/image/725136000567/image_4snptbro5p44j1nf9qlv76vk3g/-FJPG/229354-006_PRM_1.jpg</t>
  </si>
  <si>
    <t>https://dd3ka9h4chfr8.cloudfront.net/image/725136000567/image_mrste5jjdl149ds1jl4kb45649/-FJPG/229354-006_SID_1.jpg</t>
  </si>
  <si>
    <t>https://dd3ka9h4chfr8.cloudfront.net/image/725136000567/image_mihqbc3dtl4452hqdqph6unv79/-FJPG/229354-006_ESS_1.jpg</t>
  </si>
  <si>
    <t>https://dd3ka9h4chfr8.cloudfront.net/image/725136000567/image_02o7nbjpq53urb89k4hvppc223/-FJPG/229354-006_DET_2.jpg</t>
  </si>
  <si>
    <t>https://dd3ka9h4chfr8.cloudfront.net/image/725136000567/image_jptomif2qt285foa5qrqfe2h0t/-FJPG/229354-006_BCK_1.jpg</t>
  </si>
  <si>
    <t>https://dd3ka9h4chfr8.cloudfront.net/image/725136000567/image_r8idepu9616ntbpljnhsve7m23/-FJPG/229354-006_DET_1.jpg</t>
  </si>
  <si>
    <t>https://dd3ka9h4chfr8.cloudfront.net/image/725136000567/image_o5k9rgj8b563bcideqm00vda08/-FJPG/229354-006_DET_3.jpg</t>
  </si>
  <si>
    <t>https://dd3ka9h4chfr8.cloudfront.net/image/725136000567/image_jsc9hmjo0t31vcvsskcsc93r52/-FJPG/229354-006_DET_4.jpg</t>
  </si>
  <si>
    <t>https://dd3ka9h4chfr8.cloudfront.net/image/725136000567/image_bg48ibv4e55qr7tpop7leh0b3d/-FJPG/229354-006_DET_5.jpg</t>
  </si>
  <si>
    <t>https://dd3ka9h4chfr8.cloudfront.net/image/725136000567/image_76q1d0sc656cd7s4sau1hbcn6s/-FJPG/229354-006_DET_6.jpg</t>
  </si>
  <si>
    <t>https://dd3ka9h4chfr8.cloudfront.net/image/725136000567/image_59989arh1p52d0osceqm4uol26/-FJPG/229354-006_ESS_DETAIL.jpg</t>
  </si>
  <si>
    <t>L- Shape Box</t>
  </si>
  <si>
    <t>50% Polyurethane Foam Pad</t>
  </si>
  <si>
    <t xml:space="preserve"> 30% Polyester Fiber Batting</t>
  </si>
  <si>
    <t xml:space="preserve"> 20% Duck Feather</t>
  </si>
  <si>
    <t>Shelton</t>
  </si>
  <si>
    <t>7.48"</t>
  </si>
  <si>
    <t xml:space="preserve"> 50% Duck Feather</t>
  </si>
  <si>
    <t>229360-002</t>
  </si>
  <si>
    <t>Xavier Chair - Hasselt Taupe</t>
  </si>
  <si>
    <t>Hasselt Taupe</t>
  </si>
  <si>
    <t>Aged Almond</t>
  </si>
  <si>
    <t>Aged Almond Cane</t>
  </si>
  <si>
    <t>51% Linen</t>
  </si>
  <si>
    <t>49% Wool-Stonewash</t>
  </si>
  <si>
    <t>An antique style is reimagined with a rich cane backing and sustainably made, stone-washed Belgian Linenâ„¢. Detailed with fluted tapered legs and smooth arms that wrap around the back for the look of a vintage market find. Naturally durable and soft to the touch, Libecoâ„¢-sourced linens are artisan-made and free of toxic chemicals. Perfect as an accent chair or in pairs.</t>
  </si>
  <si>
    <t>https://dd3ka9h4chfr8.cloudfront.net/image/725136000567/image_5otoesaur12590fi0iesr62462/-S150x150-FJPG/229360-002_PRM_1.jpg</t>
  </si>
  <si>
    <t>https://dd3ka9h4chfr8.cloudfront.net/image/725136000567/image_l30vh395dp55d19616f0ah5569/-FJPG/229360-002_FRT_1.jpg</t>
  </si>
  <si>
    <t>https://dd3ka9h4chfr8.cloudfront.net/image/725136000567/image_5otoesaur12590fi0iesr62462/-FJPG/229360-002_PRM_1.jpg</t>
  </si>
  <si>
    <t>https://dd3ka9h4chfr8.cloudfront.net/image/725136000567/image_hncjllhm312bl6udj0v37uqs3m/-FJPG/229360-002_SID_1.jpg</t>
  </si>
  <si>
    <t>https://dd3ka9h4chfr8.cloudfront.net/image/725136000567/image_op8q4h896h7m96vhsmte9vvv59/-FJPG/229360-002_ESS_1.jpg</t>
  </si>
  <si>
    <t>https://dd3ka9h4chfr8.cloudfront.net/image/725136000567/image_ba8r50e9ut1dh0hi1vklv5ll3m/-FJPG/229360-002_DET_2.jpg</t>
  </si>
  <si>
    <t>https://dd3ka9h4chfr8.cloudfront.net/image/725136000567/image_s7f3trfhh15nfa6olerujs827g/-FJPG/229360-002_BCK_1.jpg</t>
  </si>
  <si>
    <t>https://dd3ka9h4chfr8.cloudfront.net/image/725136000567/image_nt22bm3fop593eajr95l1ift3h/-FJPG/229360-002_DET_1.jpg</t>
  </si>
  <si>
    <t>https://dd3ka9h4chfr8.cloudfront.net/image/725136000567/image_ksappo5t6t09n4b2b6rq1d7404/-FJPG/229360-002_DET_3.jpg</t>
  </si>
  <si>
    <t>https://dd3ka9h4chfr8.cloudfront.net/image/725136000567/image_n7dhe9vsul2shb82d2312bnb59/-FJPG/229360-002_DET_4.jpg</t>
  </si>
  <si>
    <t>https://dd3ka9h4chfr8.cloudfront.net/image/725136000567/image_75uu5v5vt91svcn3gpgo5j3o1m/-FJPG/229360-002_DET_5.jpg</t>
  </si>
  <si>
    <t>https://dd3ka9h4chfr8.cloudfront.net/image/725136000567/image_cch4fknjhp6ft64oj329rfje3a/-FJPG/229360-002_DET_6.jpg</t>
  </si>
  <si>
    <t>https://dd3ka9h4chfr8.cloudfront.net/image/725136000567/image_sege39g2f94vb5jh2mo9m53t0i/-FJPG/229360-002_DET_7.jpg</t>
  </si>
  <si>
    <t>Xavier</t>
  </si>
  <si>
    <t>229360-003</t>
  </si>
  <si>
    <t>Xavier Chair - Carson Black</t>
  </si>
  <si>
    <t>Carson Black</t>
  </si>
  <si>
    <t>Vintage inspiration gives the feel of rich heritage. A warm wood frame in an aged finish supports a cane back and worn Italian leather seat, for low-profile comfort.</t>
  </si>
  <si>
    <t>https://dd3ka9h4chfr8.cloudfront.net/image/725136000567/image_3km1je72ut1n33c33m2k3rtr4f/-S150x150-FJPG/229360-003_PRM_1.jpg</t>
  </si>
  <si>
    <t>https://dd3ka9h4chfr8.cloudfront.net/image/725136000567/image_jgle5mjmh10lh8ps0nkc9v907s/-FJPG/229360-003_FRT_1.jpg</t>
  </si>
  <si>
    <t>https://dd3ka9h4chfr8.cloudfront.net/image/725136000567/image_3km1je72ut1n33c33m2k3rtr4f/-FJPG/229360-003_PRM_1.jpg</t>
  </si>
  <si>
    <t>https://dd3ka9h4chfr8.cloudfront.net/image/725136000567/image_3euk4puk8d6ml1akesmqcd5n28/-FJPG/229360-003_SID_1.jpg</t>
  </si>
  <si>
    <t>https://dd3ka9h4chfr8.cloudfront.net/image/725136000567/image_iv8p5pooa91v532o70fte2vr0h/-FJPG/229360-003_ESS_1.jpg</t>
  </si>
  <si>
    <t>https://dd3ka9h4chfr8.cloudfront.net/image/725136000567/image_iluc6vv2j91r7bgp9n6ttgfo0q/-FJPG/229360-003_DET_2.jpg</t>
  </si>
  <si>
    <t>https://dd3ka9h4chfr8.cloudfront.net/image/725136000567/image_pkc0b3s9ep5r3ergrhi0pklo06/-FJPG/229360-003_BCK_1.jpg</t>
  </si>
  <si>
    <t>https://dd3ka9h4chfr8.cloudfront.net/image/725136000567/image_71dk4th5st6f38jba9i4f8mb1a/-FJPG/229360-003_DET_1.jpg</t>
  </si>
  <si>
    <t>https://dd3ka9h4chfr8.cloudfront.net/image/725136000567/image_g59bl8b1v15nj56tiag0i23k4o/-FJPG/229360-003_DET_3.jpg</t>
  </si>
  <si>
    <t>https://dd3ka9h4chfr8.cloudfront.net/image/725136000567/image_r6c8520rih30v9gtubthd8g13i/-FJPG/229360-003_DET_4.jpg</t>
  </si>
  <si>
    <t>https://dd3ka9h4chfr8.cloudfront.net/image/725136000567/image_vv4912gmqd6thfpsk4u3a3h97h/-FJPG/229360-003_DET_5.jpg</t>
  </si>
  <si>
    <t>https://dd3ka9h4chfr8.cloudfront.net/image/725136000567/image_883k0dglb139b0epv3lsa8mf53/-FJPG/229360-003_DET_6.jpg</t>
  </si>
  <si>
    <t>https://dd3ka9h4chfr8.cloudfront.net/image/725136000567/image_sq10e8vfrt3s777vhe96m8nh12/-FJPG/229360-003_DET_7.jpg</t>
  </si>
  <si>
    <t>229360-007</t>
  </si>
  <si>
    <t>Xavier Chair - Antwerp Bone</t>
  </si>
  <si>
    <t>Antwerp Bone</t>
  </si>
  <si>
    <t>https://dd3ka9h4chfr8.cloudfront.net/image/725136000567/image_p66lul7g59185655oj1elvek5p/-S150x150-FJPG/229360-007_PRM_1.jpg</t>
  </si>
  <si>
    <t>https://dd3ka9h4chfr8.cloudfront.net/image/725136000567/image_67t2eji5r17t575tfkrs12nv2o/-FJPG/229360-007_FRT_1.jpg</t>
  </si>
  <si>
    <t>https://dd3ka9h4chfr8.cloudfront.net/image/725136000567/image_p66lul7g59185655oj1elvek5p/-FJPG/229360-007_PRM_1.jpg</t>
  </si>
  <si>
    <t>https://dd3ka9h4chfr8.cloudfront.net/image/725136000567/image_abr53mls9d579dj1k5vq502668/-FJPG/229360-007_SID_1.jpg</t>
  </si>
  <si>
    <t>https://dd3ka9h4chfr8.cloudfront.net/image/725136000567/image_dmefi53ht50kv9a8jhjru54k5s/-FJPG/229360-007_ESS.tif</t>
  </si>
  <si>
    <t>https://dd3ka9h4chfr8.cloudfront.net/image/725136000567/image_rc62prbi1164p9uu3ah6f6il5o/-FJPG/229360-007_ESS.tif</t>
  </si>
  <si>
    <t>https://dd3ka9h4chfr8.cloudfront.net/image/725136000567/image_ahu6n97i296u34r68et3bjbr51/-FJPG/229360-007_DET_2.jpg</t>
  </si>
  <si>
    <t>https://dd3ka9h4chfr8.cloudfront.net/image/725136000567/image_mo1l8bo1qt0fp5a4sfocmh4875/-FJPG/229360-007_BCK_1.jpg</t>
  </si>
  <si>
    <t>https://dd3ka9h4chfr8.cloudfront.net/image/725136000567/image_n8t8uimjt56hdf51toj5iigh3t/-FJPG/229360-007_DET_1.jpg</t>
  </si>
  <si>
    <t>https://dd3ka9h4chfr8.cloudfront.net/image/725136000567/image_fbk02lvq350u135bvgblcfb04r/-FJPG/229360-007_DET_3.jpg</t>
  </si>
  <si>
    <t>https://dd3ka9h4chfr8.cloudfront.net/image/725136000567/image_7tkcb9erml68vd8d8cnotlq67j/-FJPG/229360-007_DET_4.jpg</t>
  </si>
  <si>
    <t>https://dd3ka9h4chfr8.cloudfront.net/image/725136000567/image_a5jgit7vfd12peu0e6j7egsm2v/-FJPG/229360-007_DET_5.jpg</t>
  </si>
  <si>
    <t>https://dd3ka9h4chfr8.cloudfront.net/image/725136000567/image_bka24298293u1928b0iesqg45a/-FJPG/229360-007_DET_6.jpg</t>
  </si>
  <si>
    <t>https://dd3ka9h4chfr8.cloudfront.net/image/725136000567/image_kfc5ab5dst5mvct66h7h9e7m1q/-FJPG/229360-007_DET_7.jpg</t>
  </si>
  <si>
    <t>https://dd3ka9h4chfr8.cloudfront.net/image/725136000567/image_tf6gu230i10717hfhto5098622/-FJPG/229360-007_DET_9.tif</t>
  </si>
  <si>
    <t>229370-003</t>
  </si>
  <si>
    <t>Cairo Chair - Modern Velvet Smoke</t>
  </si>
  <si>
    <t>Modern Velvet Smoke</t>
  </si>
  <si>
    <t>A striking silhouette that commands attention from all angles. Inspired by vintage Brazilian designs, wide plank legs form an architectural tripod and frame for a floating cushioned seat. Tight upholstered back with wraparound arms and a loose, plush seat cushion.</t>
  </si>
  <si>
    <t>https://dd3ka9h4chfr8.cloudfront.net/image/725136000567/image_2fd0akv9e13g91a3asrvaq8306/-S150x150-FJPG/229370-003_PRM_1.jpg</t>
  </si>
  <si>
    <t>https://dd3ka9h4chfr8.cloudfront.net/image/725136000567/image_7fk11v5bf17jj4m5v4l2186f04/-FJPG/229370-003_FRT_1.jpg</t>
  </si>
  <si>
    <t>https://dd3ka9h4chfr8.cloudfront.net/image/725136000567/image_2fd0akv9e13g91a3asrvaq8306/-FJPG/229370-003_PRM_1.jpg</t>
  </si>
  <si>
    <t>https://dd3ka9h4chfr8.cloudfront.net/image/725136000567/image_p9t0k8dkmp41r7d88fe67co67i/-FJPG/229370-003_SID_1.jpg</t>
  </si>
  <si>
    <t>https://dd3ka9h4chfr8.cloudfront.net/image/725136000567/image_614ots8dnh0d94a11io98ark42/-FJPG/229370-003_ESS_1.jpg</t>
  </si>
  <si>
    <t>https://dd3ka9h4chfr8.cloudfront.net/image/725136000567/image_b6tkelank54ff6692r14chq87f/-FJPG/229370-003_DET_2.jpg</t>
  </si>
  <si>
    <t>https://dd3ka9h4chfr8.cloudfront.net/image/725136000567/image_tro9qkctv15l7fk7c5g6enao14/-FJPG/229370-003_BCK_1.jpg</t>
  </si>
  <si>
    <t>https://dd3ka9h4chfr8.cloudfront.net/image/725136000567/image_j2s0tp1mft2mb109ca43e81k54/-FJPG/229370-003_DET_1.jpg</t>
  </si>
  <si>
    <t>https://dd3ka9h4chfr8.cloudfront.net/image/725136000567/image_h2cd1drqod6k7amclg8i41gi54/-FJPG/229370-003_DET_3.jpg</t>
  </si>
  <si>
    <t>https://dd3ka9h4chfr8.cloudfront.net/image/725136000567/image_2qvqfvf8l508j9ecn8utc4ug3v/-FJPG/229370-003_DET_4.jpg</t>
  </si>
  <si>
    <t>https://dd3ka9h4chfr8.cloudfront.net/image/725136000567/image_imkhthts3t69j8bfba28mi2u6c/-FJPG/229370-003_DET_5.jpg</t>
  </si>
  <si>
    <t>https://dd3ka9h4chfr8.cloudfront.net/image/725136000567/image_a83hapcap132v9a0k0mh8e801k/-FJPG/229370-003_DET_6.jpg</t>
  </si>
  <si>
    <t>https://dd3ka9h4chfr8.cloudfront.net/image/725136000567/image_m17e6v15eh6ubd057k0n0n201r/-FJPG/229370-003_VIG_1.jpg</t>
  </si>
  <si>
    <t>1pc Chair</t>
  </si>
  <si>
    <t>Cairo</t>
  </si>
  <si>
    <t>21.26"</t>
  </si>
  <si>
    <t>28.54"</t>
  </si>
  <si>
    <t>229370-005</t>
  </si>
  <si>
    <t>Cairo Chair - Palermo Cognac</t>
  </si>
  <si>
    <t>A silhouette that commands attention from all angles. Inspired by vintage Brazilian designs, wide plank legs form an architectural tripod and frame for a floating cushioned seat of tan top-grain leather. Tight upholstered back with wraparound arms and a loose, plush seat cushion.</t>
  </si>
  <si>
    <t>https://dd3ka9h4chfr8.cloudfront.net/image/725136000567/image_buappp4rhd3i14t3utgbh3ds0f/-S150x150-FJPG/229370-005_PRM_1.jpg</t>
  </si>
  <si>
    <t>https://dd3ka9h4chfr8.cloudfront.net/image/725136000567/image_quvi1l4mql77n1ckvqlo6i0e6d/-FJPG/229370-005_FRT_1.jpg</t>
  </si>
  <si>
    <t>https://dd3ka9h4chfr8.cloudfront.net/image/725136000567/image_buappp4rhd3i14t3utgbh3ds0f/-FJPG/229370-005_PRM_1.jpg</t>
  </si>
  <si>
    <t>https://dd3ka9h4chfr8.cloudfront.net/image/725136000567/image_k6ivd5ejbp28n68s23eg83477t/-FJPG/229370-005_SID_1.jpg</t>
  </si>
  <si>
    <t>https://dd3ka9h4chfr8.cloudfront.net/image/725136000567/image_l455ir3ih96c5fcfc2roed5q4t/-FJPG/229370-005_ESS_1.jpg</t>
  </si>
  <si>
    <t>https://dd3ka9h4chfr8.cloudfront.net/image/725136000567/image_qaitks96t96i54kk9s24mkt274/-FJPG/229370-005_DET_2.jpg</t>
  </si>
  <si>
    <t>https://dd3ka9h4chfr8.cloudfront.net/image/725136000567/image_me7uksn3al1end5acchf3g2j3l/-FJPG/229370-005_BCK_1.jpg</t>
  </si>
  <si>
    <t>https://dd3ka9h4chfr8.cloudfront.net/image/725136000567/image_pel4pu9e3l3h5c5fqbq0rp4710/-FJPG/229370-005_DET_1.jpg</t>
  </si>
  <si>
    <t>https://dd3ka9h4chfr8.cloudfront.net/image/725136000567/image_01gp498id12rrbp38aaoae7235/-FJPG/229370-005_DET_3.jpg</t>
  </si>
  <si>
    <t>https://dd3ka9h4chfr8.cloudfront.net/image/725136000567/image_kki6ou0p8t0ch0murde0651344/-FJPG/229370-005_DET_4.jpg</t>
  </si>
  <si>
    <t>https://dd3ka9h4chfr8.cloudfront.net/image/725136000567/image_sl97utleu90md7er9rqmdh5411/-FJPG/229370-005_DET_5.jpg</t>
  </si>
  <si>
    <t>https://dd3ka9h4chfr8.cloudfront.net/image/725136000567/image_8tubhvkpk51k735hhsoeah8215/-FJPG/229370-005_DET_6.jpg</t>
  </si>
  <si>
    <t>https://dd3ka9h4chfr8.cloudfront.net/image/725136000567/image_ar9qqeq8o55dr58o9gfmgq5e0t/-FJPG/229370-005_ROM_1.jpg</t>
  </si>
  <si>
    <t>229370-006</t>
  </si>
  <si>
    <t>Cairo Chair - Thames Cream</t>
  </si>
  <si>
    <t>A silhouette that commands attention from all angles. Inspired by vintage Brazilian designs, wide plank legs form an architectural tripod and frame for a floating cushioned seat of cream high-performance fabric. Tight upholstered back with wraparound arms and a loose, plush seat cushion. Performance fabrics are specially created to withstand spills, stains, high traffic and wear, ensuring long-term comfort and unmatched durability.</t>
  </si>
  <si>
    <t>https://dd3ka9h4chfr8.cloudfront.net/image/725136000567/image_7koqpf5dfp17henfu377kf871g/-S150x150-FJPG/229370-006_PRM_1.jpg</t>
  </si>
  <si>
    <t>https://dd3ka9h4chfr8.cloudfront.net/image/725136000567/image_1tksm246jd3ib4e1s6ip2tg23h/-FJPG/229370-006_FRT_1.jpg</t>
  </si>
  <si>
    <t>https://dd3ka9h4chfr8.cloudfront.net/image/725136000567/image_7koqpf5dfp17henfu377kf871g/-FJPG/229370-006_PRM_1.jpg</t>
  </si>
  <si>
    <t>https://dd3ka9h4chfr8.cloudfront.net/image/725136000567/image_54bhs87lml6k398sp7ql3htq4q/-FJPG/229370-006_SID_1.jpg</t>
  </si>
  <si>
    <t>https://dd3ka9h4chfr8.cloudfront.net/image/725136000567/image_g58hpapfq577n8d2qhq69hjl7j/-FJPG/229370-006_ESS_1.jpg</t>
  </si>
  <si>
    <t>https://dd3ka9h4chfr8.cloudfront.net/image/725136000567/image_r0gsa6r4t57cvaln1jbum4hs1l/-FJPG/229370-006_DET_2.jpg</t>
  </si>
  <si>
    <t>https://dd3ka9h4chfr8.cloudfront.net/image/725136000567/image_2mo8i841153tnfml7gbucneb6q/-FJPG/229370-006_BCK_1.jpg</t>
  </si>
  <si>
    <t>https://dd3ka9h4chfr8.cloudfront.net/image/725136000567/image_ctmov6rt357q92msncu929126n/-FJPG/229370-006_DET_1.jpg</t>
  </si>
  <si>
    <t>https://dd3ka9h4chfr8.cloudfront.net/image/725136000567/image_9cuaengle57k3da3ukksq87p13/-FJPG/229370-006_DET_3.jpg</t>
  </si>
  <si>
    <t>https://dd3ka9h4chfr8.cloudfront.net/image/725136000567/image_u0dq0l1glp0q56lnhn924sti6c/-FJPG/229370-006_DET_4.jpg</t>
  </si>
  <si>
    <t>1 Pc Chair</t>
  </si>
  <si>
    <t>229370-007</t>
  </si>
  <si>
    <t>Cairo Chair - Harrison Black</t>
  </si>
  <si>
    <t>Harrison Black</t>
  </si>
  <si>
    <t>A silhouette that commands attention from all angles. Inspired by vintage Brazilian designs, wide plank legs form an architectural tripod and frame for a floating cushioned seat. Made from black top-grain leather, with a tight upholstered back, wraparound arms and a loose, plush seat cushion.</t>
  </si>
  <si>
    <t>https://dd3ka9h4chfr8.cloudfront.net/image/725136000567/image_jksu6mnu3l25ragpuku57ikj1f/-S150x150-FJPG/229370-007_PRM_1.jpg</t>
  </si>
  <si>
    <t>https://dd3ka9h4chfr8.cloudfront.net/image/725136000567/image_ds3d73dim95frehl2d5k0mm223/-FJPG/229370-007_FRT_1.JPG</t>
  </si>
  <si>
    <t>https://dd3ka9h4chfr8.cloudfront.net/image/725136000567/image_jksu6mnu3l25ragpuku57ikj1f/-FJPG/229370-007_PRM_1.jpg</t>
  </si>
  <si>
    <t>https://dd3ka9h4chfr8.cloudfront.net/image/725136000567/image_koplpknr991uhbpqdiosqf7q5n/-FJPG/229370-007_SID_1.JPG</t>
  </si>
  <si>
    <t>https://dd3ka9h4chfr8.cloudfront.net/image/725136000567/image_sd44n52pkl1up5cfm1dm4mha7q/-FJPG/229370-007_ESS_1.jpg</t>
  </si>
  <si>
    <t>https://dd3ka9h4chfr8.cloudfront.net/image/725136000567/image_dimd4tpjkd3pp825qcajdqor2d/-FJPG/229370-007_DET_2.JPG</t>
  </si>
  <si>
    <t>https://dd3ka9h4chfr8.cloudfront.net/image/725136000567/image_1dfcv00qn141t3r6b6bha3br6o/-FJPG/229370-007_BCK_1.JPG</t>
  </si>
  <si>
    <t>https://dd3ka9h4chfr8.cloudfront.net/image/725136000567/image_m3trj84sgt6en6quip535ltu4l/-FJPG/229370-007_DET_1.JPG</t>
  </si>
  <si>
    <t>https://dd3ka9h4chfr8.cloudfront.net/image/725136000567/image_3tqp89j6dp0jv0sk31prcsti69/-FJPG/229370-007_DET_3.JPG</t>
  </si>
  <si>
    <t>https://dd3ka9h4chfr8.cloudfront.net/image/725136000567/image_liusqeiodh0fr0uhd54l963s3v/-FJPG/229370-007_DET_4.JPG</t>
  </si>
  <si>
    <t>229379-003</t>
  </si>
  <si>
    <t>Jordy Chair - Sapphire Navy</t>
  </si>
  <si>
    <t>It's all about the angles on this low-profile piece. Sink-in comfort upholstered in velvety navy framed with cushioned tubular arms.</t>
  </si>
  <si>
    <t>https://dd3ka9h4chfr8.cloudfront.net/image/725136000567/image_1p49nlobtl0phdq7ig61h8o23u/-S150x150-FJPG/229379-003 _PRM_1.jpg</t>
  </si>
  <si>
    <t>https://dd3ka9h4chfr8.cloudfront.net/image/725136000567/image_4hq6ooffm920p9fnetgu36v61o/-FJPG/229379-003_FRT_1.jpg</t>
  </si>
  <si>
    <t>https://dd3ka9h4chfr8.cloudfront.net/image/725136000567/image_gandnik6613bdcgn2aomi63l02/-FJPG/229379-003 _FRT_1.jpg</t>
  </si>
  <si>
    <t>https://dd3ka9h4chfr8.cloudfront.net/image/725136000567/image_1p49nlobtl0phdq7ig61h8o23u/-FJPG/229379-003 _PRM_1.jpg</t>
  </si>
  <si>
    <t>https://dd3ka9h4chfr8.cloudfront.net/image/725136000567/image_7tjt3h92ml5896ivev4i9o3j20/-FJPG/229379-003_PRM_1.jpg</t>
  </si>
  <si>
    <t>https://dd3ka9h4chfr8.cloudfront.net/image/725136000567/image_nb8p62d5sh7e736vr2dr6kcr63/-FJPG/229379-003 _SID_1.jpg</t>
  </si>
  <si>
    <t>https://dd3ka9h4chfr8.cloudfront.net/image/725136000567/image_ada3vlr6tt2kj08lm2c684qv7o/-FJPG/229379-003 _DET_2.jpg</t>
  </si>
  <si>
    <t>https://dd3ka9h4chfr8.cloudfront.net/image/725136000567/image_3imdlld4010inff5fgoponst7a/-FJPG/229379-003 _BCK_1.jpg</t>
  </si>
  <si>
    <t>https://dd3ka9h4chfr8.cloudfront.net/image/725136000567/image_4mdpu7afdh7o7e756kj2e73q6c/-FJPG/229379-003 _DET_1.jpg</t>
  </si>
  <si>
    <t>https://dd3ka9h4chfr8.cloudfront.net/image/725136000567/image_f1sqit3d8l02r8hadtpds1gt1e/-FJPG/229379-003 _DET_3.jpg</t>
  </si>
  <si>
    <t>https://dd3ka9h4chfr8.cloudfront.net/image/725136000567/image_omjnci6t11621d73c42aceoa19/-FJPG/229379-003 _DET_4.jpg</t>
  </si>
  <si>
    <t>https://dd3ka9h4chfr8.cloudfront.net/image/725136000567/image_7kp1g4m60d3ul8ea2pe2ndkk4o/-FJPG/229379-003 _DET_5.jpg</t>
  </si>
  <si>
    <t>https://dd3ka9h4chfr8.cloudfront.net/image/725136000567/image_85d8286c514dn4dbhddieqm41g/-FJPG/229379-003_ESS.tif</t>
  </si>
  <si>
    <t>Jordy</t>
  </si>
  <si>
    <t>229392-002</t>
  </si>
  <si>
    <t>Dax Accent Stool - Gibson Wheat</t>
  </si>
  <si>
    <t>X marks the spot for extra seating or a soft place for propped feet. Drum-shaped cushioning in a liquid-repellent performance fabric is cradled in a trendy X-base made from solid ash.</t>
  </si>
  <si>
    <t>https://dd3ka9h4chfr8.cloudfront.net/image/725136000567/image_3l2uka8o9d7v5356admuudjc6t/-S150x150-FJPG/229392-002_PRM_1.jpg</t>
  </si>
  <si>
    <t>https://dd3ka9h4chfr8.cloudfront.net/image/725136000567/image_a7krrj78hh27jfeqs3emhjl92d/-FJPG/229392-002_FRT_1.jpg</t>
  </si>
  <si>
    <t>https://dd3ka9h4chfr8.cloudfront.net/image/725136000567/image_3l2uka8o9d7v5356admuudjc6t/-FJPG/229392-002_PRM_1.jpg</t>
  </si>
  <si>
    <t>https://dd3ka9h4chfr8.cloudfront.net/image/725136000567/image_t6fkb9vrs15ij8qf2kcvtmgn29/-FJPG/229392-002_SID_1.jpg</t>
  </si>
  <si>
    <t>https://dd3ka9h4chfr8.cloudfront.net/image/725136000567/image_67525uj5h94f15cdbeql22685r/-FJPG/229392-002_DET_2.jpg</t>
  </si>
  <si>
    <t>https://dd3ka9h4chfr8.cloudfront.net/image/725136000567/image_a8964qmjh11nf7qtpo8parqh1e/-FJPG/229392-002_INF_1.jpg</t>
  </si>
  <si>
    <t>https://dd3ka9h4chfr8.cloudfront.net/image/725136000567/image_677rmbkdrl4areio43v6e9o30p/-FJPG/229392-002_DET_1.jpg</t>
  </si>
  <si>
    <t>https://dd3ka9h4chfr8.cloudfront.net/image/725136000567/image_7tbfs5nbc11bf928sk825eek2r/-FJPG/229392-002_DET_3.jpg</t>
  </si>
  <si>
    <t>https://dd3ka9h4chfr8.cloudfront.net/image/725136000567/image_6drgj33sdh1fjfcqdnksmbse2i/-FJPG/229392-002_TOP_1.jpg</t>
  </si>
  <si>
    <t>https://dd3ka9h4chfr8.cloudfront.net/image/725136000567/image_l2m9s4pjf97vlc0uqcpn3v3m00/-FJPG/229392-002_DET_4.jpg</t>
  </si>
  <si>
    <t>https://dd3ka9h4chfr8.cloudfront.net/image/725136000567/image_a6o7mlsb2d4c71imf435ro0p4u/-FJPG/229392-002_DET_5.jpg</t>
  </si>
  <si>
    <t>https://dd3ka9h4chfr8.cloudfront.net/image/725136000567/image_lgo4rh7eid5hb0jp2doogd705e/-FJPG/229392-002_ESS.tif</t>
  </si>
  <si>
    <t>Dax</t>
  </si>
  <si>
    <t>229488-001</t>
  </si>
  <si>
    <t>Halston Chair - Heirloom Black</t>
  </si>
  <si>
    <t>A Seventies-era style inspired by a flea market find, a dramatically tufted sling seat of black top-grain leather angles at the just-right pitch for total comfort, with wide, brown ash framing. Sourced from one of the oldest family-owned tanneries in Italy's Bassano del Grappa, heirloom leather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</si>
  <si>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https://dd3ka9h4chfr8.cloudfront.net/image/725136000567/image_qb8kj8tgr95sl9or5tjuftgf39/-S150x150-FJPG/229488-001_PRM_1.jpg</t>
  </si>
  <si>
    <t>https://dd3ka9h4chfr8.cloudfront.net/image/725136000567/image_dmhmfucsnd2bj1mv10g7753p6p/-FJPG/229488-001_FRT_1.jpg</t>
  </si>
  <si>
    <t>https://dd3ka9h4chfr8.cloudfront.net/image/725136000567/image_qb8kj8tgr95sl9or5tjuftgf39/-FJPG/229488-001_PRM_1.jpg</t>
  </si>
  <si>
    <t>https://dd3ka9h4chfr8.cloudfront.net/image/725136000567/image_l2tp4q3nf51rjdifu8movfi916/-FJPG/229488-001_SID_1.jpg</t>
  </si>
  <si>
    <t>https://dd3ka9h4chfr8.cloudfront.net/image/725136000567/image_j111p499rh7gj4ie9venv50d4d/-FJPG/229488-001_ESS_1.jpg</t>
  </si>
  <si>
    <t>https://dd3ka9h4chfr8.cloudfront.net/image/725136000567/image_tjptjj1agh7n3a2auninqeru4r/-FJPG/229488-001_DET_2.jpg</t>
  </si>
  <si>
    <t>https://dd3ka9h4chfr8.cloudfront.net/image/725136000567/image_ihaduovf0p43h4kee08o93kg08/-FJPG/229488-001_BCK_1.jpg</t>
  </si>
  <si>
    <t>https://dd3ka9h4chfr8.cloudfront.net/image/725136000567/image_v7n93hi19509r70sco6asv036b/-FJPG/229488-001_DET_1.jpg</t>
  </si>
  <si>
    <t>https://dd3ka9h4chfr8.cloudfront.net/image/725136000567/image_a8o91bn3ip4pta7t730fdt1m1o/-FJPG/229488-001_DET_3.jpg</t>
  </si>
  <si>
    <t>https://dd3ka9h4chfr8.cloudfront.net/image/725136000567/image_iad9sbm37d0l9bbsrn44gjru3h/-FJPG/229488-001_DET_4.jpg</t>
  </si>
  <si>
    <t>https://dd3ka9h4chfr8.cloudfront.net/image/725136000567/image_13ag1hlv2p4aj2g9ti44kr9b6u/-FJPG/229488-001_DET_5.jpg</t>
  </si>
  <si>
    <t>https://dd3ka9h4chfr8.cloudfront.net/image/725136000567/image_ni52lte5ht14tfp93ok1i8881s/-FJPG/229488-001_DET_6.jpg</t>
  </si>
  <si>
    <t>L Shape Box ,Complete Item</t>
  </si>
  <si>
    <t>Halston</t>
  </si>
  <si>
    <t>229488-002</t>
  </si>
  <si>
    <t>Halston Chair - Heirloom Sienna</t>
  </si>
  <si>
    <t>A Seventies-era style inspired by a flea market find, a dramatically tufted sling seat of top-grain leather angles at the just-right pitch for total comfort, with wide, brown ash framing. Sourced from one of the oldest family-owned tanneries in Italy's Bassano del Grappa, heirloom leather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</si>
  <si>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https://dd3ka9h4chfr8.cloudfront.net/image/725136000567/image_qvp5i90a9t6nna0u26jn72pj1s/-S150x150-FJPG/229488-002_PRM_1.jpg</t>
  </si>
  <si>
    <t>https://dd3ka9h4chfr8.cloudfront.net/image/725136000567/image_t7s9v93qjd0e12ci5sgr047g51/-FJPG/229488-002_FRT_1.jpg</t>
  </si>
  <si>
    <t>https://dd3ka9h4chfr8.cloudfront.net/image/725136000567/image_qvp5i90a9t6nna0u26jn72pj1s/-FJPG/229488-002_PRM_1.jpg</t>
  </si>
  <si>
    <t>https://dd3ka9h4chfr8.cloudfront.net/image/725136000567/image_ca3jn1qr9l1n90jkrao39g1005/-FJPG/229488-002_SID_1.JPG</t>
  </si>
  <si>
    <t>https://dd3ka9h4chfr8.cloudfront.net/image/725136000567/image_mh0e6mstdl47fdcnqiroakgk3t/-FJPG/229488-002_ESS_1.jpg</t>
  </si>
  <si>
    <t>https://dd3ka9h4chfr8.cloudfront.net/image/725136000567/image_l0am57f70t6s516ede3rbgnu54/-FJPG/229488-002_DET_2.jpg</t>
  </si>
  <si>
    <t>https://dd3ka9h4chfr8.cloudfront.net/image/725136000567/image_lii45naud97414s7nvpcad4n6v/-FJPG/229488-002_BCK_1.jpg</t>
  </si>
  <si>
    <t>https://dd3ka9h4chfr8.cloudfront.net/image/725136000567/image_046qqmnb013bd9cp6128dthc6k/-FJPG/229488-002_DET_1.jpg</t>
  </si>
  <si>
    <t>https://dd3ka9h4chfr8.cloudfront.net/image/725136000567/image_e0cd0gb4k97pr16e9887ml8i63/-FJPG/229488-002_DET_3.jpg</t>
  </si>
  <si>
    <t>https://dd3ka9h4chfr8.cloudfront.net/image/725136000567/image_fvsvujkfpd2799eotqlkmilq5j/-FJPG/229488-002_DET_4.jpg</t>
  </si>
  <si>
    <t>https://dd3ka9h4chfr8.cloudfront.net/image/725136000567/image_doi042lgd55b3fsj36s3ecr92l/-FJPG/229488-002_DET_5.jpg</t>
  </si>
  <si>
    <t>https://dd3ka9h4chfr8.cloudfront.net/image/725136000567/image_4qsicipgm100r8aphn8vqtsb0s/-FJPG/229488-002_DET_6.jpg</t>
  </si>
  <si>
    <t>229488-005</t>
  </si>
  <si>
    <t>Halston Chair - Palermo Drift</t>
  </si>
  <si>
    <t>Dramatically tufted and angled for comfort, this Seventies-inspired sling seat is made from thick-cut top-grain leather in an earthy taupe, with wide brown ash framing. A plump, pronounced grain accentuates leather's natural markings for a supple, lived-in look.</t>
  </si>
  <si>
    <t>https://dd3ka9h4chfr8.cloudfront.net/image/725136000567/image_aned64h82d0er04hnlrcro6r4c/-S150x150-FJPG/229488-005_PRM_1.jpg</t>
  </si>
  <si>
    <t>https://dd3ka9h4chfr8.cloudfront.net/image/725136000567/image_qmk221ji3559l2k2o6oalvtb4g/-FJPG/229488-005_FRT_1.jpg</t>
  </si>
  <si>
    <t>https://dd3ka9h4chfr8.cloudfront.net/image/725136000567/image_aned64h82d0er04hnlrcro6r4c/-FJPG/229488-005_PRM_1.jpg</t>
  </si>
  <si>
    <t>https://dd3ka9h4chfr8.cloudfront.net/image/725136000567/image_rir8mtvje51r9237g9568d664m/-FJPG/229488-005_SID_1.jpg</t>
  </si>
  <si>
    <t>https://dd3ka9h4chfr8.cloudfront.net/image/725136000567/image_8os625df8l06lcth3ihb25gk1r/-FJPG/229488-005_DET_2.jpg</t>
  </si>
  <si>
    <t>https://dd3ka9h4chfr8.cloudfront.net/image/725136000567/image_3p0slqfr5d2vnb0b453siju50j/-FJPG/229488-005_BCK_1.jpg</t>
  </si>
  <si>
    <t>https://dd3ka9h4chfr8.cloudfront.net/image/725136000567/image_q2ggoo4eqd7kj83d0mq31vk06s/-FJPG/229488-005_DET_1.jpg</t>
  </si>
  <si>
    <t>https://dd3ka9h4chfr8.cloudfront.net/image/725136000567/image_utptkdt9u17jpe27929t2t0i1u/-FJPG/229488-005_DET_3.jpg</t>
  </si>
  <si>
    <t>https://dd3ka9h4chfr8.cloudfront.net/image/725136000567/image_s6urr5kkd552l333l5ukl7tg7d/-FJPG/229488-005_DET_4.jpg</t>
  </si>
  <si>
    <t>https://dd3ka9h4chfr8.cloudfront.net/image/725136000567/image_vblr4utb8d3e5dkh2bg763u569/-FJPG/229488-005_DET_5.jpg</t>
  </si>
  <si>
    <t>https://dd3ka9h4chfr8.cloudfront.net/image/725136000567/image_vgik5tk2ld2ej9hmfg4n1mlo37/-FJPG/229488-005_DET_6.jpg</t>
  </si>
  <si>
    <t>https://dd3ka9h4chfr8.cloudfront.net/image/725136000567/image_f55etmf1jt1onffi1cqc1pig2f/-FJPG/229488-005_DET_7.jpg</t>
  </si>
  <si>
    <t>229565-004</t>
  </si>
  <si>
    <t>Meadow 6 Drawer Dresser - Tawny Oak Veneer</t>
  </si>
  <si>
    <t>With simple shaping inspired by midcentury casing, exposed framework and a warm oak finish bring a handcrafted, minimalist look to modern bedroom styling, with six spacious drawers for ample storage. This item has been modified to comply with the STURDY Act. See a full list of modified products and data changes in the â€œSTURDY Actâ€ file in the Downloads section below.</t>
  </si>
  <si>
    <t>https://dd3ka9h4chfr8.cloudfront.net/image/725136000567/image_7qm65a5ljl5g1732bf9282ao01/-S150x150-FJPG/229565-004_PRM_1.jpg</t>
  </si>
  <si>
    <t>https://dd3ka9h4chfr8.cloudfront.net/image/725136000567/image_677r58cfqd5shb62i32o96lh5d/-FJPG/229565-004_FRT_1.jpg</t>
  </si>
  <si>
    <t>https://dd3ka9h4chfr8.cloudfront.net/image/725136000567/image_7qm65a5ljl5g1732bf9282ao01/-FJPG/229565-004_PRM_1.jpg</t>
  </si>
  <si>
    <t>https://dd3ka9h4chfr8.cloudfront.net/image/725136000567/image_f3i66bqvo155p4hv3280lu9u45/-FJPG/229565-004_SID_1.jpg</t>
  </si>
  <si>
    <t>https://dd3ka9h4chfr8.cloudfront.net/image/725136000567/image_li9a3g2o5p1er5q9c9sbtlfa23/-FJPG/229565-004_ESS_1.jpg</t>
  </si>
  <si>
    <t>https://dd3ka9h4chfr8.cloudfront.net/image/725136000567/image_pg6ofbmve55m7f4fsf9s3uh02s/-FJPG/229565-004_DET_2.jpg</t>
  </si>
  <si>
    <t>https://dd3ka9h4chfr8.cloudfront.net/image/725136000567/image_v41mc85jqh4e543jiucp608i1f/-FJPG/229565-004_BCK_1.jpg</t>
  </si>
  <si>
    <t>https://dd3ka9h4chfr8.cloudfront.net/image/725136000567/image_l0sedb3kfp0p5c7uiefce13c6g/-FJPG/229565-004_DET_1.jpg</t>
  </si>
  <si>
    <t>https://dd3ka9h4chfr8.cloudfront.net/image/725136000567/image_p46ge4s8ut0oral4pv06hdiu6o/-FJPG/229565-004_DET_3.jpg</t>
  </si>
  <si>
    <t>https://dd3ka9h4chfr8.cloudfront.net/image/725136000567/image_1fs3pu38i51v17cma44k90u764/-FJPG/229565-004_OPN_1.jpg</t>
  </si>
  <si>
    <t>https://dd3ka9h4chfr8.cloudfront.net/image/725136000567/image_ab39f74mj92ihe7alhnnre744p/-FJPG/229565-004_DET_4.jpg</t>
  </si>
  <si>
    <t>https://dd3ka9h4chfr8.cloudfront.net/image/725136000567/image_5mj1t8i2fp10r2lcl5b2qj1t0c/-FJPG/229565-004_DET_5.jpg</t>
  </si>
  <si>
    <t>https://dd3ka9h4chfr8.cloudfront.net/image/725136000567/image_ohls8f26gh6nh2s5622uv2us56/-FJPG/229565-004_DET_6.jpg</t>
  </si>
  <si>
    <t>https://dd3ka9h4chfr8.cloudfront.net/image/725136000567/image_2vcsq4spph3pra5djpcnqign33/-FJPG/229565-004_DET_7.jpg</t>
  </si>
  <si>
    <t>https://dd3ka9h4chfr8.cloudfront.net/image/725136000567/image_9erslf8rrp3jd245k6bgi5r675/-FJPG/229565-004_DET_8.jpg</t>
  </si>
  <si>
    <t>https://dd3ka9h4chfr8.cloudfront.net/image/725136000567/image_o7d9gfg5gh01f5gf1mgprlp547/-FJPG/229565-004_DET_9.jpg</t>
  </si>
  <si>
    <t>https://dd3ka9h4chfr8.cloudfront.net/image/725136000567/image_m8urh4ujft29h801po802tse7o/-FJPG/229565-004_ESS_2.jpg</t>
  </si>
  <si>
    <t>https://dd3ka9h4chfr8.cloudfront.net/image/725136000567/image_du9pej8j8d1sba4qv0hsne2i2e/-FJPG/229565-004_ESS_3.jpg</t>
  </si>
  <si>
    <t>https://dd3ka9h4chfr8.cloudfront.net/image/725136000567/image_k6v204b9rh5el4ntqfcuc8t70c/-FJPG/229565-004_ESS_6.jpg</t>
  </si>
  <si>
    <t>https://dd3ka9h4chfr8.cloudfront.net/image/725136000567/image_192mibgkop5dl79ukkjmmpuo1g/-FJPG/229565-004_ESS_7.jpg</t>
  </si>
  <si>
    <t>https://dd3ka9h4chfr8.cloudfront.net/image/725136000567/image_ce6ia00sj56ina92rad5hci37g/-FJPG/229565-004_ESS_8.jpg</t>
  </si>
  <si>
    <t>https://dd3ka9h4chfr8.cloudfront.net/image/725136000567/image_mut28e0l5d3pnftq3rq7dvuu7l/-FJPG/229565-004_ESS_9.jpg</t>
  </si>
  <si>
    <t>https://dd3ka9h4chfr8.cloudfront.net/image/725136000567/image_qs2sdqm7311ah3mj8qa637vb1t/-FJPG/229565-004_ESS_10.jpg</t>
  </si>
  <si>
    <t>https://dd3ka9h4chfr8.cloudfront.net/image/725136000567/image_360hpb14ul7ot48kbsb5ol2p74/-FJPG/229565-004_ESS_11.jpg</t>
  </si>
  <si>
    <t>https://dd3ka9h4chfr8.cloudfront.net/image/725136000567/image_adtl62g7f55k3083ip3rdtst72/-FJPG/229565-004_ESS_12.jpg</t>
  </si>
  <si>
    <t>https://dd3ka9h4chfr8.cloudfront.net/image/725136000567/image_oj7u8kg8mt78h743mnpmn3ks4t/-FJPG/229565-004_ESS_13.jpg</t>
  </si>
  <si>
    <t>https://dd3ka9h4chfr8.cloudfront.net/image/725136000567/image_36o3msnljd2rvble475r2n7j51/-FJPG/229565-004_ESS_14.jpg</t>
  </si>
  <si>
    <t>6.63"</t>
  </si>
  <si>
    <t>6.85"</t>
  </si>
  <si>
    <t>7.19"</t>
  </si>
  <si>
    <t>229566-003</t>
  </si>
  <si>
    <t>Meadow 5 Drawer Dresser - Tawny Oak Veneer</t>
  </si>
  <si>
    <t>With simple shaping inspired by midcentury casing, exposed framework and a warm oak finish bring a handcrafted, minimalist look to modern bedroom styling, with five spacious drawers for ample storage. This item has been modified to comply with the STURDY Act. See a full list of modified products and data changes in the â€œSTURDY Actâ€ file in the Downloads section below.</t>
  </si>
  <si>
    <t>https://dd3ka9h4chfr8.cloudfront.net/image/725136000567/image_os9r9qch352uv24rt3euh9j01k/-S150x150-FJPG/229566-003_PRM_1.jpg</t>
  </si>
  <si>
    <t>https://dd3ka9h4chfr8.cloudfront.net/image/725136000567/image_d3lluksa5p6et2djmn0ane2d5f/-FJPG/229566-003_FRT_1.jpg</t>
  </si>
  <si>
    <t>https://dd3ka9h4chfr8.cloudfront.net/image/725136000567/image_os9r9qch352uv24rt3euh9j01k/-FJPG/229566-003_PRM_1.jpg</t>
  </si>
  <si>
    <t>https://dd3ka9h4chfr8.cloudfront.net/image/725136000567/image_0d13k1c55d6dp6126md06l814p/-FJPG/229566-003_SID_1.jpg</t>
  </si>
  <si>
    <t>https://dd3ka9h4chfr8.cloudfront.net/image/725136000567/image_d82pu8ft4h5crea9acmnqq217e/-FJPG/229566-003_ESS_1.jpg</t>
  </si>
  <si>
    <t>https://dd3ka9h4chfr8.cloudfront.net/image/725136000567/image_oj99nr9u1h17lfa9598hv95m5c/-FJPG/229566-003_DET_2.jpg</t>
  </si>
  <si>
    <t>https://dd3ka9h4chfr8.cloudfront.net/image/725136000567/image_tdr2dosaeh57r70mj8uq3quo2e/-FJPG/229566-003_BCK_1.jpg</t>
  </si>
  <si>
    <t>https://dd3ka9h4chfr8.cloudfront.net/image/725136000567/image_5b2qfiats10711gosh93mska5r/-FJPG/229566-003_DET_1.jpg</t>
  </si>
  <si>
    <t>https://dd3ka9h4chfr8.cloudfront.net/image/725136000567/image_kvprc1kfkd44r3dm44jheqmm4j/-FJPG/229566-003_DET_3.jpg</t>
  </si>
  <si>
    <t>https://dd3ka9h4chfr8.cloudfront.net/image/725136000567/image_q9dbbrige57lr35mi3ts2ni66s/-FJPG/229566-003_OPN_1.jpg</t>
  </si>
  <si>
    <t>https://dd3ka9h4chfr8.cloudfront.net/image/725136000567/image_3rf2hsevgp4sf0u3o9tpsg2p3s/-FJPG/229566-003_DET_4.jpg</t>
  </si>
  <si>
    <t>https://dd3ka9h4chfr8.cloudfront.net/image/725136000567/image_jtmt37kohd1npeor395hpne619/-FJPG/229566-003_DET_5.jpg</t>
  </si>
  <si>
    <t>https://dd3ka9h4chfr8.cloudfront.net/image/725136000567/image_ji790ciboh0qp3cl5cb6frqs0q/-FJPG/229566-003_DET_6.jpg</t>
  </si>
  <si>
    <t>5.14"</t>
  </si>
  <si>
    <t>5.35"</t>
  </si>
  <si>
    <t>30.24"</t>
  </si>
  <si>
    <t>5.69"</t>
  </si>
  <si>
    <t>229567-003</t>
  </si>
  <si>
    <t>Meadow Nightstand - Tawny Oak Veneer</t>
  </si>
  <si>
    <t>With simple shaping inspired by midcentury casing, exposed framework and a warm oak finish bring a handcrafted, minimalist look to stylish bedside storage.</t>
  </si>
  <si>
    <t>https://dd3ka9h4chfr8.cloudfront.net/image/725136000567/image_hb23kc62n51jhedfrijjd4pa5c/-S150x150-FJPG/229567-003_PRM_1.jpg</t>
  </si>
  <si>
    <t>https://dd3ka9h4chfr8.cloudfront.net/image/725136000567/image_bmge9905n50b9d02ev67ldo67k/-FJPG/229567-003_FRT_1.jpg</t>
  </si>
  <si>
    <t>https://dd3ka9h4chfr8.cloudfront.net/image/725136000567/image_hb23kc62n51jhedfrijjd4pa5c/-FJPG/229567-003_PRM_1.jpg</t>
  </si>
  <si>
    <t>https://dd3ka9h4chfr8.cloudfront.net/image/725136000567/image_r8ki93u2015rb516b6f6n45a2n/-FJPG/229567-003_SID_1.jpg</t>
  </si>
  <si>
    <t>https://dd3ka9h4chfr8.cloudfront.net/image/725136000567/image_a1ha1m3cgl4el3hrmreommf07v/-FJPG/229567-003_ESS_1.jpg</t>
  </si>
  <si>
    <t>https://dd3ka9h4chfr8.cloudfront.net/image/725136000567/image_3gl7cdf4dt1m3bns26t36er14g/-FJPG/229567-003_DET_2.jpg</t>
  </si>
  <si>
    <t>https://dd3ka9h4chfr8.cloudfront.net/image/725136000567/image_c9vhokdmap4dbad07rus9svc2q/-FJPG/229567-003_BCK_1.jpg</t>
  </si>
  <si>
    <t>https://dd3ka9h4chfr8.cloudfront.net/image/725136000567/image_nsavo5m1j55lr1qcpe8pgqiq3f/-FJPG/229567-003_DET_1.jpg</t>
  </si>
  <si>
    <t>https://dd3ka9h4chfr8.cloudfront.net/image/725136000567/image_mvnrjv84mh0mp948rn2mlt6s1a/-FJPG/229567-003_DET_3.jpg</t>
  </si>
  <si>
    <t>https://dd3ka9h4chfr8.cloudfront.net/image/725136000567/image_okbud87i4l0nj6q0fh1304ft5l/-FJPG/229567-003_OPN_1.jpg</t>
  </si>
  <si>
    <t>https://dd3ka9h4chfr8.cloudfront.net/image/725136000567/image_vs8l3npekl1jjakmei1di5jm3a/-FJPG/229567-003_DET_4.jpg</t>
  </si>
  <si>
    <t>https://dd3ka9h4chfr8.cloudfront.net/image/725136000567/image_ihqfuog6id05v4d7t9osst751t/-FJPG/229567-003_DET_5.jpg</t>
  </si>
  <si>
    <t>https://dd3ka9h4chfr8.cloudfront.net/image/725136000567/image_ga5dlafjdh0m31vsstjppqv57r/-FJPG/229567-003_DET_6.jpg</t>
  </si>
  <si>
    <t>18.23"</t>
  </si>
  <si>
    <t>229608-001</t>
  </si>
  <si>
    <t>Liad Coffee Table - Natural Nettlewood</t>
  </si>
  <si>
    <t>Wells</t>
  </si>
  <si>
    <t>Natural Nettlewood</t>
  </si>
  <si>
    <t>Made from solid natural nettlewood, an open cross-style base supports a thick, rounded tabletop finished with a soft hand.</t>
  </si>
  <si>
    <t>https://dd3ka9h4chfr8.cloudfront.net/image/725136000567/image_gp4assqhpl50t2nec6c0k68q24/-S150x150-FJPG/229608-001_PRM_1.jpg</t>
  </si>
  <si>
    <t>https://dd3ka9h4chfr8.cloudfront.net/image/725136000567/image_gp4assqhpl50t2nec6c0k68q24/-FJPG/229608-001_PRM_1.jpg</t>
  </si>
  <si>
    <t>https://dd3ka9h4chfr8.cloudfront.net/image/725136000567/image_6ime6q3kch73vf1qblh4r7g95g/-FJPG/229608-001_SID_1.jpg</t>
  </si>
  <si>
    <t>https://dd3ka9h4chfr8.cloudfront.net/image/725136000567/image_mrcdugdo755158ertmtst5lm2c/-FJPG/229608-001_ESS_1.jpg</t>
  </si>
  <si>
    <t>https://dd3ka9h4chfr8.cloudfront.net/image/725136000567/image_t3t15nko1l56hd9hqf5slrnd1n/-FJPG/229608-001_DET_2.jpg</t>
  </si>
  <si>
    <t>https://dd3ka9h4chfr8.cloudfront.net/image/725136000567/image_huo56si2f54d15d6i8jefp9r3f/-FJPG/229608-001_DET_1.jpg</t>
  </si>
  <si>
    <t>https://dd3ka9h4chfr8.cloudfront.net/image/725136000567/image_mg54nfd0ah6vld9c1a99b9vd4r/-FJPG/229608-001_DET_3.jpg</t>
  </si>
  <si>
    <t>https://dd3ka9h4chfr8.cloudfront.net/image/725136000567/image_vdr3rh07dt32n091a56josvf0b/-FJPG/229608-001_TOP_1.jpg</t>
  </si>
  <si>
    <t>https://dd3ka9h4chfr8.cloudfront.net/image/725136000567/image_5ls98q1gop1f5ba18uk14l7u7e/-FJPG/229608-001_DET_4.jpg</t>
  </si>
  <si>
    <t>https://dd3ka9h4chfr8.cloudfront.net/image/725136000567/image_c59qsdd3fd5sn9njafe5h8n82k/-FJPG/229608-001_DET_5.jpg</t>
  </si>
  <si>
    <t>https://dd3ka9h4chfr8.cloudfront.net/image/725136000567/image_85550la4e95ile76qd6v2irv69/-FJPG/229608-001_DET_6.jpg</t>
  </si>
  <si>
    <t>Liad</t>
  </si>
  <si>
    <t>229646-003</t>
  </si>
  <si>
    <t>Meadow Console Table - Tawny Oak Veneer</t>
  </si>
  <si>
    <t>With simple shaping inspired by midcentury casing, exposed framework and a warm oak finish bring a handcrafted, minimalist look to modern media styling. Rear cutouts for cord management.</t>
  </si>
  <si>
    <t>https://dd3ka9h4chfr8.cloudfront.net/image/725136000567/image_q0bcdti61p3an18c6843tml332/-S150x150-FJPG/229646-003_PRM_1.jpg</t>
  </si>
  <si>
    <t>https://dd3ka9h4chfr8.cloudfront.net/image/725136000567/image_i44euumbg540rc8umpo6pn4d0m/-FJPG/229646-003_FRT_1.jpg</t>
  </si>
  <si>
    <t>https://dd3ka9h4chfr8.cloudfront.net/image/725136000567/image_q0bcdti61p3an18c6843tml332/-FJPG/229646-003_PRM_1.jpg</t>
  </si>
  <si>
    <t>https://dd3ka9h4chfr8.cloudfront.net/image/725136000567/image_vbhln9r4kd1i9ckmj6a8t2mb2j/-FJPG/229646-003_SID_1.jpg</t>
  </si>
  <si>
    <t>https://dd3ka9h4chfr8.cloudfront.net/image/725136000567/image_gg151palpd7in8rq520kf5u77b/-FJPG/229646-003_ESS_1.jpg</t>
  </si>
  <si>
    <t>https://dd3ka9h4chfr8.cloudfront.net/image/725136000567/image_so4h54c5ad7mp3fh13t8bida1s/-FJPG/229646-003_DET_2.jpg</t>
  </si>
  <si>
    <t>https://dd3ka9h4chfr8.cloudfront.net/image/725136000567/image_83cddlcqsp4b9dlbe1eersqk3o/-FJPG/229646-003_BCK_1.jpg</t>
  </si>
  <si>
    <t>https://dd3ka9h4chfr8.cloudfront.net/image/725136000567/image_8uu81ft5k54pn7c0rerblhcl31/-FJPG/229646-003_DET_1.jpg</t>
  </si>
  <si>
    <t>https://dd3ka9h4chfr8.cloudfront.net/image/725136000567/image_3ms8vs76il3s1fn8m8qmtkqu1s/-FJPG/229646-003_DET_3.jpg</t>
  </si>
  <si>
    <t>https://dd3ka9h4chfr8.cloudfront.net/image/725136000567/image_sjt0pkng610bj86sgc4k3pio5b/-FJPG/229646-003_OPN_1.jpg</t>
  </si>
  <si>
    <t>https://dd3ka9h4chfr8.cloudfront.net/image/725136000567/image_k641bct8kd6ftc4d8b0uq2cb14/-FJPG/229646-003_DET_4.jpg</t>
  </si>
  <si>
    <t>https://dd3ka9h4chfr8.cloudfront.net/image/725136000567/image_h36j19fq857mp79njdk6r8gu3f/-FJPG/229646-003_DET_5.jpg</t>
  </si>
  <si>
    <t>57.48"</t>
  </si>
  <si>
    <t>15.59"</t>
  </si>
  <si>
    <t>12.05"</t>
  </si>
  <si>
    <t>3.43"</t>
  </si>
  <si>
    <t>17.56"</t>
  </si>
  <si>
    <t>229656-002</t>
  </si>
  <si>
    <t>Abaso Console Table - Rustic Ash Oyster</t>
  </si>
  <si>
    <t>Rustic Ash Oyster</t>
  </si>
  <si>
    <t>Rustic Wormwood Oak</t>
  </si>
  <si>
    <t>Thick Oyster Cut Ash Oyster Veneer</t>
  </si>
  <si>
    <t>Made from thick-cut oak veneer with a faux rustic finish made to emulate wormwood, this low, large-scale console table features chunky squared legs and dovetail joinery detailing.</t>
  </si>
  <si>
    <t>https://dd3ka9h4chfr8.cloudfront.net/image/725136000567/image_lkocca1ghd5cre5i2t5na35i4d/-S150x150-FJPG/229656-002_PRM_1.jpg</t>
  </si>
  <si>
    <t>https://dd3ka9h4chfr8.cloudfront.net/image/725136000567/image_h7c6ihrsp556p3m76bmmb98i43/-FJPG/229656-002_FRT_1.jpg</t>
  </si>
  <si>
    <t>https://dd3ka9h4chfr8.cloudfront.net/image/725136000567/image_lkocca1ghd5cre5i2t5na35i4d/-FJPG/229656-002_PRM_1.jpg</t>
  </si>
  <si>
    <t>https://dd3ka9h4chfr8.cloudfront.net/image/725136000567/image_i6cblqu8ul5h1fol2860p2mo1b/-FJPG/229656-002_SID_1.jpg</t>
  </si>
  <si>
    <t>https://dd3ka9h4chfr8.cloudfront.net/image/725136000567/image_cr5qnc2o597537f4olfp1j8o5u/-FJPG/229656-002_ESS_1.jpg</t>
  </si>
  <si>
    <t>https://dd3ka9h4chfr8.cloudfront.net/image/725136000567/image_mb1hd2jmr51vv3uis9s506rp41/-FJPG/Page 10-TR_FHMPRJ_Q4LB22-0823_ALT.jpg</t>
  </si>
  <si>
    <t>https://dd3ka9h4chfr8.cloudfront.net/image/725136000567/image_n562mo9eeh4lrbeaeucfrq6u32/-FJPG/229656-002_DET_2.jpg</t>
  </si>
  <si>
    <t>https://dd3ka9h4chfr8.cloudfront.net/image/725136000567/image_17l9n7kurh24nd2fenpfts7r4p/-FJPG/229656-002_DET_1.jpg</t>
  </si>
  <si>
    <t>https://dd3ka9h4chfr8.cloudfront.net/image/725136000567/image_bkkusddmep1bre67v14el03510/-FJPG/229656-002_DET_3.jpg</t>
  </si>
  <si>
    <t>https://dd3ka9h4chfr8.cloudfront.net/image/725136000567/image_mubpndkst55l74afdl3egf8307/-FJPG/229656-002_DET_4.jpg</t>
  </si>
  <si>
    <t>https://dd3ka9h4chfr8.cloudfront.net/image/725136000567/image_8ina3qdh7p7f326jj4n0fp8e0d/-FJPG/229656-002_DET_5.jpg</t>
  </si>
  <si>
    <t>70.75"</t>
  </si>
  <si>
    <t>8.13"</t>
  </si>
  <si>
    <t>7.63"</t>
  </si>
  <si>
    <t>229656-003</t>
  </si>
  <si>
    <t>Abaso Console Table - Ebony Rustic Ash Oyster</t>
  </si>
  <si>
    <t>Ebony Rustic Ash Oyster</t>
  </si>
  <si>
    <t>Made from thick-cut oak veneer with a faux rustic finish made to emulate wormwood oak, this low, large-scale console table features chunky squared legs and dovetail joinery detailing.</t>
  </si>
  <si>
    <t>https://dd3ka9h4chfr8.cloudfront.net/image/725136000567/image_s8m5ae5irp46ja124j86o7sb4e/-S150x150-FJPG/229656-003_PRM_1.jpg</t>
  </si>
  <si>
    <t>https://dd3ka9h4chfr8.cloudfront.net/image/725136000567/image_fntpsrdjg52152jftm5t4f3528/-FJPG/229656-003_FRT_1.jpg</t>
  </si>
  <si>
    <t>https://dd3ka9h4chfr8.cloudfront.net/image/725136000567/image_s8m5ae5irp46ja124j86o7sb4e/-FJPG/229656-003_PRM_1.jpg</t>
  </si>
  <si>
    <t>https://dd3ka9h4chfr8.cloudfront.net/image/725136000567/image_sue799auvd4u177d27p7p0va71/-FJPG/229656-003_SID_1.jpg</t>
  </si>
  <si>
    <t>https://dd3ka9h4chfr8.cloudfront.net/image/725136000567/image_ei40rdmj65145epp0uj3od0d5g/-FJPG/229656-003_ESS_1.jpg</t>
  </si>
  <si>
    <t>https://dd3ka9h4chfr8.cloudfront.net/image/725136000567/image_drnok33kbt11hf9mg1s2958158/-FJPG/229656-003_ESS.tif</t>
  </si>
  <si>
    <t>https://dd3ka9h4chfr8.cloudfront.net/image/725136000567/image_3rq9fmvj4d3pr3jdidgj34d96d/-FJPG/229656-003_HOV_1.jpg</t>
  </si>
  <si>
    <t>https://dd3ka9h4chfr8.cloudfront.net/image/725136000567/image_rphups9c055or6nj91uhf1l067/-FJPG/229656-003_DET_2.jpg</t>
  </si>
  <si>
    <t>https://dd3ka9h4chfr8.cloudfront.net/image/725136000567/image_v8hb9o3jr15lv1v9mt200aak7s/-FJPG/229656-003_DET_1.jpg</t>
  </si>
  <si>
    <t>https://dd3ka9h4chfr8.cloudfront.net/image/725136000567/image_538ooo7u4t0gdb84hscm23ol04/-FJPG/229656-003_DET_3.jpg</t>
  </si>
  <si>
    <t>https://dd3ka9h4chfr8.cloudfront.net/image/725136000567/image_3hv90vton123p6b0j7j1f6st63/-FJPG/229656-003_DET_4.jpg</t>
  </si>
  <si>
    <t>https://dd3ka9h4chfr8.cloudfront.net/image/725136000567/image_hpj4g1mnp14vja7h9a5bb79d6h/-FJPG/229656-003_DET_5.jpg</t>
  </si>
  <si>
    <t>229878-001</t>
  </si>
  <si>
    <t>Fleming Sofa - Alcala Wheat</t>
  </si>
  <si>
    <t>Coastal casual meets the folded trend. Wide folded wrap arms and slim wooden legs bring sleek drama to a traditional frame. Upholstered in a soft poly/linen blend with soft, subtle texture for a casual look and feel.</t>
  </si>
  <si>
    <t>https://dd3ka9h4chfr8.cloudfront.net/image/725136000567/image_d020409jud6hpfv62hhmoqsf41/-S150x150-FJPG/229878-001_PRM_1.jpg</t>
  </si>
  <si>
    <t>https://dd3ka9h4chfr8.cloudfront.net/image/725136000567/image_89q7m5b9e97lh6d1ctmh58og09/-FJPG/229878-001_FRT_1.jpg</t>
  </si>
  <si>
    <t>https://dd3ka9h4chfr8.cloudfront.net/image/725136000567/image_d020409jud6hpfv62hhmoqsf41/-FJPG/229878-001_PRM_1.jpg</t>
  </si>
  <si>
    <t>https://dd3ka9h4chfr8.cloudfront.net/image/725136000567/image_2uf812ccgl6vv6dmumggkcqs1q/-FJPG/229878-001_SID_1.jpg</t>
  </si>
  <si>
    <t>https://dd3ka9h4chfr8.cloudfront.net/image/725136000567/image_os27uo33q56mr0116li5s6up22/-FJPG/229878-001_ESS_1.jpg</t>
  </si>
  <si>
    <t>https://dd3ka9h4chfr8.cloudfront.net/image/725136000567/image_7uavj7e9r94crf61kd1c8srb17/-FJPG/229878-001_DET_2.jpg</t>
  </si>
  <si>
    <t>https://dd3ka9h4chfr8.cloudfront.net/image/725136000567/image_91c2sdmtvd4cdebse9lrsupp2h/-FJPG/229878-001_BCK_1.jpg</t>
  </si>
  <si>
    <t>https://dd3ka9h4chfr8.cloudfront.net/image/725136000567/image_jblbjtsh2p4pr8u06c01nd974p/-FJPG/229878-001_DET_1.jpg</t>
  </si>
  <si>
    <t>https://dd3ka9h4chfr8.cloudfront.net/image/725136000567/image_g28jllo00943del83mcfj71h2e/-FJPG/229878-001_DET_3.jpg</t>
  </si>
  <si>
    <t>https://dd3ka9h4chfr8.cloudfront.net/image/725136000567/image_565rc9lhft2tr701a6u4upgk0n/-FJPG/229878-001_DET_4.jpg</t>
  </si>
  <si>
    <t>https://dd3ka9h4chfr8.cloudfront.net/image/725136000567/image_6096rbaqb52f5af48gr6vmfm59/-FJPG/229878-001_DET_5.jpg</t>
  </si>
  <si>
    <t>https://dd3ka9h4chfr8.cloudfront.net/image/725136000567/image_gsavqbvfrp6qp82nb912jgc019/-FJPG/229878-001_DET_6.jpg</t>
  </si>
  <si>
    <t>https://dd3ka9h4chfr8.cloudfront.net/image/725136000567/image_1nq9bu571d1efbumcv2a976s14/-FJPG/229878-001_DET_7.jpg</t>
  </si>
  <si>
    <t>https://dd3ka9h4chfr8.cloudfront.net/image/725136000567/image_scsiojm0fh7ej7a8411gdjoi66/-FJPG/229878-001_ESS_2.jpg</t>
  </si>
  <si>
    <t>https://dd3ka9h4chfr8.cloudfront.net/image/725136000567/image_b9bvlm8vid2458k2lj73ji0f65/-FJPG/229878-001_PRM_2.jpg</t>
  </si>
  <si>
    <t>50% Polyurethane Foam Pad, 25% Waterfowl Feather, 25% Polyester Fiber Batting</t>
  </si>
  <si>
    <t>Fleming</t>
  </si>
  <si>
    <t>43.00"</t>
  </si>
  <si>
    <t>229886-001</t>
  </si>
  <si>
    <t>Alfie Dining Table - Waxed Pine</t>
  </si>
  <si>
    <t>Made from solid pine that's been weathered for a distressed, farmhouse-style look then finished in a warm honey. Simple tapered legs support an oval top with a stretcher and apron for a beautifully traditional look. Seats 10 comfortably.</t>
  </si>
  <si>
    <t>https://dd3ka9h4chfr8.cloudfront.net/image/725136000567/image_kbhqp282u13tjdis8lt2tnqh5j/-S150x150-FJPG/229886-001_PRM_1.jpg</t>
  </si>
  <si>
    <t>https://dd3ka9h4chfr8.cloudfront.net/image/725136000567/image_fsqs9tr6hl3cb7h4tndjoa2f1t/-FJPG/229886-001_FRT_1.jpg</t>
  </si>
  <si>
    <t>https://dd3ka9h4chfr8.cloudfront.net/image/725136000567/image_kbhqp282u13tjdis8lt2tnqh5j/-FJPG/229886-001_PRM_1.jpg</t>
  </si>
  <si>
    <t>https://dd3ka9h4chfr8.cloudfront.net/image/725136000567/image_dkqtm62a4143f23m7ahpkqn37l/-FJPG/229886-001_SID_1.jpg</t>
  </si>
  <si>
    <t>https://dd3ka9h4chfr8.cloudfront.net/image/725136000567/image_s19ku43kqp5g550fs01tint578/-FJPG/229886-001_DET_2.jpg</t>
  </si>
  <si>
    <t>https://dd3ka9h4chfr8.cloudfront.net/image/725136000567/image_jco90aapd96ehcl6pfskhu8v7k/-FJPG/229886-001_DET_1.jpg</t>
  </si>
  <si>
    <t>https://dd3ka9h4chfr8.cloudfront.net/image/725136000567/image_n9rqis7u7t0r59ua2fa82hr06r/-FJPG/229886-001_DET_3.jpg</t>
  </si>
  <si>
    <t>https://dd3ka9h4chfr8.cloudfront.net/image/725136000567/image_lli03or9qd6nl96qhagoudql0l/-FJPG/229886-001_DET_4.jpg</t>
  </si>
  <si>
    <t>https://dd3ka9h4chfr8.cloudfront.net/image/725136000567/image_4vl6vhpe6t0r7a632mvk5qe90s/-FJPG/229886-001_DET_5.jpg</t>
  </si>
  <si>
    <t>https://dd3ka9h4chfr8.cloudfront.net/image/725136000567/image_s3hpupmuu57ep348qgtntsgp4a/-FJPG/229886-001_DET_6.jpg</t>
  </si>
  <si>
    <t>https://dd3ka9h4chfr8.cloudfront.net/image/725136000567/image_7splh8o7pd441ekm13dt3p1o7c/-FJPG/229886-001_ROM_1.jpg</t>
  </si>
  <si>
    <t>Onetop</t>
  </si>
  <si>
    <t>Onebase</t>
  </si>
  <si>
    <t>Alfie</t>
  </si>
  <si>
    <t>5.63"</t>
  </si>
  <si>
    <t>82.68"</t>
  </si>
  <si>
    <t>229886-003</t>
  </si>
  <si>
    <t>Alfie Dining Table - Black Pine</t>
  </si>
  <si>
    <t>Made from solid pine that's been weathered for a distressed, farmhouse-style look then finished in a classic black. Simple tapered legs support an oval top with a stretcher and apron for a beautifully traditional look.</t>
  </si>
  <si>
    <t>https://dd3ka9h4chfr8.cloudfront.net/image/725136000567/image_5m8nj4ifop0p72crhf4f3qcu0j/-S150x150-FJPG/229886-003_PRM_1.jpg</t>
  </si>
  <si>
    <t>https://dd3ka9h4chfr8.cloudfront.net/image/725136000567/image_hsv4usvrph0jbbsi1dg2qj3334/-FJPG/229886-003_FRT_1.jpg</t>
  </si>
  <si>
    <t>https://dd3ka9h4chfr8.cloudfront.net/image/725136000567/image_5m8nj4ifop0p72crhf4f3qcu0j/-FJPG/229886-003_PRM_1.jpg</t>
  </si>
  <si>
    <t>https://dd3ka9h4chfr8.cloudfront.net/image/725136000567/image_ve908m2su132508o1ud2fq483v/-FJPG/229886-003_SID_1.jpg</t>
  </si>
  <si>
    <t>https://dd3ka9h4chfr8.cloudfront.net/image/725136000567/image_j2abvt7ft90olfhi6lj5453961/-FJPG/229886-003_ESS.tif</t>
  </si>
  <si>
    <t>https://dd3ka9h4chfr8.cloudfront.net/image/725136000567/image_dmh8h7vtgl2i94tjufsnp8sm1k/-FJPG/229886-003_DET_2.jpg</t>
  </si>
  <si>
    <t>https://dd3ka9h4chfr8.cloudfront.net/image/725136000567/image_lqa3gt3vnt3f95cm8ge8m7q613/-FJPG/229886-003_DET_1.jpg</t>
  </si>
  <si>
    <t>https://dd3ka9h4chfr8.cloudfront.net/image/725136000567/image_9fu2rsb9613ft17nf5rdobdl5h/-FJPG/229886-003_DET_3.jpg</t>
  </si>
  <si>
    <t>https://dd3ka9h4chfr8.cloudfront.net/image/725136000567/image_2au4ncdial4fh1l2hs43pr4430/-FJPG/229886-003_DET_4.jpg</t>
  </si>
  <si>
    <t>https://dd3ka9h4chfr8.cloudfront.net/image/725136000567/image_hc4qousfad2o58le48kjai3q58/-FJPG/229886-003_DET_5.jpg</t>
  </si>
  <si>
    <t>https://dd3ka9h4chfr8.cloudfront.net/image/725136000567/image_nmp46rm4nl6i128e58ionqss2g/-FJPG/229886-003_DET_6.jpg</t>
  </si>
  <si>
    <t>229887-001</t>
  </si>
  <si>
    <t>Made from solid pine that's been weathered for a distressed, farmhouse-style look then finished in a warm honey. Simple tapered legs support an oval top with a stretcher and apron for a beautifully traditional look. Seats 8 comfortably.</t>
  </si>
  <si>
    <t>https://dd3ka9h4chfr8.cloudfront.net/image/725136000567/image_c9457pj4vd3fd1sa5nk0o0u412/-S150x150-FJPG/229887-001_PRM_1.jpg</t>
  </si>
  <si>
    <t>https://dd3ka9h4chfr8.cloudfront.net/image/725136000567/image_a0059t9kv50o551hbkuhef1v4j/-FJPG/229887-001_FRT_1.jpg</t>
  </si>
  <si>
    <t>https://dd3ka9h4chfr8.cloudfront.net/image/725136000567/image_c9457pj4vd3fd1sa5nk0o0u412/-FJPG/229887-001_PRM_1.jpg</t>
  </si>
  <si>
    <t>https://dd3ka9h4chfr8.cloudfront.net/image/725136000567/image_9g6mp0dh017cb6roa2cjj5tf6c/-FJPG/229887-001_SID_1.jpg</t>
  </si>
  <si>
    <t>https://dd3ka9h4chfr8.cloudfront.net/image/725136000567/image_btk6j9m8l13bbe06mf046alj5n/-FJPG/229887-001_ESS_1.jpg</t>
  </si>
  <si>
    <t>https://dd3ka9h4chfr8.cloudfront.net/image/725136000567/image_rtlnb3ci250fv4h7t24gne5o65/-FJPG/229887-001_DET_2.jpg</t>
  </si>
  <si>
    <t>https://dd3ka9h4chfr8.cloudfront.net/image/725136000567/image_blovh9ibit69v37jfd5t4d0u5b/-FJPG/229887-001_DET_1.jpg</t>
  </si>
  <si>
    <t>https://dd3ka9h4chfr8.cloudfront.net/image/725136000567/image_k89vanlq114gdacrb91s6tiu2f/-FJPG/229887-001_DET_3.jpg</t>
  </si>
  <si>
    <t>https://dd3ka9h4chfr8.cloudfront.net/image/725136000567/image_h9dphdd7n96ld9n9c8qvorg84f/-FJPG/229887-001_DET_4.jpg</t>
  </si>
  <si>
    <t>https://dd3ka9h4chfr8.cloudfront.net/image/725136000567/image_rob4kphlj53eh7p9c03n8inb7n/-FJPG/229887-001_DET_5.jpg</t>
  </si>
  <si>
    <t>https://dd3ka9h4chfr8.cloudfront.net/image/725136000567/image_bhsg5qh499713apjr7r15lcg5p/-FJPG/229887-001_DET_6.jpg</t>
  </si>
  <si>
    <t>59.06"</t>
  </si>
  <si>
    <t>229887-002</t>
  </si>
  <si>
    <t>https://dd3ka9h4chfr8.cloudfront.net/image/725136000567/image_lvaoc8m11d3e1c37tbm6tr7p51/-S150x150-FJPG/229887-002_PRM_1.jpg</t>
  </si>
  <si>
    <t>https://dd3ka9h4chfr8.cloudfront.net/image/725136000567/image_f6aeceebhd6u9a7fg873s4ja54/-FJPG/229887-002_FRT_1.jpg</t>
  </si>
  <si>
    <t>https://dd3ka9h4chfr8.cloudfront.net/image/725136000567/image_lvaoc8m11d3e1c37tbm6tr7p51/-FJPG/229887-002_PRM_1.jpg</t>
  </si>
  <si>
    <t>https://dd3ka9h4chfr8.cloudfront.net/image/725136000567/image_8i6frl9eh54tr6d4q1gbld7163/-FJPG/229887-002_SID_1.jpg</t>
  </si>
  <si>
    <t>https://dd3ka9h4chfr8.cloudfront.net/image/725136000567/image_i4ab9k4v1h6c96r7hblm004k4b/-FJPG/229887-002_DET_2.jpg</t>
  </si>
  <si>
    <t>https://dd3ka9h4chfr8.cloudfront.net/image/725136000567/image_8iimfqon4t1et5madhdovilf4q/-FJPG/229887-002_DET_1.jpg</t>
  </si>
  <si>
    <t>https://dd3ka9h4chfr8.cloudfront.net/image/725136000567/image_o5tqhkpdlt681dcjbqe312aj65/-FJPG/229887-002_DET_3.jpg</t>
  </si>
  <si>
    <t>https://dd3ka9h4chfr8.cloudfront.net/image/725136000567/image_2eirj1kdvd28neq1n6hnrsmp29/-FJPG/229887-002_DET_4.jpg</t>
  </si>
  <si>
    <t>https://dd3ka9h4chfr8.cloudfront.net/image/725136000567/image_3ovb2suqe56518ul114qbcfj1k/-FJPG/229887-002_DET_5.jpg</t>
  </si>
  <si>
    <t>https://dd3ka9h4chfr8.cloudfront.net/image/725136000567/image_atb77pq1hl48h2ak3ev0cffv7p/-FJPG/229887-002_DET_6.jpg</t>
  </si>
  <si>
    <t>230136-001</t>
  </si>
  <si>
    <t>Halston Ottoman - Heirloom Black</t>
  </si>
  <si>
    <t>A Seventies-era style inspired by a flea market find. Top-grain leather features dramatic tufting with sling detailing and wide ash framing below. Sourced from one of the oldest family-owned tanneries in Italy's Bassano del Grappa, heirloom leather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</si>
  <si>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https://dd3ka9h4chfr8.cloudfront.net/image/725136000567/image_vqisa7ihjt4v1162gnge5pv94b/-S150x150-FJPG/230136-001_PRM_1.jpg</t>
  </si>
  <si>
    <t>https://dd3ka9h4chfr8.cloudfront.net/image/725136000567/image_68co2m92o15o74h7mp306hga2a/-FJPG/230136-001_FRT_1.jpg</t>
  </si>
  <si>
    <t>https://dd3ka9h4chfr8.cloudfront.net/image/725136000567/image_vqisa7ihjt4v1162gnge5pv94b/-FJPG/230136-001_PRM_1.jpg</t>
  </si>
  <si>
    <t>https://dd3ka9h4chfr8.cloudfront.net/image/725136000567/image_ipd1ei1oih16b4kk2ob76mh724/-FJPG/230136-001_SID_1.jpg</t>
  </si>
  <si>
    <t>https://dd3ka9h4chfr8.cloudfront.net/image/725136000567/image_dfdvrvg4nt1gb8a0j52jrvct6a/-FJPG/230136-001_ESS_1.jpg</t>
  </si>
  <si>
    <t>https://dd3ka9h4chfr8.cloudfront.net/image/725136000567/image_p10borc4ll3qp09qsauqa5cr07/-FJPG/230136-001_DET_2.jpg</t>
  </si>
  <si>
    <t>https://dd3ka9h4chfr8.cloudfront.net/image/725136000567/image_ds02pq2rrp1rb5lu19l81pke5i/-FJPG/230136-001_DET_1.jpg</t>
  </si>
  <si>
    <t>https://dd3ka9h4chfr8.cloudfront.net/image/725136000567/image_t1bha4sobd5r1flfa7krppcn6p/-FJPG/230136-001_DET_3.jpg</t>
  </si>
  <si>
    <t>https://dd3ka9h4chfr8.cloudfront.net/image/725136000567/image_cdj5p5k8115kh9vfha8f4g3v1u/-FJPG/230136-001_DET_4.JPG</t>
  </si>
  <si>
    <t>230136-002</t>
  </si>
  <si>
    <t>Halston Ottoman - Heirloom Sienna</t>
  </si>
  <si>
    <t>https://dd3ka9h4chfr8.cloudfront.net/image/725136000567/image_6notbcjsih2u1av4kl0fblj65i/-S150x150-FJPG/230136-002_PRM_1.jpg</t>
  </si>
  <si>
    <t>https://dd3ka9h4chfr8.cloudfront.net/image/725136000567/image_dkfrjnhp2d5j5efs99l2kc312k/-FJPG/230136-002_FRT_1.jpg</t>
  </si>
  <si>
    <t>https://dd3ka9h4chfr8.cloudfront.net/image/725136000567/image_6notbcjsih2u1av4kl0fblj65i/-FJPG/230136-002_PRM_1.jpg</t>
  </si>
  <si>
    <t>https://dd3ka9h4chfr8.cloudfront.net/image/725136000567/image_etm32aja3p6751t8clnt5gqf69/-FJPG/230136-002_SID_1.jpg</t>
  </si>
  <si>
    <t>https://dd3ka9h4chfr8.cloudfront.net/image/725136000567/image_pjdeoa1k9t3mj86p7hnogpu701/-FJPG/230136-002_DET_2.jpg</t>
  </si>
  <si>
    <t>https://dd3ka9h4chfr8.cloudfront.net/image/725136000567/image_lddm28gsfl067a37dre1u5j62b/-FJPG/230136-002_DET_1.jpg</t>
  </si>
  <si>
    <t>https://dd3ka9h4chfr8.cloudfront.net/image/725136000567/image_8qqnatdl7l3658b76dlshe6808/-FJPG/230136-002_DET_3.jpg</t>
  </si>
  <si>
    <t>https://dd3ka9h4chfr8.cloudfront.net/image/725136000567/image_d20auv77fh1ah25v4qqka93f7p/-FJPG/230136-002_DET_4.jpg</t>
  </si>
  <si>
    <t>https://dd3ka9h4chfr8.cloudfront.net/image/725136000567/image_52caiprh097p79t6tr1biq4g0b/-FJPG/230136-002_PRM_2.jpg</t>
  </si>
  <si>
    <t>230136-006</t>
  </si>
  <si>
    <t>Halston Ottoman - Palermo Drift</t>
  </si>
  <si>
    <t>Top-grain leather in earthy taupe features dramatic tufting with sling detailing and a wide ash base.</t>
  </si>
  <si>
    <t>https://dd3ka9h4chfr8.cloudfront.net/image/725136000567/image_3ja7an9s150cf637unai1rg90e/-S150x150-FJPG/230136-006_PRM_1.jpg</t>
  </si>
  <si>
    <t>https://dd3ka9h4chfr8.cloudfront.net/image/725136000567/image_igoenvpog905f8us4v9v7vpk7r/-FJPG/230136-006_FRT_1.jpg</t>
  </si>
  <si>
    <t>https://dd3ka9h4chfr8.cloudfront.net/image/725136000567/image_3ja7an9s150cf637unai1rg90e/-FJPG/230136-006_PRM_1.jpg</t>
  </si>
  <si>
    <t>https://dd3ka9h4chfr8.cloudfront.net/image/725136000567/image_1a4u6ikcu52jj8u55vaint3j20/-FJPG/230136-006_SID_1.jpg</t>
  </si>
  <si>
    <t>https://dd3ka9h4chfr8.cloudfront.net/image/725136000567/image_72gtiqoq9t2kd3cds977jl471s/-FJPG/230136-006_DET_2.jpg</t>
  </si>
  <si>
    <t>https://dd3ka9h4chfr8.cloudfront.net/image/725136000567/image_raftqsjdq946fab59v0sa6uc7v/-FJPG/230136-006_DET_1.jpg</t>
  </si>
  <si>
    <t>https://dd3ka9h4chfr8.cloudfront.net/image/725136000567/image_0nl27isuop703fm5sgkh34oa02/-FJPG/230136-006_DET_3.jpg</t>
  </si>
  <si>
    <t>https://dd3ka9h4chfr8.cloudfront.net/image/725136000567/image_7miemd1s6h4415pm8cjvkahg1m/-FJPG/230136-006_DET_4.jpg</t>
  </si>
  <si>
    <t>https://dd3ka9h4chfr8.cloudfront.net/image/725136000567/image_1as9jafbdl573fpmkvm8ndr057/-FJPG/230136-006_DET_5.jpg</t>
  </si>
  <si>
    <t>https://dd3ka9h4chfr8.cloudfront.net/image/725136000567/image_38s46ikdop07ldduc7op3ear4i/-FJPG/230136-006_DET_6.jpg</t>
  </si>
  <si>
    <t>230152-001</t>
  </si>
  <si>
    <t>Augustine Bench - Deacon Wolf</t>
  </si>
  <si>
    <t>Versatile accent bench. Layer in an extra surface or added seating by way of a top-grain leather bench in a rich deep brown with dramatic channeling for great texture.</t>
  </si>
  <si>
    <t>https://dd3ka9h4chfr8.cloudfront.net/image/725136000567/image_hvqqiivp4116rd7iqgcuk7n97i/-S150x150-FJPG/230152-001_PRM_1.jpg</t>
  </si>
  <si>
    <t>https://dd3ka9h4chfr8.cloudfront.net/image/725136000567/image_8ep9jkvg9h0utc5kf8ik5tb42m/-FJPG/230152-001_FRT_1.jpg</t>
  </si>
  <si>
    <t>https://dd3ka9h4chfr8.cloudfront.net/image/725136000567/image_hvqqiivp4116rd7iqgcuk7n97i/-FJPG/230152-001_PRM_1.jpg</t>
  </si>
  <si>
    <t>https://dd3ka9h4chfr8.cloudfront.net/image/725136000567/image_nt98mj88s11g5bnn45ji1rrv6n/-FJPG/230152-001_SID_1.jpg</t>
  </si>
  <si>
    <t>https://dd3ka9h4chfr8.cloudfront.net/image/725136000567/image_77g4a5akp12pf4gkipjmoncu66/-FJPG/230152-001_ESS.tif</t>
  </si>
  <si>
    <t>https://dd3ka9h4chfr8.cloudfront.net/image/725136000567/image_m9ip8jofch5dv87f90e9pl6o7l/-FJPG/230152-001_DET_2.jpg</t>
  </si>
  <si>
    <t>https://dd3ka9h4chfr8.cloudfront.net/image/725136000567/image_gohehrvnkh1519bh2d4bko0a2u/-FJPG/230152-001_DET_1.jpg</t>
  </si>
  <si>
    <t>https://dd3ka9h4chfr8.cloudfront.net/image/725136000567/image_fqlmi78mjd3ovcckvrt3s17g39/-FJPG/230152-001_DET_3.jpg</t>
  </si>
  <si>
    <t>https://dd3ka9h4chfr8.cloudfront.net/image/725136000567/image_jfrr0svnbp3mv0soaigdmqd21m/-FJPG/230152-001_TOP_1.jpg</t>
  </si>
  <si>
    <t>https://dd3ka9h4chfr8.cloudfront.net/image/725136000567/image_69bau4so8h2sjb3t068aoa7714/-FJPG/230152-001_DET_4.jpg</t>
  </si>
  <si>
    <t>https://dd3ka9h4chfr8.cloudfront.net/image/725136000567/image_0c64nb2ku94tpc5nktohev5q4c/-FJPG/230152-001_DET_5.jpg</t>
  </si>
  <si>
    <t>https://dd3ka9h4chfr8.cloudfront.net/image/725136000567/image_es9pi2ntlh7q525t34ss9osc4l/-FJPG/230152-001_DET_6.jpg</t>
  </si>
  <si>
    <t>Completer Item</t>
  </si>
  <si>
    <t>51.00"</t>
  </si>
  <si>
    <t>230152-003</t>
  </si>
  <si>
    <t>Augustine Bench - Sapphire Navy</t>
  </si>
  <si>
    <t>Versatile accent bench. Layer in an extra surface or added seating by way of a velvet-like bench in a crisp, clean navy with dramatic channeling for great texture.</t>
  </si>
  <si>
    <t>https://dd3ka9h4chfr8.cloudfront.net/image/725136000567/image_7bie1unkll7gd73e7gfbpogf3k/-S150x150-FJPG/230152-003_PRM_1.JPG</t>
  </si>
  <si>
    <t>https://dd3ka9h4chfr8.cloudfront.net/image/725136000567/image_17gsglkcmp1rv23i1amvps3b2p/-FJPG/230152-003_FRT_1.JPG</t>
  </si>
  <si>
    <t>https://dd3ka9h4chfr8.cloudfront.net/image/725136000567/image_7bie1unkll7gd73e7gfbpogf3k/-FJPG/230152-003_PRM_1.JPG</t>
  </si>
  <si>
    <t>https://dd3ka9h4chfr8.cloudfront.net/image/725136000567/image_donvriljmt20bdghith6cam332/-FJPG/230152-003_SID_1.JPG</t>
  </si>
  <si>
    <t>https://dd3ka9h4chfr8.cloudfront.net/image/725136000567/image_vbemi1ro0l7qf6b27no47rmq3f/-FJPG/230152-003_ESS.tif</t>
  </si>
  <si>
    <t>https://dd3ka9h4chfr8.cloudfront.net/image/725136000567/image_dgbeahas992ff77p0hgt1bdf4b/-FJPG/230152-003_DET_2.JPG</t>
  </si>
  <si>
    <t>https://dd3ka9h4chfr8.cloudfront.net/image/725136000567/image_i8ru9juu752kb9nfoca7qtg34n/-FJPG/230152-003_DET_1.JPG</t>
  </si>
  <si>
    <t>https://dd3ka9h4chfr8.cloudfront.net/image/725136000567/image_d0fnndl89h27b247v3fj90ef2l/-FJPG/230152-003_DET_3.JPG</t>
  </si>
  <si>
    <t>https://dd3ka9h4chfr8.cloudfront.net/image/725136000567/image_b4850789mp2vp1odk6m1cume5j/-FJPG/230152-003_DET_4.JPG</t>
  </si>
  <si>
    <t>https://dd3ka9h4chfr8.cloudfront.net/image/725136000567/image_3coohldl0p1od9khv6it0jtu31/-FJPG/230152-003_PRM_2.JPG</t>
  </si>
  <si>
    <t>230152-004</t>
  </si>
  <si>
    <t>Augustine Bench - Surrey Auburn</t>
  </si>
  <si>
    <t>Versatile accent bench. Layer in an extra surface or added seating by way of a velvet-like bench in a rich auburn hue with dramatic channeling for great texture.</t>
  </si>
  <si>
    <t>https://dd3ka9h4chfr8.cloudfront.net/image/725136000567/image_vl2iivags509nb2asvakhmrq1m/-S150x150-FJPG/230152-004_PRM_1.jpg</t>
  </si>
  <si>
    <t>https://dd3ka9h4chfr8.cloudfront.net/image/725136000567/image_e90u2adbm56rbc9b8rd9euuq02/-FJPG/230152-004_FRT_1.jpg</t>
  </si>
  <si>
    <t>https://dd3ka9h4chfr8.cloudfront.net/image/725136000567/image_vl2iivags509nb2asvakhmrq1m/-FJPG/230152-004_PRM_1.jpg</t>
  </si>
  <si>
    <t>https://dd3ka9h4chfr8.cloudfront.net/image/725136000567/image_cpvgutag215srdp4ffpp58qc5l/-FJPG/230152-004_SID_1.jpg</t>
  </si>
  <si>
    <t>https://dd3ka9h4chfr8.cloudfront.net/image/725136000567/image_3ob6aqfqeh1nb4tm4qjgs2qc6n/-FJPG/230152-004_ESS_1.jpg</t>
  </si>
  <si>
    <t>https://dd3ka9h4chfr8.cloudfront.net/image/725136000567/image_omhuurb4ap16h6pr9lar6ls935/-FJPG/230152-004_DET_2.jpg</t>
  </si>
  <si>
    <t>https://dd3ka9h4chfr8.cloudfront.net/image/725136000567/image_l22atg3cmp0kp4qe05ob8t262t/-FJPG/230152-004_DET_1.jpg</t>
  </si>
  <si>
    <t>https://dd3ka9h4chfr8.cloudfront.net/image/725136000567/image_621ou83m4t3u55of4a71ra9c1u/-FJPG/230152-004_DET_3.jpg</t>
  </si>
  <si>
    <t>https://dd3ka9h4chfr8.cloudfront.net/image/725136000567/image_is4qp8vq7120lfhrassbr3l054/-FJPG/230152-004_DET_4.jpg</t>
  </si>
  <si>
    <t>https://dd3ka9h4chfr8.cloudfront.net/image/725136000567/image_9ctunik68100t5fu1gsijccu7j/-FJPG/230152-004_DET_5.jpg</t>
  </si>
  <si>
    <t>https://dd3ka9h4chfr8.cloudfront.net/image/725136000567/image_1drt0b5k9d36he84srtpg75774/-FJPG/230152-004_DET_6.jpg</t>
  </si>
  <si>
    <t>230236-002</t>
  </si>
  <si>
    <t>Kyra Outdoor End Table - Aged Natural Teak</t>
  </si>
  <si>
    <t>Outdoor Tables &amp; Storage</t>
  </si>
  <si>
    <t>Outdoor Side &amp; End Tables</t>
  </si>
  <si>
    <t>https://dd3ka9h4chfr8.cloudfront.net/image/725136000567/image_c6ophmf8s10rha5cdtgsmfg10i/-S150x150-FJPG/230236-002_PRM_1.jpg</t>
  </si>
  <si>
    <t>https://dd3ka9h4chfr8.cloudfront.net/image/725136000567/image_nvuajimln515b8k45dnjvjuf22/-FJPG/230236-002_FRT_1.jpg</t>
  </si>
  <si>
    <t>https://dd3ka9h4chfr8.cloudfront.net/image/725136000567/image_c6ophmf8s10rha5cdtgsmfg10i/-FJPG/230236-002_PRM_1.jpg</t>
  </si>
  <si>
    <t>https://dd3ka9h4chfr8.cloudfront.net/image/725136000567/image_r53tvjhc2l2eveh9p9dr64nu5a/-FJPG/230236-002_SID_1.jpg</t>
  </si>
  <si>
    <t>https://dd3ka9h4chfr8.cloudfront.net/image/725136000567/image_sm8a69od6p2mj7d5hdsc6ndl66/-FJPG/230236-002_DET_1.jpg</t>
  </si>
  <si>
    <t>https://dd3ka9h4chfr8.cloudfront.net/image/725136000567/image_m6k97i0nn11rjb6ocd19nu0u2a/-FJPG/230236-002_DET_3.jpg</t>
  </si>
  <si>
    <t>https://dd3ka9h4chfr8.cloudfront.net/image/725136000567/image_743h5dcnlp62v55grkc8ddmb60/-FJPG/230236-002_TOP_1.jpg</t>
  </si>
  <si>
    <t>https://dd3ka9h4chfr8.cloudfront.net/image/725136000567/image_92jb8b8g7h13taf2rnpvo5g00r/-FJPG/230236-002_DET_4.jpg</t>
  </si>
  <si>
    <t>https://dd3ka9h4chfr8.cloudfront.net/image/725136000567/image_99pgi5up7949j5tb750arh567d/-FJPG/230236-002_TOP_VAR-4.jpg</t>
  </si>
  <si>
    <t>https://dd3ka9h4chfr8.cloudfront.net/image/725136000567/image_9n74fqcrn16frc7klpq08jm706/-FJPG/230236-002_BCK_VAR-3.jpg</t>
  </si>
  <si>
    <t>https://dd3ka9h4chfr8.cloudfront.net/image/725136000567/image_jk8m05f2g10sn5kitehdq1mq30/-FJPG/230236-002_BCK_VAR-1.jpg</t>
  </si>
  <si>
    <t>https://dd3ka9h4chfr8.cloudfront.net/image/725136000567/image_kudfq1in7d41l698k3nuoitr5f/-FJPG/230236-002_FRT_VAR-3.jpg</t>
  </si>
  <si>
    <t>https://dd3ka9h4chfr8.cloudfront.net/image/725136000567/image_p62018f3ad3s1branhosehif3u/-FJPG/230236-002_BCK_VAR-2.jpg</t>
  </si>
  <si>
    <t>https://dd3ka9h4chfr8.cloudfront.net/image/725136000567/image_8s34tqjukt6313unqm45e3ft20/-FJPG/230236-002_FRT_VAR-2.jpg</t>
  </si>
  <si>
    <t>https://dd3ka9h4chfr8.cloudfront.net/image/725136000567/image_3uelpmdr4t53hb8gjud3e35r35/-FJPG/230236-002_FRT_VAR-4.jpg</t>
  </si>
  <si>
    <t>https://dd3ka9h4chfr8.cloudfront.net/image/725136000567/image_cpoam24j3p0stc4kgsjamv5j2q/-FJPG/230236-002_FRT_VAR-1.jpg</t>
  </si>
  <si>
    <t>https://dd3ka9h4chfr8.cloudfront.net/image/725136000567/image_2fvn847uld3et64tcu8t49743n/-FJPG/230236-002_BCK_VAR-4.jpg</t>
  </si>
  <si>
    <t>https://dd3ka9h4chfr8.cloudfront.net/image/725136000567/image_df2soatqa14v5f99krht26k47a/-FJPG/230236-002_TOP_VAR-3.jpg</t>
  </si>
  <si>
    <t>https://dd3ka9h4chfr8.cloudfront.net/image/725136000567/image_5v4a1u5h9p547fpdfsvbi19b36/-FJPG/230236-002_TOP_VAR-2.jpg</t>
  </si>
  <si>
    <t>https://dd3ka9h4chfr8.cloudfront.net/image/725136000567/image_em2njclcgh4dhbhcc0f4a3g84q/-FJPG/230236-002_TOP_VAR-1.jpg</t>
  </si>
  <si>
    <t>Kyra</t>
  </si>
  <si>
    <t>230300-001</t>
  </si>
  <si>
    <t>Trey 9 Drawer Dresser - Auburn Poplar</t>
  </si>
  <si>
    <t>Inspired by clean midcentury design, a stylish dresser of auburn-finished poplar offers plenty of bedroom storage space thanks to nine spacious drawers. Metal-secured leather pulls add a textural element of surprise. This item has been modified to comply with the STURDY Act. See a full list of modified products and data changes in the â€œSTURDY Actâ€ file in the Downloads section below.</t>
  </si>
  <si>
    <t>https://dd3ka9h4chfr8.cloudfront.net/image/725136000567/image_dfkajkm4ld2ht2j2l6lpf6ku00/-S150x150-FJPG/230300-001_PRM_1.jpg</t>
  </si>
  <si>
    <t>https://dd3ka9h4chfr8.cloudfront.net/image/725136000567/image_8rcq9ovhqt1fvak30m1obscp0e/-FJPG/230300-001_FRT_1.jpg</t>
  </si>
  <si>
    <t>https://dd3ka9h4chfr8.cloudfront.net/image/725136000567/image_dfkajkm4ld2ht2j2l6lpf6ku00/-FJPG/230300-001_PRM_1.jpg</t>
  </si>
  <si>
    <t>https://dd3ka9h4chfr8.cloudfront.net/image/725136000567/image_ln0ik8tnel541cbunngek1eu7f/-FJPG/230300-001_SID_1.jpg</t>
  </si>
  <si>
    <t>https://dd3ka9h4chfr8.cloudfront.net/image/725136000567/image_skcuroiqgl007cbjm2f37jfe0a/-FJPG/230300-001_DET_2.jpg</t>
  </si>
  <si>
    <t>https://dd3ka9h4chfr8.cloudfront.net/image/725136000567/image_r7sjmg4teh311bcjt9th12d41c/-FJPG/230300-001_BCK_1.jpg</t>
  </si>
  <si>
    <t>https://dd3ka9h4chfr8.cloudfront.net/image/725136000567/image_qq5etopm3d7dbf3aaccus6o34u/-FJPG/230300-001_DET_1.jpg</t>
  </si>
  <si>
    <t>https://dd3ka9h4chfr8.cloudfront.net/image/725136000567/image_4ts94fgrqh33l87c51v14nir2t/-FJPG/230300-001_DET_3.jpg</t>
  </si>
  <si>
    <t>https://dd3ka9h4chfr8.cloudfront.net/image/725136000567/image_coim2s1o65341fl3l908vu4s2a/-FJPG/230300-001_OPN_1.jpg</t>
  </si>
  <si>
    <t>https://dd3ka9h4chfr8.cloudfront.net/image/725136000567/image_7u1sihmh6d5272dbomqcot8g6p/-FJPG/230300-001_DET_4.jpg</t>
  </si>
  <si>
    <t>https://dd3ka9h4chfr8.cloudfront.net/image/725136000567/image_ihdtl7muh14t9coikdnf03ug7g/-FJPG/230300-001_DET_5.jpg</t>
  </si>
  <si>
    <t>https://dd3ka9h4chfr8.cloudfront.net/image/725136000567/image_bmqko1h8tl2676lhnm5r3ld54t/-FJPG/230300-001_DET_6.jpg</t>
  </si>
  <si>
    <t>https://dd3ka9h4chfr8.cloudfront.net/image/725136000567/image_6aln27va113lj4jbl7brnksk1k/-FJPG/230300-001_DET_7.jpg</t>
  </si>
  <si>
    <t>https://dd3ka9h4chfr8.cloudfront.net/image/725136000567/image_s0j7ffrg0t7i95ejvhvbusr27r/-FJPG/230300-001_VIG_1.jpg</t>
  </si>
  <si>
    <t>https://dd3ka9h4chfr8.cloudfront.net/image/725136000567/image_02pvj77m493sd6h0hlubhei86o/-FJPG/230300-001_ESS_2.jpg</t>
  </si>
  <si>
    <t>4.57"</t>
  </si>
  <si>
    <t>6.18"</t>
  </si>
  <si>
    <t>32.36"</t>
  </si>
  <si>
    <t>230300-002</t>
  </si>
  <si>
    <t>Trey 9 Drawer Dresser - Black Wash Poplar</t>
  </si>
  <si>
    <t>Inspired by clean midcentury design, a stylish dresser of black-washed poplar offers plenty of bedroom storage space thanks to nine spacious drawers. Metal-secured leather pulls add a textural element of surprise. This item has been modified to comply with the STURDY Act. See a full list of modified products and data changes in the â€œSTURDY Actâ€ file in the Downloads section below.</t>
  </si>
  <si>
    <t>https://dd3ka9h4chfr8.cloudfront.net/image/725136000567/image_4p9q2ordg17obfdtb87554s852/-S150x150-FJPG/230300-002_PRM_1.jpg</t>
  </si>
  <si>
    <t>https://dd3ka9h4chfr8.cloudfront.net/image/725136000567/image_6ms6qd9ps53in1h523k266n34l/-FJPG/230300-002_FRT_1.jpg</t>
  </si>
  <si>
    <t>https://dd3ka9h4chfr8.cloudfront.net/image/725136000567/image_4p9q2ordg17obfdtb87554s852/-FJPG/230300-002_PRM_1.jpg</t>
  </si>
  <si>
    <t>https://dd3ka9h4chfr8.cloudfront.net/image/725136000567/image_64glvl39bl5srcgap1mq42o461/-FJPG/230300-002_SID_1.jpg</t>
  </si>
  <si>
    <t>https://dd3ka9h4chfr8.cloudfront.net/image/725136000567/image_piu0m7kh5h29jebie3fg93s86d/-FJPG/230300-002_ESS.tif</t>
  </si>
  <si>
    <t>https://dd3ka9h4chfr8.cloudfront.net/image/725136000567/image_jlibh2cu6t6ltcvc28iojb483c/-FJPG/230300-002_DET_2.jpg</t>
  </si>
  <si>
    <t>https://dd3ka9h4chfr8.cloudfront.net/image/725136000567/image_779sqieho56ir9nvv3763ers2p/-FJPG/230300-002_BCK_1.jpg</t>
  </si>
  <si>
    <t>https://dd3ka9h4chfr8.cloudfront.net/image/725136000567/image_8o4b0kl4sp7tpamts2phsnir50/-FJPG/230300-002_DET_1.jpg</t>
  </si>
  <si>
    <t>https://dd3ka9h4chfr8.cloudfront.net/image/725136000567/image_n19qne82ud4enfpqpke827qg62/-FJPG/230300-002_DET_3.jpg</t>
  </si>
  <si>
    <t>https://dd3ka9h4chfr8.cloudfront.net/image/725136000567/image_om2pd6et1d63b7soblr22ptr6d/-FJPG/230300-002_OPN_1.jpg</t>
  </si>
  <si>
    <t>https://dd3ka9h4chfr8.cloudfront.net/image/725136000567/image_mm48c1oqht7p7dsprafqmhlf27/-FJPG/230300-002_DET_4.jpg</t>
  </si>
  <si>
    <t>https://dd3ka9h4chfr8.cloudfront.net/image/725136000567/image_88k23d4qvh1d5db5c73ectll35/-FJPG/230300-002_DET_5.jpg</t>
  </si>
  <si>
    <t>https://dd3ka9h4chfr8.cloudfront.net/image/725136000567/image_3l264m7en92sv71rjspc04t90n/-FJPG/230300-002_DET_6.jpg</t>
  </si>
  <si>
    <t>https://dd3ka9h4chfr8.cloudfront.net/image/725136000567/image_bge79o0r5d731cfh4d1hhf2p33/-FJPG/230300-002_DET_7.jpg</t>
  </si>
  <si>
    <t>https://dd3ka9h4chfr8.cloudfront.net/image/725136000567/image_04g0nkiart6lv9kodoo1igun64/-FJPG/230300-002_VIG_1.jpg</t>
  </si>
  <si>
    <t>230300-003</t>
  </si>
  <si>
    <t>Trey 9 Drawer Dresser - Dove Poplar</t>
  </si>
  <si>
    <t>Inspired by clean midcentury design, a minimal dresser of white-washed poplar offers plenty of bedroom storage space thanks to nine spacious drawers. Metal-secured leather pulls add a textural element of surprise. This item has been modified to comply with the STURDY Act. See a full list of modified products and data changes in the â€œSTURDY Actâ€ file in the Downloads section below.</t>
  </si>
  <si>
    <t>https://dd3ka9h4chfr8.cloudfront.net/image/725136000567/image_a65e2bs9bp6sp54155u4h9h31u/-S150x150-FJPG/230300-003_PRM_1.jpg</t>
  </si>
  <si>
    <t>https://dd3ka9h4chfr8.cloudfront.net/image/725136000567/image_9teehq52nh2ptbp70hsi2ure5b/-FJPG/230300-003_FRT_1.jpg</t>
  </si>
  <si>
    <t>https://dd3ka9h4chfr8.cloudfront.net/image/725136000567/image_a65e2bs9bp6sp54155u4h9h31u/-FJPG/230300-003_PRM_1.jpg</t>
  </si>
  <si>
    <t>https://dd3ka9h4chfr8.cloudfront.net/image/725136000567/image_gm84pmm3gd4aldaedr26fbqk21/-FJPG/230300-003_SID_1.jpg</t>
  </si>
  <si>
    <t>https://dd3ka9h4chfr8.cloudfront.net/image/725136000567/image_4c1u7t7rct1jn63k3loj33hg6g/-FJPG/230300-003_DET_2.jpg</t>
  </si>
  <si>
    <t>https://dd3ka9h4chfr8.cloudfront.net/image/725136000567/image_0b2ltl4lbh13b8m99o05577b34/-FJPG/230300-003_BCK_1.jpg</t>
  </si>
  <si>
    <t>https://dd3ka9h4chfr8.cloudfront.net/image/725136000567/image_oduollsmpl5nfd4ii20qbnjo5c/-FJPG/230300-003_DET_1.jpg</t>
  </si>
  <si>
    <t>https://dd3ka9h4chfr8.cloudfront.net/image/725136000567/image_e28snnl5ql2eb9sbpp0j4v1637/-FJPG/230300-003_DET_3.jpg</t>
  </si>
  <si>
    <t>https://dd3ka9h4chfr8.cloudfront.net/image/725136000567/image_j6pb0th40l5dr55ic1q4o4a234/-FJPG/230300-003_OPN_1.jpg</t>
  </si>
  <si>
    <t>https://dd3ka9h4chfr8.cloudfront.net/image/725136000567/image_nuv7jomc0909f4o5vscu2u5a6u/-FJPG/230300-003_DET_4.jpg</t>
  </si>
  <si>
    <t>https://dd3ka9h4chfr8.cloudfront.net/image/725136000567/image_lao6q8i3a11rbf01ggestfk120/-FJPG/230300-003_DET_5.jpg</t>
  </si>
  <si>
    <t>https://dd3ka9h4chfr8.cloudfront.net/image/725136000567/image_8pnqmcltq934r6lmnd5cv9q627/-FJPG/230300-003_DET_6.jpg</t>
  </si>
  <si>
    <t>https://dd3ka9h4chfr8.cloudfront.net/image/725136000567/image_fub9hdne1p6rp0ud484dfbdi5q/-FJPG/230300-003_DET_7.jpg</t>
  </si>
  <si>
    <t>https://dd3ka9h4chfr8.cloudfront.net/image/725136000567/image_1sda5oqjut7ij3edmviub7ih3s/-FJPG/230300-003_ESS.jpg</t>
  </si>
  <si>
    <t>230316-004</t>
  </si>
  <si>
    <t>Trey Large Nightstand - Auburn Poplar</t>
  </si>
  <si>
    <t>Simple style, inspired by midcentury dÃ©cor. Made from auburn-finished poplar, a roomy three-drawer nightstand brings extra storage space to the bedside.</t>
  </si>
  <si>
    <t>https://dd3ka9h4chfr8.cloudfront.net/image/725136000567/image_u0j7aiu5ep1rf512fvems82l7b/-S150x150-FJPG/230316-001_PRM_1.jpg</t>
  </si>
  <si>
    <t>https://dd3ka9h4chfr8.cloudfront.net/image/725136000567/image_2jbusq0grd73tb62q99d508m1k/-FJPG/230316-001_FRT_1.jpg</t>
  </si>
  <si>
    <t>https://dd3ka9h4chfr8.cloudfront.net/image/725136000567/image_u0j7aiu5ep1rf512fvems82l7b/-FJPG/230316-001_PRM_1.jpg</t>
  </si>
  <si>
    <t>https://dd3ka9h4chfr8.cloudfront.net/image/725136000567/image_36ss29cnmt0dlc7vab4cc8b573/-FJPG/230316-001_SID_1.jpg</t>
  </si>
  <si>
    <t>https://dd3ka9h4chfr8.cloudfront.net/image/725136000567/image_5rbvbsp39d1oh3v25dauv85u41/-FJPG/230316-001_DET_2.jpg</t>
  </si>
  <si>
    <t>https://dd3ka9h4chfr8.cloudfront.net/image/725136000567/image_rk2ipveubh3p166vfnnbpmmn1h/-FJPG/230316-001_BCK_1.jpg</t>
  </si>
  <si>
    <t>https://dd3ka9h4chfr8.cloudfront.net/image/725136000567/image_7ngsue8cip36p57pli9b35n86c/-FJPG/230316-001_DET_1.jpg</t>
  </si>
  <si>
    <t>https://dd3ka9h4chfr8.cloudfront.net/image/725136000567/image_iik89in9c13prdclmi89g6mt3m/-FJPG/230316-001_DET_3.jpg</t>
  </si>
  <si>
    <t>https://dd3ka9h4chfr8.cloudfront.net/image/725136000567/image_t50h0p5ng50j9dh4eojah2ot2v/-FJPG/230316-001_OPN_1.jpg</t>
  </si>
  <si>
    <t>https://dd3ka9h4chfr8.cloudfront.net/image/725136000567/image_2o84scdss90kn7follhjvr8d4e/-FJPG/230316-001_DET_4.jpg</t>
  </si>
  <si>
    <t>https://dd3ka9h4chfr8.cloudfront.net/image/725136000567/image_5ohetemi0t0chd465midi9dp0b/-FJPG/230316-001_DET_5.jpg</t>
  </si>
  <si>
    <t>https://dd3ka9h4chfr8.cloudfront.net/image/725136000567/image_g2vitjg1e931l5piucdk6hco2d/-FJPG/230316-001_DET_6.jpg</t>
  </si>
  <si>
    <t>https://dd3ka9h4chfr8.cloudfront.net/image/725136000567/image_7l6moishap3mp0t5mp79puv83p/-FJPG/230316-001_VIG_1.jpg</t>
  </si>
  <si>
    <t>https://dd3ka9h4chfr8.cloudfront.net/image/725136000567/image_5vlg75h0d914b8e61bhiovoj1d/-FJPG/230316-001_VIG_2.jpg</t>
  </si>
  <si>
    <t>14.76"</t>
  </si>
  <si>
    <t>6.73"</t>
  </si>
  <si>
    <t>230316-005</t>
  </si>
  <si>
    <t>Trey Large Nightstand - Black Wash Poplar</t>
  </si>
  <si>
    <t>Simple style, inspired by midcentury dÃ©cor. Made from black-washed poplar, a roomy three-drawer nightstand brings extra storage space to the bedside. Top-grain leather pulls add a textural finishing touch.</t>
  </si>
  <si>
    <t>https://dd3ka9h4chfr8.cloudfront.net/image/725136000567/image_2qj0ogj52953da6a34l9dngp72/-S150x150-FJPG/230316-002_PRM_1.jpg</t>
  </si>
  <si>
    <t>https://dd3ka9h4chfr8.cloudfront.net/image/725136000567/image_6j8bpscq392qhcg0ivf126tn41/-FJPG/230316-002_FRT_1.jpg</t>
  </si>
  <si>
    <t>https://dd3ka9h4chfr8.cloudfront.net/image/725136000567/image_2qj0ogj52953da6a34l9dngp72/-FJPG/230316-002_PRM_1.jpg</t>
  </si>
  <si>
    <t>https://dd3ka9h4chfr8.cloudfront.net/image/725136000567/image_64vi53bdlh1r7fls2pqi9p8e75/-FJPG/230316-002_SID_1.jpg</t>
  </si>
  <si>
    <t>https://dd3ka9h4chfr8.cloudfront.net/image/725136000567/image_f9mgtm9akh4h5a9p797kto8t4p/-FJPG/230316-002_DET_2.jpg</t>
  </si>
  <si>
    <t>https://dd3ka9h4chfr8.cloudfront.net/image/725136000567/image_ii3fs49fo52k7023hs00b8ef7f/-FJPG/230316-002_BCK_1.jpg</t>
  </si>
  <si>
    <t>https://dd3ka9h4chfr8.cloudfront.net/image/725136000567/image_5q5nm2emsl78nc3ak2sfqmvg4g/-FJPG/230316-002_DET_1.jpg</t>
  </si>
  <si>
    <t>https://dd3ka9h4chfr8.cloudfront.net/image/725136000567/image_1ji1ng9kfd0gf5tc8vdp2noi5a/-FJPG/230316-002_DET_3.jpg</t>
  </si>
  <si>
    <t>https://dd3ka9h4chfr8.cloudfront.net/image/725136000567/image_im7uv9ius17kl2klsi7v031h0c/-FJPG/230316-002_DET_4.jpg</t>
  </si>
  <si>
    <t>https://dd3ka9h4chfr8.cloudfront.net/image/725136000567/image_c46de13s4p50t03h896n19jh2k/-FJPG/230316-002_DET_5.jpg</t>
  </si>
  <si>
    <t>https://dd3ka9h4chfr8.cloudfront.net/image/725136000567/image_0v48ur3e1560d6kh20pcgr0v3h/-FJPG/230316-002_DET_7.jpg</t>
  </si>
  <si>
    <t>https://dd3ka9h4chfr8.cloudfront.net/image/725136000567/image_i26vk3l0357unbckll449ham2v/-FJPG/230316-002_ESS.tif</t>
  </si>
  <si>
    <t>230316-006</t>
  </si>
  <si>
    <t>Trey Large Nightstand - Dove Poplar</t>
  </si>
  <si>
    <t>Simple style, inspired by midcentury dÃ©cor. Made from light-finished poplar, a roomy three-drawer nightstand brings extra storage space to the bedside. Top-grain leather pulls add a textural finishing touch.</t>
  </si>
  <si>
    <t>https://dd3ka9h4chfr8.cloudfront.net/image/725136000567/image_vdjs7igvdp4gb83or9nav86s20/-S150x150-FJPG/230316-003_PRM_1.jpg</t>
  </si>
  <si>
    <t>https://dd3ka9h4chfr8.cloudfront.net/image/725136000567/image_sk6kleq0p51jh6hbqbmo55rt50/-FJPG/230316-003_FRT_1.jpg</t>
  </si>
  <si>
    <t>https://dd3ka9h4chfr8.cloudfront.net/image/725136000567/image_vdjs7igvdp4gb83or9nav86s20/-FJPG/230316-003_PRM_1.jpg</t>
  </si>
  <si>
    <t>https://dd3ka9h4chfr8.cloudfront.net/image/725136000567/image_hni66bvoj979313tk473tmgj16/-FJPG/230316-003_SID_1.jpg</t>
  </si>
  <si>
    <t>https://dd3ka9h4chfr8.cloudfront.net/image/725136000567/image_nbtbouptol4rl7umrjeb0hnv17/-FJPG/230316-006_ESS.tif</t>
  </si>
  <si>
    <t>https://dd3ka9h4chfr8.cloudfront.net/image/725136000567/image_ko8qmf74r13c51cnto3mmjm87r/-FJPG/230316-003_DET_2.jpg</t>
  </si>
  <si>
    <t>https://dd3ka9h4chfr8.cloudfront.net/image/725136000567/image_f38ggsloh15ij2fj01jrblpr7t/-FJPG/230316-003_BCK_1.jpg</t>
  </si>
  <si>
    <t>https://dd3ka9h4chfr8.cloudfront.net/image/725136000567/image_lmqm7jg3096vvflpqgou2q017e/-FJPG/230316-003_DET_1.jpg</t>
  </si>
  <si>
    <t>https://dd3ka9h4chfr8.cloudfront.net/image/725136000567/image_sadvahjs7p0s160e42geq45j38/-FJPG/230316-003_DET_3.jpg</t>
  </si>
  <si>
    <t>https://dd3ka9h4chfr8.cloudfront.net/image/725136000567/image_pg2ue843b57l950e18jnrhil6q/-FJPG/230316-003_OPN_1.jpg</t>
  </si>
  <si>
    <t>https://dd3ka9h4chfr8.cloudfront.net/image/725136000567/image_k9bidc8uu121p28mesiels2r5k/-FJPG/230316-003_DET_4.jpg</t>
  </si>
  <si>
    <t>https://dd3ka9h4chfr8.cloudfront.net/image/725136000567/image_q6c2ou5v31757c9j84ou0evt2n/-FJPG/230316-003_DET_5.jpg</t>
  </si>
  <si>
    <t>https://dd3ka9h4chfr8.cloudfront.net/image/725136000567/image_mqoj51m4013c5dh82b88scoa62/-FJPG/230316-003_DET_6.jpg</t>
  </si>
  <si>
    <t>https://dd3ka9h4chfr8.cloudfront.net/image/725136000567/image_1sefiiue4d4o73fi3ceq0v0e36/-FJPG/230316-003_DET_7.jpg</t>
  </si>
  <si>
    <t>230334-002</t>
  </si>
  <si>
    <t>Veta Sideboard - Black Wash Mango</t>
  </si>
  <si>
    <t>Leighton</t>
  </si>
  <si>
    <t>Black Wash Mango</t>
  </si>
  <si>
    <t>A modern weave pattern refreshes an ever-trending material. Solid mango encases cane door fronts with a black finish and textural basket weave. Dowel legs separate from casing for a float-like look. Spacious interior perfect for storing table linens and serve ware.</t>
  </si>
  <si>
    <t>https://dd3ka9h4chfr8.cloudfront.net/image/725136000567/image_fetlfk1d1t5gjafctooj8o5a3q/-S150x150-FJPG/230334-002_PRM_1.jpg</t>
  </si>
  <si>
    <t>https://dd3ka9h4chfr8.cloudfront.net/image/725136000567/image_e1sqs8d59p181cnhavgjvqkd42/-FJPG/230334-002_FRT_1.jpg</t>
  </si>
  <si>
    <t>https://dd3ka9h4chfr8.cloudfront.net/image/725136000567/image_fetlfk1d1t5gjafctooj8o5a3q/-FJPG/230334-002_PRM_1.jpg</t>
  </si>
  <si>
    <t>https://dd3ka9h4chfr8.cloudfront.net/image/725136000567/image_5ejbb1tqq53cv25rcjk9864m4s/-FJPG/230334-002_SID_1.jpg</t>
  </si>
  <si>
    <t>https://dd3ka9h4chfr8.cloudfront.net/image/725136000567/image_iti0o6d1hl3f12ihosv28opv44/-FJPG/230334-002_ESS_1.jpg</t>
  </si>
  <si>
    <t>https://dd3ka9h4chfr8.cloudfront.net/image/725136000567/image_qv8fnblcjd0bdef02glebh0n7u/-FJPG/230334-002_DET_2.jpg</t>
  </si>
  <si>
    <t>https://dd3ka9h4chfr8.cloudfront.net/image/725136000567/image_ifkoqtl87h0krdtokkfs82u31n/-FJPG/230334-002_BCK_1.jpg</t>
  </si>
  <si>
    <t>https://dd3ka9h4chfr8.cloudfront.net/image/725136000567/image_pqjoidiatp5ah0ol9r43u88o1e/-FJPG/230334-002_DET_1.jpg</t>
  </si>
  <si>
    <t>https://dd3ka9h4chfr8.cloudfront.net/image/725136000567/image_g7kdedqhv10a3bgpdgmr907m3f/-FJPG/230334-002_DET_3.jpg</t>
  </si>
  <si>
    <t>https://dd3ka9h4chfr8.cloudfront.net/image/725136000567/image_cgnumbj3td11155m6ngma09537/-FJPG/230334-002_OPN_1.jpg</t>
  </si>
  <si>
    <t>https://dd3ka9h4chfr8.cloudfront.net/image/725136000567/image_jkb766rrrl4bpbgjd3mk3d627i/-FJPG/230334-002_DET_4.jpg</t>
  </si>
  <si>
    <t>https://dd3ka9h4chfr8.cloudfront.net/image/725136000567/image_m0s603f61t6qrd4cuh5pp2o13g/-FJPG/230334-002_DET_5.jpg</t>
  </si>
  <si>
    <t>https://dd3ka9h4chfr8.cloudfront.net/image/725136000567/image_d4o02et2od77l3jsbulqnnt36v/-FJPG/230334-002_DET_6.jpg</t>
  </si>
  <si>
    <t>https://dd3ka9h4chfr8.cloudfront.net/image/725136000567/image_54dc40bv7l3bhce3t2eq3n6q66/-FJPG/230334-002_DET_7.jpg</t>
  </si>
  <si>
    <t>https://dd3ka9h4chfr8.cloudfront.net/image/725136000567/image_uj1o1mb42l2853i9o3andrn85n/-FJPG/230334-002_DET_8.jpg</t>
  </si>
  <si>
    <t>https://dd3ka9h4chfr8.cloudfront.net/image/725136000567/image_gbckr4ouit23vaqsopicsek32g/-FJPG/230334-002_DET_9.jpg</t>
  </si>
  <si>
    <t>https://dd3ka9h4chfr8.cloudfront.net/image/725136000567/image_9n71lmt3215g70p1dut5hfar0r/-FJPG/230334-002_DET_10.jpg</t>
  </si>
  <si>
    <t>Veta</t>
  </si>
  <si>
    <t>24.21"</t>
  </si>
  <si>
    <t>230393-001</t>
  </si>
  <si>
    <t>Arturo Sideboard - Natural Walnut Veneer</t>
  </si>
  <si>
    <t>Wallis</t>
  </si>
  <si>
    <t>Natural Walnut Veneer</t>
  </si>
  <si>
    <t>Walnut Veneer</t>
  </si>
  <si>
    <t>Solid Walnut</t>
  </si>
  <si>
    <t>Inspired by campaign-style furniture of the 1800s â€” packable pieces first designed for traveling military use â€” a simply shaped sideboard of natural walnut features a subtly inset top and rounded legs, finished with wooden hardware.</t>
  </si>
  <si>
    <t>https://dd3ka9h4chfr8.cloudfront.net/image/725136000567/image_5ovgh990i52cv0ugj2lj851n2t/-S150x150-FJPG/230393-001_PRM_1.jpg</t>
  </si>
  <si>
    <t>https://dd3ka9h4chfr8.cloudfront.net/image/725136000567/image_6jv0glicmp7o9efa5kasaimv7t/-FJPG/230393-001_FRT_1.jpg</t>
  </si>
  <si>
    <t>https://dd3ka9h4chfr8.cloudfront.net/image/725136000567/image_5ovgh990i52cv0ugj2lj851n2t/-FJPG/230393-001_PRM_1.jpg</t>
  </si>
  <si>
    <t>https://dd3ka9h4chfr8.cloudfront.net/image/725136000567/image_8rg8phs2pd10vcds14sfglb13r/-FJPG/230393-001_SID_1.jpg</t>
  </si>
  <si>
    <t>https://dd3ka9h4chfr8.cloudfront.net/image/725136000567/image_buhchke6k17k38f7cctgan6r70/-FJPG/230393-001_ESS.tif</t>
  </si>
  <si>
    <t>https://dd3ka9h4chfr8.cloudfront.net/image/725136000567/image_tcorf7cv8d29n35v7fnb511336/-FJPG/230393-001_DET_2.jpg</t>
  </si>
  <si>
    <t>https://dd3ka9h4chfr8.cloudfront.net/image/725136000567/image_h47dbq5qih0rh3cqnlc17c0d21/-FJPG/230393-001_BCK_1.jpg</t>
  </si>
  <si>
    <t>https://dd3ka9h4chfr8.cloudfront.net/image/725136000567/image_omcit5keet6kb81ov61vf1g11r/-FJPG/230393-001_DET_1.jpg</t>
  </si>
  <si>
    <t>https://dd3ka9h4chfr8.cloudfront.net/image/725136000567/image_opk5c2la5t1g5b8dpbstv3q97s/-FJPG/230393-001_DET_3.jpg</t>
  </si>
  <si>
    <t>https://dd3ka9h4chfr8.cloudfront.net/image/725136000567/image_daoorq15h92ir0983rg2ucrn4i/-FJPG/230393-001_OPN_1.jpg</t>
  </si>
  <si>
    <t>https://dd3ka9h4chfr8.cloudfront.net/image/725136000567/image_d06fc6h8g16v54acguerhumg3k/-FJPG/230393-001_DET_4.jpg</t>
  </si>
  <si>
    <t>https://dd3ka9h4chfr8.cloudfront.net/image/725136000567/image_1thtrfsje57vl9qscbd29dbh0v/-FJPG/230393-001_DET_5.jpg</t>
  </si>
  <si>
    <t>https://dd3ka9h4chfr8.cloudfront.net/image/725136000567/image_e2gog362d50h130nl6pmdkab5p/-FJPG/230393-001_DET_6.jpg</t>
  </si>
  <si>
    <t>https://dd3ka9h4chfr8.cloudfront.net/image/725136000567/image_6u0b2jkql57fpf5vm72ibqf94p/-FJPG/230393-001_DET_7.jpg</t>
  </si>
  <si>
    <t>https://dd3ka9h4chfr8.cloudfront.net/image/725136000567/image_5v3j1ni4jd25v325keini3d529/-FJPG/230393-001_DET_10.jpg</t>
  </si>
  <si>
    <t>Sideboard</t>
  </si>
  <si>
    <t>27.32"</t>
  </si>
  <si>
    <t>Arturo</t>
  </si>
  <si>
    <t>8.46"</t>
  </si>
  <si>
    <t>13.90"</t>
  </si>
  <si>
    <t>230632-001</t>
  </si>
  <si>
    <t>Millie Large Sideboard - Drifted Oak Solid</t>
  </si>
  <si>
    <t>Drifted Oak Veneer</t>
  </si>
  <si>
    <t>Drifted Matte Black Veneer</t>
  </si>
  <si>
    <t>Encased in an oak frame, the roomy interior is thoughtfully designed with a mix of fixed and adjustable shelves, allowing you to customize your display as you curate items for your home. The hidden storage drawer is a practical touch, ideal for stowing away flatware in a dining room or neatly concealing cords in a living room.</t>
  </si>
  <si>
    <t>https://dd3ka9h4chfr8.cloudfront.net/image/725136000567/image_sjh5vkj2dp5or2bfjekg8k7n13/-S150x150-FJPG/230632-001_PRM_1.jpg</t>
  </si>
  <si>
    <t>https://dd3ka9h4chfr8.cloudfront.net/image/725136000567/image_sjh5vkj2dp5or2bfjekg8k7n13/-FJPG/230632-001_PRM_1.jpg</t>
  </si>
  <si>
    <t>https://dd3ka9h4chfr8.cloudfront.net/image/725136000567/image_ea6vus6e7t06t3sukqevms382t/-FJPG/230632-001_SID_1.jpg</t>
  </si>
  <si>
    <t>https://dd3ka9h4chfr8.cloudfront.net/image/725136000567/image_5rrpri6se963f3us1j2pusjm03/-FJPG/230632-001_ESS_1.jpg</t>
  </si>
  <si>
    <t>https://dd3ka9h4chfr8.cloudfront.net/image/725136000567/image_a42uj355jl6u35a7u55im2ou70/-FJPG/230632-001_BCK_1.jpg</t>
  </si>
  <si>
    <t>https://dd3ka9h4chfr8.cloudfront.net/image/725136000567/image_101np4man935f4q9in6qhog544/-FJPG/230632-001_DET_6.jpg</t>
  </si>
  <si>
    <t>https://dd3ka9h4chfr8.cloudfront.net/image/725136000567/image_pk74e31ob93ij7o7q3qskl955t/-FJPG/230632-001_DET_7.jpg</t>
  </si>
  <si>
    <t>https://dd3ka9h4chfr8.cloudfront.net/image/725136000567/image_dd75vvd7ed1jn8oqhbuepfom5l/-FJPG/230632-001_DET_8.jpg</t>
  </si>
  <si>
    <t>22.17"</t>
  </si>
  <si>
    <t>37.99"</t>
  </si>
  <si>
    <t>230723-004</t>
  </si>
  <si>
    <t>Hatch Sideboard - Natural Raffia</t>
  </si>
  <si>
    <t>Slayton</t>
  </si>
  <si>
    <t>Natural Raffia</t>
  </si>
  <si>
    <t>Burnished Mahogany</t>
  </si>
  <si>
    <t>Burnished Mahogany Veneer</t>
  </si>
  <si>
    <t>Sugar Palm</t>
  </si>
  <si>
    <t>This raffia-wrapped sideboard brings a textural look to the dining room, while a burnished mahogany base adds contrast. Wide and spacious, for storage of dinnerware, linens and more. Rear cutouts for cord management.</t>
  </si>
  <si>
    <t>https://dd3ka9h4chfr8.cloudfront.net/image/725136000567/image_rjusc11ca92k592brdm7ibch21/-S150x150-FJPG/230723-004_PRM_1.jpg</t>
  </si>
  <si>
    <t>https://dd3ka9h4chfr8.cloudfront.net/image/725136000567/image_ueald51i1p2fl5t5qq4uvdqb7p/-FJPG/230723-004_FRT_1.jpg</t>
  </si>
  <si>
    <t>https://dd3ka9h4chfr8.cloudfront.net/image/725136000567/image_rjusc11ca92k592brdm7ibch21/-FJPG/230723-004_PRM_1.jpg</t>
  </si>
  <si>
    <t>https://dd3ka9h4chfr8.cloudfront.net/image/725136000567/image_itcugb722d593e0cr4bbvilg6o/-FJPG/230723-004_SID_1.jpg</t>
  </si>
  <si>
    <t>https://dd3ka9h4chfr8.cloudfront.net/image/725136000567/image_1sheefloal27b99n1rta6apj3i/-FJPG/230723-004_ESS.tif</t>
  </si>
  <si>
    <t>https://dd3ka9h4chfr8.cloudfront.net/image/725136000567/image_ib7nq775093qfef2esp8i7f808/-FJPG/230723-004_DET_2.jpg</t>
  </si>
  <si>
    <t>https://dd3ka9h4chfr8.cloudfront.net/image/725136000567/image_va0oslkgtt5f31e3iqupdtqp1c/-FJPG/230723-004_BCK_1.jpg</t>
  </si>
  <si>
    <t>https://dd3ka9h4chfr8.cloudfront.net/image/725136000567/image_9o3d1qb1792tl8k0k61vluj11b/-FJPG/230723-004_INF_1.jpg</t>
  </si>
  <si>
    <t>https://dd3ka9h4chfr8.cloudfront.net/image/725136000567/image_lgg3antkvp78dbj5fr57r4dp4a/-FJPG/230723-004_DET_1.jpg</t>
  </si>
  <si>
    <t>https://dd3ka9h4chfr8.cloudfront.net/image/725136000567/image_fmusbhgjmt6a53ddcqd0vrpd35/-FJPG/230723-004_DET_3.jpg</t>
  </si>
  <si>
    <t>https://dd3ka9h4chfr8.cloudfront.net/image/725136000567/image_p4obm78q7t7rhdrqm94vki0r56/-FJPG/230723-004_OPN_1.jpg</t>
  </si>
  <si>
    <t>https://dd3ka9h4chfr8.cloudfront.net/image/725136000567/image_c8ju4lk7h96t795n7r12skr33m/-FJPG/230723-004_DET_4.jpg</t>
  </si>
  <si>
    <t>https://dd3ka9h4chfr8.cloudfront.net/image/725136000567/image_jgeud8oish5mf5m563ue0v257j/-FJPG/230723-004_DET_5.jpg</t>
  </si>
  <si>
    <t>https://dd3ka9h4chfr8.cloudfront.net/image/725136000567/image_gdr55f4ha5249a6mosn71fl17i/-FJPG/230723-004_DET_6.jpg</t>
  </si>
  <si>
    <t>https://dd3ka9h4chfr8.cloudfront.net/image/725136000567/image_6lgvtbse2t2fddgphcf4fnp925/-FJPG/230723-004_DET_7.jpg</t>
  </si>
  <si>
    <t>https://dd3ka9h4chfr8.cloudfront.net/image/725136000567/image_4uks11d5jd6flepnb55jmqct50/-FJPG/230723-004_DET_8.jpg</t>
  </si>
  <si>
    <t>https://dd3ka9h4chfr8.cloudfront.net/image/725136000567/image_pghvjdjedd0517pmt7n83qev1k/-FJPG/230723-004_DET_9.jpg</t>
  </si>
  <si>
    <t>https://dd3ka9h4chfr8.cloudfront.net/image/725136000567/image_hl5fe7l1412qp6l6hmllnatj1g/-FJPG/230723-004_OPN_2.jpg</t>
  </si>
  <si>
    <t>17.80"</t>
  </si>
  <si>
    <t>8.62"</t>
  </si>
  <si>
    <t>35.91"</t>
  </si>
  <si>
    <t>Hatch</t>
  </si>
  <si>
    <t>22.91"</t>
  </si>
  <si>
    <t>17.44"</t>
  </si>
  <si>
    <t>230750-001</t>
  </si>
  <si>
    <t>Halston Cocktail Ottoman - Heirloom Black</t>
  </si>
  <si>
    <t>https://dd3ka9h4chfr8.cloudfront.net/image/725136000567/image_vg61g5j8gp5qjcv7gv3btd501a/-S150x150-FJPG/230750-001_PRM_1.jpg</t>
  </si>
  <si>
    <t>https://dd3ka9h4chfr8.cloudfront.net/image/725136000567/image_3c4prk4lu15th33cuau3k94619/-FJPG/230750-001_FRT_1.jpg</t>
  </si>
  <si>
    <t>https://dd3ka9h4chfr8.cloudfront.net/image/725136000567/image_vg61g5j8gp5qjcv7gv3btd501a/-FJPG/230750-001_PRM_1.jpg</t>
  </si>
  <si>
    <t>https://dd3ka9h4chfr8.cloudfront.net/image/725136000567/image_nchn2cnms54ut5prob24u18200/-FJPG/230750-001_SID_1.jpg</t>
  </si>
  <si>
    <t>https://dd3ka9h4chfr8.cloudfront.net/image/725136000567/image_7np5j7i7ql15n6atdkst61l306/-FJPG/230750-001_ESS_1.jpg</t>
  </si>
  <si>
    <t>https://dd3ka9h4chfr8.cloudfront.net/image/725136000567/image_3267t8i79575nckb072r35qb4f/-FJPG/230750-001_DET_2.jpg</t>
  </si>
  <si>
    <t>https://dd3ka9h4chfr8.cloudfront.net/image/725136000567/image_cejglikbcp6b521fmht8vv6t17/-FJPG/230750-001_DET_1.jpg</t>
  </si>
  <si>
    <t>https://dd3ka9h4chfr8.cloudfront.net/image/725136000567/image_bck7h9mqpp7p381i4iurr7k70j/-FJPG/230750-001_DET_3.jpg</t>
  </si>
  <si>
    <t>https://dd3ka9h4chfr8.cloudfront.net/image/725136000567/image_vmad9277817jf3v9rmst984054/-FJPG/230750-001_DET_4.jpg</t>
  </si>
  <si>
    <t>https://dd3ka9h4chfr8.cloudfront.net/image/725136000567/image_097k4rheqt3qt5rjlf026si63n/-FJPG/230750-001_DET_5.jpg</t>
  </si>
  <si>
    <t>230750-002</t>
  </si>
  <si>
    <t>Halston Cocktail Ottoman - Heirloom Sienna</t>
  </si>
  <si>
    <t>https://dd3ka9h4chfr8.cloudfront.net/image/725136000567/image_3l9iitkuc13a5f93qq9kihlv0f/-S150x150-FJPG/230750-002_PRM_1.jpg</t>
  </si>
  <si>
    <t>https://dd3ka9h4chfr8.cloudfront.net/image/725136000567/image_97r2sdtq9t0hp03lc3b1mesg3l/-FJPG/230750-002_FRT_1.jpg</t>
  </si>
  <si>
    <t>https://dd3ka9h4chfr8.cloudfront.net/image/725136000567/image_3l9iitkuc13a5f93qq9kihlv0f/-FJPG/230750-002_PRM_1.jpg</t>
  </si>
  <si>
    <t>https://dd3ka9h4chfr8.cloudfront.net/image/725136000567/image_cq7e75j42d3cd4igbpuvjt2r08/-FJPG/230750-002_SID_1.jpg</t>
  </si>
  <si>
    <t>https://dd3ka9h4chfr8.cloudfront.net/image/725136000567/image_38dmnpjks94uh56e3o9l6ae05t/-FJPG/230750-002_ESS_1.jpg</t>
  </si>
  <si>
    <t>https://dd3ka9h4chfr8.cloudfront.net/image/725136000567/image_4fpf7ba4p51kl0cvgcifrddd00/-FJPG/230750-002_DET_2.jpg</t>
  </si>
  <si>
    <t>https://dd3ka9h4chfr8.cloudfront.net/image/725136000567/image_28t9ircmkd6obf0uqnlc04803k/-FJPG/230750-002_DET_1.jpg</t>
  </si>
  <si>
    <t>https://dd3ka9h4chfr8.cloudfront.net/image/725136000567/image_fqpfota9ol217cdi64m7tlah23/-FJPG/230750-002_DET_3.jpg</t>
  </si>
  <si>
    <t>https://dd3ka9h4chfr8.cloudfront.net/image/725136000567/image_k0bf74hhr51r59aos1fhnd404m/-FJPG/230750-002_DET_4.jpg</t>
  </si>
  <si>
    <t>https://dd3ka9h4chfr8.cloudfront.net/image/725136000567/image_18fcmu3blh4eh5e3kq77euha2s/-FJPG/230750-002_DET_5.jpg</t>
  </si>
  <si>
    <t>230750-006</t>
  </si>
  <si>
    <t>Halston Cocktail Ottoman - Palermo Drift</t>
  </si>
  <si>
    <t>Oversized cocktail ottoman topped in thick-cut top-grain leather in earthy taupe features dramatic tufting with sling detailing and a wide ash base.</t>
  </si>
  <si>
    <t>https://dd3ka9h4chfr8.cloudfront.net/image/725136000567/image_rg03ohfc1136f0ckc7o6itpm2s/-S150x150-FJPG/230750-006_PRM_1.jpg</t>
  </si>
  <si>
    <t>https://dd3ka9h4chfr8.cloudfront.net/image/725136000567/image_7rf3fg4hn90vf0vrtk0gc31h1f/-FJPG/230750-006_FRT_1.jpg</t>
  </si>
  <si>
    <t>https://dd3ka9h4chfr8.cloudfront.net/image/725136000567/image_rg03ohfc1136f0ckc7o6itpm2s/-FJPG/230750-006_PRM_1.jpg</t>
  </si>
  <si>
    <t>https://dd3ka9h4chfr8.cloudfront.net/image/725136000567/image_9deksdvjvd7j3agds82o6kif5h/-FJPG/230750-006_SID_1.jpg</t>
  </si>
  <si>
    <t>https://dd3ka9h4chfr8.cloudfront.net/image/725136000567/image_rul5oc9qkh5kj6j1fj1g2nuh6k/-FJPG/230750-006_DET_2.jpg</t>
  </si>
  <si>
    <t>https://dd3ka9h4chfr8.cloudfront.net/image/725136000567/image_k5ha8a6d451ltar9jdu894q57i/-FJPG/230750-006_DET_1.jpg</t>
  </si>
  <si>
    <t>https://dd3ka9h4chfr8.cloudfront.net/image/725136000567/image_mhhm9q6s6h119aua6b9k34i217/-FJPG/230750-006_DET_3.jpg</t>
  </si>
  <si>
    <t>https://dd3ka9h4chfr8.cloudfront.net/image/725136000567/image_4q2abcpe517b3f404b6uo5893r/-FJPG/230750-006_DET_4.jpg</t>
  </si>
  <si>
    <t>https://dd3ka9h4chfr8.cloudfront.net/image/725136000567/image_25gujpckhl7f7apskq5sno5f7v/-FJPG/230750-006_DET_5.jpg</t>
  </si>
  <si>
    <t>https://dd3ka9h4chfr8.cloudfront.net/image/725136000567/image_1gh5vdjtvh56bfi6q3m29p2h3q/-FJPG/230750-006_DET_6.jpg</t>
  </si>
  <si>
    <t>https://dd3ka9h4chfr8.cloudfront.net/image/725136000567/image_bsf78v13pt7s9e2mpcsfkql17h/-FJPG/230750-006_DET_7.jpg</t>
  </si>
  <si>
    <t>230751-004</t>
  </si>
  <si>
    <t>Siedell Swivel Chair - Sheldon Ivory</t>
  </si>
  <si>
    <t>Sheldon Ivory</t>
  </si>
  <si>
    <t>Textural fabric covers a curvy silhouette, with a solid oak dowel peeking out for extra effect. All on a 360-degree swivel. Designed in partnership with longtime Four Hands collaborator Thomas Bina and Brazilian designer Ronald Sasson.</t>
  </si>
  <si>
    <t>https://dd3ka9h4chfr8.cloudfront.net/image/725136000567/image_481e71pqmh4d31gjpo548rn22f/-S150x150-FJPG/230751-004_PRM_1.jpg</t>
  </si>
  <si>
    <t>https://dd3ka9h4chfr8.cloudfront.net/image/725136000567/image_d8mkkla2up01n3hehq3kbf5p7s/-FJPG/230751-004_FRT_1.jpg</t>
  </si>
  <si>
    <t>https://dd3ka9h4chfr8.cloudfront.net/image/725136000567/image_481e71pqmh4d31gjpo548rn22f/-FJPG/230751-004_PRM_1.jpg</t>
  </si>
  <si>
    <t>https://dd3ka9h4chfr8.cloudfront.net/image/725136000567/image_5vv1f2e1cl7hndb00ilpm3127b/-FJPG/230751-004_SID_1.jpg</t>
  </si>
  <si>
    <t>https://dd3ka9h4chfr8.cloudfront.net/image/725136000567/image_qtepfcgbht63te3a0489na1m7s/-FJPG/230751-004_ESS_1.jpg</t>
  </si>
  <si>
    <t>https://dd3ka9h4chfr8.cloudfront.net/image/725136000567/image_t2j5bttjcl1df7k6oqeqpo1h4n/-FJPG/230751-004_DET_2.jpg</t>
  </si>
  <si>
    <t>https://dd3ka9h4chfr8.cloudfront.net/image/725136000567/image_0u3efqrr112aff6o5t14ligd6a/-FJPG/230751-004_BCK_1.jpg</t>
  </si>
  <si>
    <t>https://dd3ka9h4chfr8.cloudfront.net/image/725136000567/image_e3r9vm79s551l0pjq4i9m2977q/-FJPG/230751-004_DET_1.jpg</t>
  </si>
  <si>
    <t>https://dd3ka9h4chfr8.cloudfront.net/image/725136000567/image_em3vg5icnp3ff65c077hh5vl7c/-FJPG/230751-004_DET_3.jpg</t>
  </si>
  <si>
    <t>https://dd3ka9h4chfr8.cloudfront.net/image/725136000567/image_vp6d7uftp526f6o5vj984jga26/-FJPG/230751-004_DET_4.jpg</t>
  </si>
  <si>
    <t>https://dd3ka9h4chfr8.cloudfront.net/image/725136000567/image_u3v3eaa9ih4fb49m6r0r8bed09/-FJPG/230751-004_DET_5.jpg</t>
  </si>
  <si>
    <t>https://dd3ka9h4chfr8.cloudfront.net/image/725136000567/image_ap69ggusqh2mda7hu5spd6kt2b/-FJPG/230751-004_DET_6.jpg</t>
  </si>
  <si>
    <t>Siedell</t>
  </si>
  <si>
    <t>230798-004</t>
  </si>
  <si>
    <t>Reggie Chair - Heirloom Black</t>
  </si>
  <si>
    <t>Oversized cushioning brings a Brazilian midcentury feel to this vintage-inspired chair. Designed with cushion-wrapped slanted arms, fixed cushioning with a deep sit and narrow legs reminiscent of midcentury style. Sourced from one of the oldest family-owned tanneries in Italyâ€™s Bassano del Grappa, heirloom leather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</si>
  <si>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https://dd3ka9h4chfr8.cloudfront.net/image/725136000567/image_ig8jl34ev14hp5l1lq6imhna5v/-S150x150-FJPG/230798-004_PRM_1.jpg</t>
  </si>
  <si>
    <t>https://dd3ka9h4chfr8.cloudfront.net/image/725136000567/image_ua20n8feat4rl5kfofusu4ro77/-FJPG/230798-004_FRT_1.jpg</t>
  </si>
  <si>
    <t>https://dd3ka9h4chfr8.cloudfront.net/image/725136000567/image_ig8jl34ev14hp5l1lq6imhna5v/-FJPG/230798-004_PRM_1.jpg</t>
  </si>
  <si>
    <t>https://dd3ka9h4chfr8.cloudfront.net/image/725136000567/image_pg35vpn4bt5b3d11s8usflp37s/-FJPG/230798-004_SID_1.jpg</t>
  </si>
  <si>
    <t>https://dd3ka9h4chfr8.cloudfront.net/image/725136000567/image_om1rn7g9ql5bl6mkudormfv344/-FJPG/230798-004_ESS_1.jpg</t>
  </si>
  <si>
    <t>https://dd3ka9h4chfr8.cloudfront.net/image/725136000567/image_d5f56l56dp6cr1mrg98d8o7u65/-FJPG/230798-004_DET_2.jpg</t>
  </si>
  <si>
    <t>https://dd3ka9h4chfr8.cloudfront.net/image/725136000567/image_p6g4i6g9sp05342gn7iaq3mm70/-FJPG/230798-004_BCK_1.jpg</t>
  </si>
  <si>
    <t>https://dd3ka9h4chfr8.cloudfront.net/image/725136000567/image_0p7g3fbssl04fan2rji2elcn31/-FJPG/230798-004_DET_1.jpg</t>
  </si>
  <si>
    <t>https://dd3ka9h4chfr8.cloudfront.net/image/725136000567/image_uh1fdgfhpp64j3g4nm0u4agg6r/-FJPG/230798-004_DET_3.jpg</t>
  </si>
  <si>
    <t>https://dd3ka9h4chfr8.cloudfront.net/image/725136000567/image_4nqq9bqa0l7h551ov1rs68j01e/-FJPG/230798-004_DET_4.jpg</t>
  </si>
  <si>
    <t>https://dd3ka9h4chfr8.cloudfront.net/image/725136000567/image_fc3sepdekh34599fh8rda5iv2i/-FJPG/230798-004_DET_5.jpg</t>
  </si>
  <si>
    <t>https://dd3ka9h4chfr8.cloudfront.net/image/725136000567/image_shkjlefapt1praq1u83ici795n/-FJPG/230798-004_PRM_2.jpg</t>
  </si>
  <si>
    <t>Reggie</t>
  </si>
  <si>
    <t>230798-005</t>
  </si>
  <si>
    <t>Reggie Chair - Heirloom Sienna</t>
  </si>
  <si>
    <t>https://dd3ka9h4chfr8.cloudfront.net/image/725136000567/image_jj6gna50453mf2m505q3vk3o1k/-S150x150-FJPG/230798-005_PRM_1.jpg</t>
  </si>
  <si>
    <t>https://dd3ka9h4chfr8.cloudfront.net/image/725136000567/image_7ta4ou92mh67n708mpsh7sj12u/-FJPG/230798-005_FRT_1.jpg</t>
  </si>
  <si>
    <t>https://dd3ka9h4chfr8.cloudfront.net/image/725136000567/image_jj6gna50453mf2m505q3vk3o1k/-FJPG/230798-005_PRM_1.jpg</t>
  </si>
  <si>
    <t>https://dd3ka9h4chfr8.cloudfront.net/image/725136000567/image_ujpaiuciol2hleto5cj1tn210u/-FJPG/230798-005_SID_1.jpg</t>
  </si>
  <si>
    <t>https://dd3ka9h4chfr8.cloudfront.net/image/725136000567/image_qrik2pom9d52tbhpi0j9bs384q/-FJPG/230798-005_ESS_1.tif</t>
  </si>
  <si>
    <t>https://dd3ka9h4chfr8.cloudfront.net/image/725136000567/image_vqpjq3i5r91id9tocieh7rc456/-FJPG/230798-005_DET_2.jpg</t>
  </si>
  <si>
    <t>https://dd3ka9h4chfr8.cloudfront.net/image/725136000567/image_gs166jnld52vn76o7ojcjf6214/-FJPG/230798-005_BCK_1.jpg</t>
  </si>
  <si>
    <t>https://dd3ka9h4chfr8.cloudfront.net/image/725136000567/image_i7l0fn0hqd56t7je4ouhgerh4l/-FJPG/230798-005_DET_1.jpg</t>
  </si>
  <si>
    <t>https://dd3ka9h4chfr8.cloudfront.net/image/725136000567/image_qu9ag4cdbl79jbcluomfjqmc6c/-FJPG/230798-005_DET_3.jpg</t>
  </si>
  <si>
    <t>https://dd3ka9h4chfr8.cloudfront.net/image/725136000567/image_ljh49jv4md17rfrvvmvipdb43g/-FJPG/230798-005_DET_4.jpg</t>
  </si>
  <si>
    <t>https://dd3ka9h4chfr8.cloudfront.net/image/725136000567/image_8riqga7t3d1gh952qk3v8npo2n/-FJPG/230798-005_DET_5.jpg</t>
  </si>
  <si>
    <t>https://dd3ka9h4chfr8.cloudfront.net/image/725136000567/image_25oa9m4ebp5aj40ti6ts48ut29/-FJPG/230798-005_DET_6.jpg</t>
  </si>
  <si>
    <t>230810-002</t>
  </si>
  <si>
    <t>Aniston Ottoman - Andes Natural</t>
  </si>
  <si>
    <t>Andes Natural</t>
  </si>
  <si>
    <t>Place this round ottoman just about anywhere for a subtle retro vibe. Upholstered in a faux Mongolian shearling with a high pile fur. Parawood legs are wirebrushed for a warm, vintage feel.</t>
  </si>
  <si>
    <t>https://dd3ka9h4chfr8.cloudfront.net/image/725136000567/image_dmi20prrsl4b3calqdcekbo314/-S150x150-FJPG/230810-002_PRM_1.jpg</t>
  </si>
  <si>
    <t>https://dd3ka9h4chfr8.cloudfront.net/image/725136000567/image_2u482hd2r93c7f3s2l26elv676/-FJPG/230810-002_FRT_1.jpg</t>
  </si>
  <si>
    <t>https://dd3ka9h4chfr8.cloudfront.net/image/725136000567/image_dmi20prrsl4b3calqdcekbo314/-FJPG/230810-002_PRM_1.jpg</t>
  </si>
  <si>
    <t>https://dd3ka9h4chfr8.cloudfront.net/image/725136000567/image_4bjujjg1ud5e1d49edo9lec80o/-FJPG/230810-002_SID_1.jpg</t>
  </si>
  <si>
    <t>https://dd3ka9h4chfr8.cloudfront.net/image/725136000567/image_80p0l1pdbd20t1251k8dnf0h64/-FJPG/230810-002_ESS_1.jpg</t>
  </si>
  <si>
    <t>https://dd3ka9h4chfr8.cloudfront.net/image/725136000567/image_pqh3dt0o455s756a9em08dsa7l/-FJPG/230810-002_DET_2.jpg</t>
  </si>
  <si>
    <t>https://dd3ka9h4chfr8.cloudfront.net/image/725136000567/image_tg3u664khp0rrc0i9a37ittl7a/-FJPG/230810-002_DET_3.jpg</t>
  </si>
  <si>
    <t>https://dd3ka9h4chfr8.cloudfront.net/image/725136000567/image_iebufeijl90brd6upihvccb37j/-FJPG/230810-002_DET_4.jpg</t>
  </si>
  <si>
    <t>Aniston</t>
  </si>
  <si>
    <t>230810-004</t>
  </si>
  <si>
    <t>Aniston Ottoman - Andes Toast</t>
  </si>
  <si>
    <t>Andes Toast</t>
  </si>
  <si>
    <t>Burnt Birch</t>
  </si>
  <si>
    <t>Place this round ottoman just about anywhere. Upholstered in a faux Mongolian shearling with a high pile fur in a toasty tan neutral hue. Burnt birch parawood legs add a touch of contrast.</t>
  </si>
  <si>
    <t>https://dd3ka9h4chfr8.cloudfront.net/image/725136000567/image_lmcvjsb7rt0rr0v7f24tu2ad1s/-S150x150-FJPG/230810-004_PRM_1.JPG</t>
  </si>
  <si>
    <t>https://dd3ka9h4chfr8.cloudfront.net/image/725136000567/image_eoshm85m1p6adfonhg4g1bae3d/-FJPG/230810-004_FRT_1.JPG</t>
  </si>
  <si>
    <t>https://dd3ka9h4chfr8.cloudfront.net/image/725136000567/image_lmcvjsb7rt0rr0v7f24tu2ad1s/-FJPG/230810-004_PRM_1.JPG</t>
  </si>
  <si>
    <t>https://dd3ka9h4chfr8.cloudfront.net/image/725136000567/image_qh4jcarcq151vd7i8u6vop2g3u/-FJPG/230810-004_SID_1.JPG</t>
  </si>
  <si>
    <t>https://dd3ka9h4chfr8.cloudfront.net/image/725136000567/image_1b675l7jph57j000mgikir867j/-FJPG/230810-004_ESS.tif</t>
  </si>
  <si>
    <t>https://dd3ka9h4chfr8.cloudfront.net/image/725136000567/image_umto8dac2l5sp0ff6e0139776m/-FJPG/230810-004_DET_2.JPG</t>
  </si>
  <si>
    <t>https://dd3ka9h4chfr8.cloudfront.net/image/725136000567/image_4g8uvgghm94j14i51m91334u26/-FJPG/230810-004_DET_1.jpg</t>
  </si>
  <si>
    <t>https://dd3ka9h4chfr8.cloudfront.net/image/725136000567/image_o8aovain513dj2spiuok8m2d3b/-FJPG/FHMPRJ-007_SCENE_26_V1-NO-DOG.tif</t>
  </si>
  <si>
    <t>https://dd3ka9h4chfr8.cloudfront.net/image/725136000567/image_sdvgoe600d4v199opegqf4nd3t/-FJPG/FHMPRJ-007_SCENE_26_V2-DOG.tif</t>
  </si>
  <si>
    <t>230810-006</t>
  </si>
  <si>
    <t>Aniston Ottoman - Solema Cream</t>
  </si>
  <si>
    <t>Solema Cream</t>
  </si>
  <si>
    <t>65% Acrylic</t>
  </si>
  <si>
    <t>21% Polyester</t>
  </si>
  <si>
    <t>10% Wool</t>
  </si>
  <si>
    <t>3% Cotton</t>
  </si>
  <si>
    <t>and 1% Rayon</t>
  </si>
  <si>
    <t>Place this round ottoman just about anywhere for a subtle retro vibe. Upholstered in an exaggerated boucle fabric with extra depth and texture throughout. Parawood legs are wirebrushed for a warm, vintage feel.</t>
  </si>
  <si>
    <t>https://dd3ka9h4chfr8.cloudfront.net/image/725136000567/image_bdlulapnip61b6tia9uceqr17f/-S150x150-FJPG/230810-006_PRM_1.jpg</t>
  </si>
  <si>
    <t>https://dd3ka9h4chfr8.cloudfront.net/image/725136000567/image_f71u5jsg7l6lf5lll48fhq8o3c/-FJPG/230810-006_FRT_1.jpg</t>
  </si>
  <si>
    <t>https://dd3ka9h4chfr8.cloudfront.net/image/725136000567/image_bdlulapnip61b6tia9uceqr17f/-FJPG/230810-006_PRM_1.jpg</t>
  </si>
  <si>
    <t>https://dd3ka9h4chfr8.cloudfront.net/image/725136000567/image_7dg82nhi490m5e8jhb1vjl5u1u/-FJPG/230810-006_SID_1.jpg</t>
  </si>
  <si>
    <t>https://dd3ka9h4chfr8.cloudfront.net/image/725136000567/image_kencq2i0td7sp6l8j7gdoo9266/-FJPG/230810-006_ESS.tif</t>
  </si>
  <si>
    <t>https://dd3ka9h4chfr8.cloudfront.net/image/725136000567/image_mrr7p3t2qt70jfap0uiochr15g/-FJPG/230810-006_DET_2.jpg</t>
  </si>
  <si>
    <t>https://dd3ka9h4chfr8.cloudfront.net/image/725136000567/image_4h0sbvd0154lvf37ep3kasst6d/-FJPG/230810-006_BCK_1.jpg</t>
  </si>
  <si>
    <t>https://dd3ka9h4chfr8.cloudfront.net/image/725136000567/image_n8a4rpb95d2tt6ppdt9ogn7970/-FJPG/230810-006_DET_1.jpg</t>
  </si>
  <si>
    <t>https://dd3ka9h4chfr8.cloudfront.net/image/725136000567/image_97eluvpkk96or7trsdfcg2dd7h/-FJPG/230810-006_DET_3.jpg</t>
  </si>
  <si>
    <t>https://dd3ka9h4chfr8.cloudfront.net/image/725136000567/image_k1co9ptq3h51harkec176j486r/-FJPG/230810-006_DET_4.jpg</t>
  </si>
  <si>
    <t>230842-001</t>
  </si>
  <si>
    <t>Ophelia Armoire - Aged Brown</t>
  </si>
  <si>
    <t>Make space for style. A large, storage-minded armoire is made from solid mango and finished in an aged brown, reminiscent of European antiques. Interior iron rod for hanging garments plus roomy drawers for out-of-sight storage. This item has been modified to comply with the STURDY Act. See a full list of modified products and data changes in the â€œSTURDY Actâ€ file in the Downloads section below.</t>
  </si>
  <si>
    <t>https://dd3ka9h4chfr8.cloudfront.net/image/725136000567/image_alvddr5qht4ltd9k4kmluab93r/-S150x150-FJPG/230842-001_PRM_1.jpg</t>
  </si>
  <si>
    <t>https://dd3ka9h4chfr8.cloudfront.net/image/725136000567/image_b8nt3hgsg14u3fpcb5mhi6lg05/-FJPG/230842-001_FRT_1.jpg</t>
  </si>
  <si>
    <t>https://dd3ka9h4chfr8.cloudfront.net/image/725136000567/image_alvddr5qht4ltd9k4kmluab93r/-FJPG/230842-001_PRM_1.jpg</t>
  </si>
  <si>
    <t>https://dd3ka9h4chfr8.cloudfront.net/image/725136000567/image_80bq3v5jkh0unb9qartrk9jb3i/-FJPG/230842-001_SID_1.jpg</t>
  </si>
  <si>
    <t>https://dd3ka9h4chfr8.cloudfront.net/image/725136000567/image_5b33bvq5r514v4g9l9k4nepe7f/-FJPG/230842-001_ESS_1.jpg</t>
  </si>
  <si>
    <t>https://dd3ka9h4chfr8.cloudfront.net/image/725136000567/image_hf57f2a7t52rn7o423gj32dv28/-FJPG/230842-001_DET_2.jpg</t>
  </si>
  <si>
    <t>https://dd3ka9h4chfr8.cloudfront.net/image/725136000567/image_q3eo3jqqg12gt9vpga1jcua749/-FJPG/230842-001_BCK_1.jpg</t>
  </si>
  <si>
    <t>https://dd3ka9h4chfr8.cloudfront.net/image/725136000567/image_h78k6ver490nl19ekuv0q8no5f/-FJPG/230842-001_DET_1.jpg</t>
  </si>
  <si>
    <t>https://dd3ka9h4chfr8.cloudfront.net/image/725136000567/image_9lau1r12dt76f5u8sfp8vv442v/-FJPG/230842-001_DET_3.jpg</t>
  </si>
  <si>
    <t>https://dd3ka9h4chfr8.cloudfront.net/image/725136000567/image_n4159fklvl00v5jtaf8qs0lu19/-FJPG/230842-001_OPN_1.jpg</t>
  </si>
  <si>
    <t>https://dd3ka9h4chfr8.cloudfront.net/image/725136000567/image_0ss1uuaimh2tjbk1731pqusv4q/-FJPG/230842-001_DET_4.jpg</t>
  </si>
  <si>
    <t>https://dd3ka9h4chfr8.cloudfront.net/image/725136000567/image_nsrvncmqkt1tnaf4en48kbn10k/-FJPG/230842-001_DET_5.jpg</t>
  </si>
  <si>
    <t>https://dd3ka9h4chfr8.cloudfront.net/image/725136000567/image_8455h25o692it3iuifrvpet502/-FJPG/230842-001_DET_6.jpg</t>
  </si>
  <si>
    <t>24.38"</t>
  </si>
  <si>
    <t>42.25"</t>
  </si>
  <si>
    <t>38.25"</t>
  </si>
  <si>
    <t>Ophelia</t>
  </si>
  <si>
    <t>43.13"</t>
  </si>
  <si>
    <t>59.13"</t>
  </si>
  <si>
    <t>230991-001</t>
  </si>
  <si>
    <t>Markia Chair - Brickhouse Dark Brown</t>
  </si>
  <si>
    <t>Allston</t>
  </si>
  <si>
    <t>Brickhouse Dark Brown</t>
  </si>
  <si>
    <t>Midcentury-style seating with brass metal detailing exudes warm presence. Solid ash frames simple, perfectly pitched seating of top-grain leather, for a classic look with subtly masculine vibes.</t>
  </si>
  <si>
    <t>https://dd3ka9h4chfr8.cloudfront.net/image/725136000567/image_5vmv4koe99787dal35ud34qj6l/-S150x150-FJPG/230991-001_PRM_1.jpg</t>
  </si>
  <si>
    <t>https://dd3ka9h4chfr8.cloudfront.net/image/725136000567/image_8b5rb2huk174d7bmg7ckfp9n5v/-FJPG/230991-001_FRT_1.jpg</t>
  </si>
  <si>
    <t>https://dd3ka9h4chfr8.cloudfront.net/image/725136000567/image_5vmv4koe99787dal35ud34qj6l/-FJPG/230991-001_PRM_1.jpg</t>
  </si>
  <si>
    <t>https://dd3ka9h4chfr8.cloudfront.net/image/725136000567/image_th9qk4e5vl0rt5g3ivlp99452m/-FJPG/230991-001_SID_1.jpg</t>
  </si>
  <si>
    <t>https://dd3ka9h4chfr8.cloudfront.net/image/725136000567/image_2neiuk8tuh3fj1768jmnh2to0d/-FJPG/230991-001_ESS_1.jpg</t>
  </si>
  <si>
    <t>https://dd3ka9h4chfr8.cloudfront.net/image/725136000567/image_ttjb0qpl5d3377n88u43ge017f/-FJPG/230991-001_DET_2.jpg</t>
  </si>
  <si>
    <t>https://dd3ka9h4chfr8.cloudfront.net/image/725136000567/image_7p3l29gdn521fcdenahknfpq44/-FJPG/230991-001_BCK_1.jpg</t>
  </si>
  <si>
    <t>https://dd3ka9h4chfr8.cloudfront.net/image/725136000567/image_1s1ogorm1t7a77c7l0kctpcd54/-FJPG/230991-001_DET_1.jpg</t>
  </si>
  <si>
    <t>https://dd3ka9h4chfr8.cloudfront.net/image/725136000567/image_ibo5qrcihd209d6ab3bdic834k/-FJPG/230991-001_DET_3.jpg</t>
  </si>
  <si>
    <t>https://dd3ka9h4chfr8.cloudfront.net/image/725136000567/image_c2urhglp2t4n94792ovqve6k1l/-FJPG/230991-001_DET_4.jpg</t>
  </si>
  <si>
    <t>https://dd3ka9h4chfr8.cloudfront.net/image/725136000567/image_5svtcsrsel15t1jp36gu3c2c3h/-FJPG/230991-001_DET_5.jpg</t>
  </si>
  <si>
    <t>https://dd3ka9h4chfr8.cloudfront.net/image/725136000567/image_s6cjoc8oot7b9cpqpmj0uune0b/-FJPG/230991-001_DET_6.jpg</t>
  </si>
  <si>
    <t>Markia</t>
  </si>
  <si>
    <t>231262-001</t>
  </si>
  <si>
    <t>Caspian Nightstand - Natural Ash Veneer</t>
  </si>
  <si>
    <t>Natural Ash Veneer</t>
  </si>
  <si>
    <t>Satin Brass</t>
  </si>
  <si>
    <t>Resawn Ash Veneer</t>
  </si>
  <si>
    <t>https://dd3ka9h4chfr8.cloudfront.net/image/725136000567/image_v7p9ho6v793vh83fgf563cgt4f/-S150x150-FJPG/231262-001_PRM_1.jpg</t>
  </si>
  <si>
    <t>https://dd3ka9h4chfr8.cloudfront.net/image/725136000567/image_0ftvnm97kt75ffs1q49b07201q/-FJPG/231262-001_FRT_1.jpg</t>
  </si>
  <si>
    <t>https://dd3ka9h4chfr8.cloudfront.net/image/725136000567/image_v7p9ho6v793vh83fgf563cgt4f/-FJPG/231262-001_PRM_1.jpg</t>
  </si>
  <si>
    <t>https://dd3ka9h4chfr8.cloudfront.net/image/725136000567/image_19rr4i52f530p1eb3umsae0i27/-FJPG/231262-001_SID_1.jpg</t>
  </si>
  <si>
    <t>https://dd3ka9h4chfr8.cloudfront.net/image/725136000567/image_b1ul7gunrd5n97dqr8n5kot432/-FJPG/231262-001_DET_2.jpg</t>
  </si>
  <si>
    <t>https://dd3ka9h4chfr8.cloudfront.net/image/725136000567/image_bf1j8br8ql5qr279m1ioput53j/-FJPG/231262-001_BCK_1.jpg</t>
  </si>
  <si>
    <t>https://dd3ka9h4chfr8.cloudfront.net/image/725136000567/image_u7hpfuu8h153t1s0v5jpf36b17/-FJPG/231262-001_DET_1.jpg</t>
  </si>
  <si>
    <t>https://dd3ka9h4chfr8.cloudfront.net/image/725136000567/image_0tbnfj1h314jlenorfq4d6b20m/-FJPG/231262-001_DET_3.jpg</t>
  </si>
  <si>
    <t>https://dd3ka9h4chfr8.cloudfront.net/image/725136000567/image_ecd5f1mrqd7mnbq9uc12rerh04/-FJPG/231262-001_OPN_1.jpg</t>
  </si>
  <si>
    <t>https://dd3ka9h4chfr8.cloudfront.net/image/725136000567/image_jmsh34vjpp5lfdlev26q0cp93s/-FJPG/231262-001_DET_4.jpg</t>
  </si>
  <si>
    <t>https://dd3ka9h4chfr8.cloudfront.net/image/725136000567/image_sqgkiiuqvl1ul274ihudhd6c4f/-FJPG/231262-001_DET_5.jpg</t>
  </si>
  <si>
    <t>Caspian</t>
  </si>
  <si>
    <t>231262-002</t>
  </si>
  <si>
    <t>Caspian Nightstand - Black Ash Veneer</t>
  </si>
  <si>
    <t>Black Ash Veneer</t>
  </si>
  <si>
    <t>https://dd3ka9h4chfr8.cloudfront.net/image/725136000567/image_d271cii6v97cp9u01eo5vl5t3q/-S150x150-FJPG/231262-002_PRM_1.jpg</t>
  </si>
  <si>
    <t>https://dd3ka9h4chfr8.cloudfront.net/image/725136000567/image_0n3010cnch0kp8n0jlpi2v0b1j/-FJPG/231262-002_FRT_1.jpg</t>
  </si>
  <si>
    <t>https://dd3ka9h4chfr8.cloudfront.net/image/725136000567/image_d271cii6v97cp9u01eo5vl5t3q/-FJPG/231262-002_PRM_1.jpg</t>
  </si>
  <si>
    <t>https://dd3ka9h4chfr8.cloudfront.net/image/725136000567/image_t0oj13fqs13nta22tgu5tega6e/-FJPG/231262-002_SID_1.jpg</t>
  </si>
  <si>
    <t>https://dd3ka9h4chfr8.cloudfront.net/image/725136000567/image_jic3am7v2p785ds0tec86rij25/-FJPG/231262-002_ESS.tif</t>
  </si>
  <si>
    <t>https://dd3ka9h4chfr8.cloudfront.net/image/725136000567/image_7ijflpp5bp7db7usfhtuh63j6k/-FJPG/231262-002_DET_2.jpg</t>
  </si>
  <si>
    <t>https://dd3ka9h4chfr8.cloudfront.net/image/725136000567/image_a38aa7lsfp7450hfiri12j3b0l/-FJPG/231262-002_BCK_1.jpg</t>
  </si>
  <si>
    <t>https://dd3ka9h4chfr8.cloudfront.net/image/725136000567/image_pmd9vc1a353sjdbmbjnmt0pf04/-FJPG/231262-002_DET_1.jpg</t>
  </si>
  <si>
    <t>https://dd3ka9h4chfr8.cloudfront.net/image/725136000567/image_sti6m72rs92lr0r10sr12tnd6t/-FJPG/231262-002_DET_3.jpg</t>
  </si>
  <si>
    <t>https://dd3ka9h4chfr8.cloudfront.net/image/725136000567/image_4dtdkbnjjd17r9rj4d3gi11q6o/-FJPG/231262-002_OPN_1.jpg</t>
  </si>
  <si>
    <t>https://dd3ka9h4chfr8.cloudfront.net/image/725136000567/image_0at19to5l14c9erqpso2t5og6e/-FJPG/231262-002_DET_4.jpg</t>
  </si>
  <si>
    <t>https://dd3ka9h4chfr8.cloudfront.net/image/725136000567/image_g7tq43kobt39b98sm23g10rv67/-FJPG/231262-002_DET_5.jpg</t>
  </si>
  <si>
    <t>https://dd3ka9h4chfr8.cloudfront.net/image/725136000567/image_do7a58eqep3l573sdpt2e6ft3a/-FJPG/231262-002_DET_6.jpg</t>
  </si>
  <si>
    <t>231263-001</t>
  </si>
  <si>
    <t>Caspian 6 Drawer Dresser - Natural Ash</t>
  </si>
  <si>
    <t>Natural Ash</t>
  </si>
  <si>
    <t>Modern dresser, sleek and timeless design with plenty of storage. Natural ash veneer with satin brass handles. This item has been modified to comply with the STURDY Act. See a full list of modified products and data changes in the â€œSTURDY Actâ€ file in the Downloads section below.</t>
  </si>
  <si>
    <t>https://dd3ka9h4chfr8.cloudfront.net/image/725136000567/image_8b8lif5q6d07l9aclh2gshrl5q/-S150x150-FJPG/231263-001_PRM_1.jpg</t>
  </si>
  <si>
    <t>https://dd3ka9h4chfr8.cloudfront.net/image/725136000567/image_c1bth5u2513jp06rgabgmrlo4i/-FJPG/231263-001_FRT_1.jpg</t>
  </si>
  <si>
    <t>https://dd3ka9h4chfr8.cloudfront.net/image/725136000567/image_8b8lif5q6d07l9aclh2gshrl5q/-FJPG/231263-001_PRM_1.jpg</t>
  </si>
  <si>
    <t>https://dd3ka9h4chfr8.cloudfront.net/image/725136000567/image_755uogi7d14nr76t63jqp3ji1h/-FJPG/231263-001_SID_1.jpg</t>
  </si>
  <si>
    <t>https://dd3ka9h4chfr8.cloudfront.net/image/725136000567/image_02an0g7ql17c7bb74o0pl0co6b/-FJPG/231263-001_DET_2.jpg</t>
  </si>
  <si>
    <t>https://dd3ka9h4chfr8.cloudfront.net/image/725136000567/image_btgn87tsf925fckk7tu2rns843/-FJPG/231263-001_BCK_1.jpg</t>
  </si>
  <si>
    <t>https://dd3ka9h4chfr8.cloudfront.net/image/725136000567/image_mpgb2d2rr51jp9tqb3q52u8t7q/-FJPG/231263-001_DET_1.jpg</t>
  </si>
  <si>
    <t>https://dd3ka9h4chfr8.cloudfront.net/image/725136000567/image_s1kov086sp32378ccs6mf3pa6j/-FJPG/231263-001_DET_3.jpg</t>
  </si>
  <si>
    <t>https://dd3ka9h4chfr8.cloudfront.net/image/725136000567/image_uktd4flrkd4qp04apo4unm173h/-FJPG/231263-001_OPN_1.jpg</t>
  </si>
  <si>
    <t>https://dd3ka9h4chfr8.cloudfront.net/image/725136000567/image_cjci32hfkd4s561ofpmu0b8d2v/-FJPG/231263-001_DET_4.jpg</t>
  </si>
  <si>
    <t>https://dd3ka9h4chfr8.cloudfront.net/image/725136000567/image_363gbjpd9d2t9eoj7fpbcg3a22/-FJPG/231263-001_DET_5.jpg</t>
  </si>
  <si>
    <t>https://dd3ka9h4chfr8.cloudfront.net/image/725136000567/image_rrr85i94t154rd8ahdqn5h5u3r/-FJPG/231263-001_DET_6.jpg</t>
  </si>
  <si>
    <t>https://dd3ka9h4chfr8.cloudfront.net/image/725136000567/image_hmctjiao5902pb8qo6ugacgh3p/-FJPG/231263-001_DET_7.jpg</t>
  </si>
  <si>
    <t>https://dd3ka9h4chfr8.cloudfront.net/image/725136000567/image_plbg3c4fjd4ol59vjkpc53j17r/-FJPG/102648-002_VIG_1.jpg</t>
  </si>
  <si>
    <t>https://dd3ka9h4chfr8.cloudfront.net/image/725136000567/image_upu6vjn3r56mv71ida67tefp0k/-FJPG/231263-001_VIG_1.jpg</t>
  </si>
  <si>
    <t>7.95"</t>
  </si>
  <si>
    <t>58.50"</t>
  </si>
  <si>
    <t>13.54"</t>
  </si>
  <si>
    <t>16.30"</t>
  </si>
  <si>
    <t>231263-002</t>
  </si>
  <si>
    <t>Caspian 6 Drawer Dresser - Black Ash</t>
  </si>
  <si>
    <t>Black Ash</t>
  </si>
  <si>
    <t>Modern dresser, sleek and timeless design with plenty of storage. Black ash veneer with satin brass handles. This item has been modified to comply with the STURDY Act. See a full list of modified products and data changes in the â€œSTURDY Actâ€ file in the Downloads section below.</t>
  </si>
  <si>
    <t>https://dd3ka9h4chfr8.cloudfront.net/image/725136000567/image_v8hp4rlgct3p3c467q4mu8g70o/-S150x150-FJPG/231263-002_PRM_1.jpg</t>
  </si>
  <si>
    <t>https://dd3ka9h4chfr8.cloudfront.net/image/725136000567/image_ceiqaadrel18je9pdgouse7r21/-FJPG/231263-002_FRT_1.jpg</t>
  </si>
  <si>
    <t>https://dd3ka9h4chfr8.cloudfront.net/image/725136000567/image_v8hp4rlgct3p3c467q4mu8g70o/-FJPG/231263-002_PRM_1.jpg</t>
  </si>
  <si>
    <t>https://dd3ka9h4chfr8.cloudfront.net/image/725136000567/image_o2fc4ua1613odb3nmp4si44q2s/-FJPG/231263-002_SID_1.jpg</t>
  </si>
  <si>
    <t>https://dd3ka9h4chfr8.cloudfront.net/image/725136000567/image_po8mdcdatp79l39tjdc5gjo874/-FJPG/231263-002_ESS.tif</t>
  </si>
  <si>
    <t>https://dd3ka9h4chfr8.cloudfront.net/image/725136000567/image_bt4fdmmnkh7dv6qs7vsl9i3157/-FJPG/231263-002_DET_2.jpg</t>
  </si>
  <si>
    <t>https://dd3ka9h4chfr8.cloudfront.net/image/725136000567/image_3rj6odt0857cram4cor4ort91f/-FJPG/231263-002_BCK_1.jpg</t>
  </si>
  <si>
    <t>https://dd3ka9h4chfr8.cloudfront.net/image/725136000567/image_6lf04daejl4etcua75sv77o33s/-FJPG/231263-002_DET_1.jpg</t>
  </si>
  <si>
    <t>https://dd3ka9h4chfr8.cloudfront.net/image/725136000567/image_4s97ojfcr10bd7l3vd8l01vq5a/-FJPG/231263-002_DET_3.jpg</t>
  </si>
  <si>
    <t>https://dd3ka9h4chfr8.cloudfront.net/image/725136000567/image_h6pbtrb88h7lpfrpbge9fvee2j/-FJPG/231263-002_OPN_1.jpg</t>
  </si>
  <si>
    <t>https://dd3ka9h4chfr8.cloudfront.net/image/725136000567/image_lg7ea1dnft44h5npt9g141uv34/-FJPG/231263-002_DET_4.jpg</t>
  </si>
  <si>
    <t>https://dd3ka9h4chfr8.cloudfront.net/image/725136000567/image_cb3pvjncnl6d9addcaij5i4j38/-FJPG/231263-002_DET_5.jpg</t>
  </si>
  <si>
    <t>https://dd3ka9h4chfr8.cloudfront.net/image/725136000567/image_fnfls8hpm90grde6edl8u9c96v/-FJPG/231263-002_DET_6.jpg</t>
  </si>
  <si>
    <t>https://dd3ka9h4chfr8.cloudfront.net/image/725136000567/image_c6pqtc006177r9898t2fmbdh1q/-FJPG/231263-002_DET_7.jpg</t>
  </si>
  <si>
    <t>https://dd3ka9h4chfr8.cloudfront.net/image/725136000567/image_1qpl21qf9p029734ffuumntr7u/-FJPG/231263-002_DET_9.tif</t>
  </si>
  <si>
    <t>231265-001</t>
  </si>
  <si>
    <t>Caspian Sideboard - Natural Ash Veneer</t>
  </si>
  <si>
    <t>Channeling inspiration from the Seventies, a sideboard of natural ash adopts petite reeding for a linear look, with chamfered edging and an extended base for an open look with bonus storage.</t>
  </si>
  <si>
    <t>https://dd3ka9h4chfr8.cloudfront.net/image/725136000567/image_8v5qga4uk51jvf6664ul1efm5c/-S150x150-FJPG/231265-001_PRM_1.jpg</t>
  </si>
  <si>
    <t>https://dd3ka9h4chfr8.cloudfront.net/image/725136000567/image_14hhigivpd2m7bm179q77r190v/-FJPG/231265-001_FRT_1.jpg</t>
  </si>
  <si>
    <t>https://dd3ka9h4chfr8.cloudfront.net/image/725136000567/image_8v5qga4uk51jvf6664ul1efm5c/-FJPG/231265-001_PRM_1.jpg</t>
  </si>
  <si>
    <t>https://dd3ka9h4chfr8.cloudfront.net/image/725136000567/image_065gpr7hcp2lndgf8dn6vp0q0m/-FJPG/231265-001_SID_1.jpg</t>
  </si>
  <si>
    <t>https://dd3ka9h4chfr8.cloudfront.net/image/725136000567/image_nh4mejs6453v3db7qact55791l/-FJPG/231265-001_DET_2.jpg</t>
  </si>
  <si>
    <t>https://dd3ka9h4chfr8.cloudfront.net/image/725136000567/image_1d81ci4drp69h8b7bsu5c0hd2k/-FJPG/231265-001_BCK_1.jpg</t>
  </si>
  <si>
    <t>https://dd3ka9h4chfr8.cloudfront.net/image/725136000567/image_svesm0cmot6f1a2162bvorev2i/-FJPG/231265-001_DET_1.jpg</t>
  </si>
  <si>
    <t>https://dd3ka9h4chfr8.cloudfront.net/image/725136000567/image_7rffdt57613qj0v16gqh8sdj2g/-FJPG/231265-001_DET_3.jpg</t>
  </si>
  <si>
    <t>https://dd3ka9h4chfr8.cloudfront.net/image/725136000567/image_4uo84ui39d4f51js59jcgil30v/-FJPG/231265-001_OPN_1.jpg</t>
  </si>
  <si>
    <t>https://dd3ka9h4chfr8.cloudfront.net/image/725136000567/image_ghs8v3htv964lbkc338uh0vr46/-FJPG/231265-001_DET_4.jpg</t>
  </si>
  <si>
    <t>https://dd3ka9h4chfr8.cloudfront.net/image/725136000567/image_89qdobba2h1obaps1i7o5u1h4q/-FJPG/231265-001_DET_5.jpg</t>
  </si>
  <si>
    <t>https://dd3ka9h4chfr8.cloudfront.net/image/725136000567/image_bqqg3ol9rt4o31gr2c640cse7i/-FJPG/231265-001_DET_6.jpg</t>
  </si>
  <si>
    <t>https://dd3ka9h4chfr8.cloudfront.net/image/725136000567/image_h036hgoamp4mh0ek8vvta22168/-FJPG/231265-001_DET_7.jpg</t>
  </si>
  <si>
    <t>https://dd3ka9h4chfr8.cloudfront.net/image/725136000567/image_56n0hve4it6j31sumlae836j5m/-FJPG/231265-001_VIG_1.jpg</t>
  </si>
  <si>
    <t>https://dd3ka9h4chfr8.cloudfront.net/image/725136000567/image_1ns5kpgg1118p9cre3c3d8eh0m/-FJPG/231265-001_VIG_2.jpg</t>
  </si>
  <si>
    <t>https://dd3ka9h4chfr8.cloudfront.net/image/725136000567/image_pu75gjgtj52gjau2jr6pud0c5r/-FJPG/231265-001_VIG_3.jpg</t>
  </si>
  <si>
    <t>17.85"</t>
  </si>
  <si>
    <t>32.93"</t>
  </si>
  <si>
    <t>0.87"</t>
  </si>
  <si>
    <t>16.45"</t>
  </si>
  <si>
    <t>0.59"</t>
  </si>
  <si>
    <t>7.83"</t>
  </si>
  <si>
    <t>67.01"</t>
  </si>
  <si>
    <t>231265-002</t>
  </si>
  <si>
    <t>Caspian Sideboard - Black Ash Veneer</t>
  </si>
  <si>
    <t>Channeling inspiration from the Seventies, a sideboard of black ash adopts petite reeding for linear pattern, with chamfered edging and an extended base for an open look with bonus storage.</t>
  </si>
  <si>
    <t>https://dd3ka9h4chfr8.cloudfront.net/image/725136000567/image_i4imsiebu95vnb6edacl92h32g/-S150x150-FJPG/231265-002_PRM_1.jpg</t>
  </si>
  <si>
    <t>https://dd3ka9h4chfr8.cloudfront.net/image/725136000567/image_jc5ca831cl6m5153657jv92j61/-FJPG/231265-002_FRT_1.jpg</t>
  </si>
  <si>
    <t>https://dd3ka9h4chfr8.cloudfront.net/image/725136000567/image_i4imsiebu95vnb6edacl92h32g/-FJPG/231265-002_PRM_1.jpg</t>
  </si>
  <si>
    <t>https://dd3ka9h4chfr8.cloudfront.net/image/725136000567/image_02a49i39hh32v5er7eok6h2i00/-FJPG/231265-002_SID_1.jpg</t>
  </si>
  <si>
    <t>https://dd3ka9h4chfr8.cloudfront.net/image/725136000567/image_fjn31rchmd66t73i3dhv802e3j/-FJPG/231265-002_ESS_1.jpg</t>
  </si>
  <si>
    <t>https://dd3ka9h4chfr8.cloudfront.net/image/725136000567/image_8qnprul0ut0330m87klcmu9608/-FJPG/231265-002_DET_2.jpg</t>
  </si>
  <si>
    <t>https://dd3ka9h4chfr8.cloudfront.net/image/725136000567/image_kl4ih1tdu176l9sok5e0275i54/-FJPG/231265-002_BCK_1.jpg</t>
  </si>
  <si>
    <t>https://dd3ka9h4chfr8.cloudfront.net/image/725136000567/image_7g5tsjb2f53bfbufhdqs4saj25/-FJPG/231265-002_DET_1.jpg</t>
  </si>
  <si>
    <t>https://dd3ka9h4chfr8.cloudfront.net/image/725136000567/image_7msg0opoll143cq13aegfrc402/-FJPG/231265-002_DET_3.jpg</t>
  </si>
  <si>
    <t>https://dd3ka9h4chfr8.cloudfront.net/image/725136000567/image_d10ha2f9tl5otd3nn72js9oq6r/-FJPG/231265-002_OPN_1.jpg</t>
  </si>
  <si>
    <t>https://dd3ka9h4chfr8.cloudfront.net/image/725136000567/image_m42bkc3u3l3mfdi7elolpnt75s/-FJPG/231265-002_DET_4.jpg</t>
  </si>
  <si>
    <t>https://dd3ka9h4chfr8.cloudfront.net/image/725136000567/image_502l0usl1l6j1ccpfhhdsjbd6t/-FJPG/231265-002_DET_5.jpg</t>
  </si>
  <si>
    <t>https://dd3ka9h4chfr8.cloudfront.net/image/725136000567/image_litkp0282p45pdgio4g3i1fe4j/-FJPG/231265-002_DET_6.jpg</t>
  </si>
  <si>
    <t>https://dd3ka9h4chfr8.cloudfront.net/image/725136000567/image_v45oj4mo5d7hf90gehj2gd2t0p/-FJPG/231265-002_DET_7.jpg</t>
  </si>
  <si>
    <t>231266-001</t>
  </si>
  <si>
    <t>Caspian Media Console - Natural Ash</t>
  </si>
  <si>
    <t>Channeling inspiration from the Seventies, a media console of natural ash adopts petite reeding for a linear look, with chamfered edging and an extended base for an open look with bonus storage.</t>
  </si>
  <si>
    <t>https://dd3ka9h4chfr8.cloudfront.net/image/725136000567/image_5b4bo555v111va99gubtna7b24/-S150x150-FJPG/231266-001_PRM_1.jpg</t>
  </si>
  <si>
    <t>https://dd3ka9h4chfr8.cloudfront.net/image/725136000567/image_nmh5gre3kd76v8kk9nhr48bs59/-FJPG/231266-001_FRT_1.jpg</t>
  </si>
  <si>
    <t>https://dd3ka9h4chfr8.cloudfront.net/image/725136000567/image_5b4bo555v111va99gubtna7b24/-FJPG/231266-001_PRM_1.jpg</t>
  </si>
  <si>
    <t>https://dd3ka9h4chfr8.cloudfront.net/image/725136000567/image_5aarp0aa315jjcdltuivoja049/-FJPG/231266-001_SID_1.jpg</t>
  </si>
  <si>
    <t>https://dd3ka9h4chfr8.cloudfront.net/image/725136000567/image_f1k2d7o4l165nf89h7h64bvm2k/-FJPG/231266-001_ESS_1.jpg</t>
  </si>
  <si>
    <t>https://dd3ka9h4chfr8.cloudfront.net/image/725136000567/image_qbsvern8ch2q95honk2uj1721t/-FJPG/231266-001_DET_2.jpg</t>
  </si>
  <si>
    <t>https://dd3ka9h4chfr8.cloudfront.net/image/725136000567/image_favb794ko15thefrcn9ahses01/-FJPG/231266-001_BCK_1.jpg</t>
  </si>
  <si>
    <t>https://dd3ka9h4chfr8.cloudfront.net/image/725136000567/image_o1d5thoftt5dr6kbkah7ucus19/-FJPG/231266-001_DET_1.jpg</t>
  </si>
  <si>
    <t>https://dd3ka9h4chfr8.cloudfront.net/image/725136000567/image_8kh18qifkh4u95bbcs513af672/-FJPG/231266-001_DET_3.jpg</t>
  </si>
  <si>
    <t>https://dd3ka9h4chfr8.cloudfront.net/image/725136000567/image_b57pfbljel253ed0v0k3l0nm6f/-FJPG/231266-001_OPN_1.jpg</t>
  </si>
  <si>
    <t>https://dd3ka9h4chfr8.cloudfront.net/image/725136000567/image_orblh24sr52ipct2635a1cqc1f/-FJPG/231266-001_DET_4.jpg</t>
  </si>
  <si>
    <t>https://dd3ka9h4chfr8.cloudfront.net/image/725136000567/image_7kss5g9uu103v6f632nld1v36u/-FJPG/231266-001_DET_5.jpg</t>
  </si>
  <si>
    <t>https://dd3ka9h4chfr8.cloudfront.net/image/725136000567/image_50h6tichrp6kjd1mgsco5qj82f/-FJPG/231266-001_DET_6.jpg</t>
  </si>
  <si>
    <t>https://dd3ka9h4chfr8.cloudfront.net/image/725136000567/image_5sfenk061p64j97h3pcsrbvr4m/-FJPG/231266-001_DET_7.jpg</t>
  </si>
  <si>
    <t>https://dd3ka9h4chfr8.cloudfront.net/image/725136000567/image_8qm3u787995491cp15rvtuc44r/-FJPG/231266-001_OPN_2.jpg</t>
  </si>
  <si>
    <t>16.57"</t>
  </si>
  <si>
    <t>27.40"</t>
  </si>
  <si>
    <t>0.91"</t>
  </si>
  <si>
    <t>27.44"</t>
  </si>
  <si>
    <t>14.88"</t>
  </si>
  <si>
    <t>27.60"</t>
  </si>
  <si>
    <t>27.64"</t>
  </si>
  <si>
    <t>231320-001</t>
  </si>
  <si>
    <t>Dustin Chair - Palermo Cognac</t>
  </si>
  <si>
    <t>Umber Ash</t>
  </si>
  <si>
    <t>Tan Rope</t>
  </si>
  <si>
    <t>Vintage sling seating gets a Brazilian midcentury update. Exposed frame is crafted from solid ash and accented with thick rope that suspends sling seating. Upholstered in 100% top-grain leather in cognac for a monochromatic look. Loose feather-blend cushions offer plush sink-in comfort.</t>
  </si>
  <si>
    <t>https://dd3ka9h4chfr8.cloudfront.net/image/725136000567/image_o3c3h4ek6l68l5fnui1hbs4p2i/-S150x150-FJPG/231320-001_PRM_1.jpg</t>
  </si>
  <si>
    <t>https://dd3ka9h4chfr8.cloudfront.net/image/725136000567/image_jrb4nqqqe12sp4d9hdml7ch50k/-FJPG/231320-001_FRT_1.jpg</t>
  </si>
  <si>
    <t>https://dd3ka9h4chfr8.cloudfront.net/image/725136000567/image_o3c3h4ek6l68l5fnui1hbs4p2i/-FJPG/231320-001_PRM_1.jpg</t>
  </si>
  <si>
    <t>https://dd3ka9h4chfr8.cloudfront.net/image/725136000567/image_94u7v0jpbp5j9eudajliiau72s/-FJPG/231320-001_SID_1.jpg</t>
  </si>
  <si>
    <t>https://dd3ka9h4chfr8.cloudfront.net/image/725136000567/image_bnqkfj6nhd3p99tq9dt4o39k6v/-FJPG/231320-001_ESS.tif</t>
  </si>
  <si>
    <t>https://dd3ka9h4chfr8.cloudfront.net/image/725136000567/image_60o74gkjmd0qb9kri7pdufk64g/-FJPG/231320-001_DET_2.jpg</t>
  </si>
  <si>
    <t>https://dd3ka9h4chfr8.cloudfront.net/image/725136000567/image_pkm8d561dt2u9e9os2ljrdbi5l/-FJPG/231320-001_BCK_1.jpg</t>
  </si>
  <si>
    <t>https://dd3ka9h4chfr8.cloudfront.net/image/725136000567/image_ns0n5d791t5pvdgid4ju6vbm0n/-FJPG/231320-001_DET_1.jpg</t>
  </si>
  <si>
    <t>https://dd3ka9h4chfr8.cloudfront.net/image/725136000567/image_gaun1v08sh2v58mqg591cqbe2t/-FJPG/231320-001_DET_3.jpg</t>
  </si>
  <si>
    <t>https://dd3ka9h4chfr8.cloudfront.net/image/725136000567/image_btqv88shed4952i0d815g3k77n/-FJPG/231320-001_DET_4.jpg</t>
  </si>
  <si>
    <t>https://dd3ka9h4chfr8.cloudfront.net/image/725136000567/image_5sdovhn8i97mlbas2ajd2off1m/-FJPG/231320-001_DET_5.jpg</t>
  </si>
  <si>
    <t>https://dd3ka9h4chfr8.cloudfront.net/image/725136000567/image_rce4hsubi50435q1kecubq0f15/-FJPG/231320-001_ROM_1.jpg</t>
  </si>
  <si>
    <t>42% Polyurethane Foam Pad, 30% Polyester Fiber Batting, 28% Waterfowl Feather</t>
  </si>
  <si>
    <t>Dustin</t>
  </si>
  <si>
    <t>36.25"</t>
  </si>
  <si>
    <t>31.95"</t>
  </si>
  <si>
    <t>66% Polyurethane Foam Pad, 34% Polyester Fiber</t>
  </si>
  <si>
    <t>231359-001</t>
  </si>
  <si>
    <t>Malta Chair - Piermont Oyster</t>
  </si>
  <si>
    <t>Piermont Oyster</t>
  </si>
  <si>
    <t>Sculptural rounded cushioning softens the linear, asymmetrical frame of this statement seating. Solid ash frame with cream-hued performance upholstery. Performance fabrics are specially created to withstand spills, stains, high traffic and wear, ensuring long-term comfort and unmatched durability.</t>
  </si>
  <si>
    <t>https://dd3ka9h4chfr8.cloudfront.net/image/725136000567/image_695m6ev5p137n37inns1qp4a3k/-S150x150-FJPG/231359-001_PRM_1.jpg</t>
  </si>
  <si>
    <t>https://dd3ka9h4chfr8.cloudfront.net/image/725136000567/image_kqv72gfnq53v138e7916ak2q71/-FJPG/231359-001_FRT_1.jpg</t>
  </si>
  <si>
    <t>https://dd3ka9h4chfr8.cloudfront.net/image/725136000567/image_695m6ev5p137n37inns1qp4a3k/-FJPG/231359-001_PRM_1.jpg</t>
  </si>
  <si>
    <t>https://dd3ka9h4chfr8.cloudfront.net/image/725136000567/image_etpfc42c215rp3ukgf3ic6267j/-FJPG/231359-001_SID_1.jpg</t>
  </si>
  <si>
    <t>https://dd3ka9h4chfr8.cloudfront.net/image/725136000567/image_f0uhqmr0ul10n90esmcf1uf513/-FJPG/231359-001_ESS_1.jpg</t>
  </si>
  <si>
    <t>https://dd3ka9h4chfr8.cloudfront.net/image/725136000567/image_vr5nhnpnnh4r35rsuhmkvb642u/-FJPG/231359-001_DET_2.jpg</t>
  </si>
  <si>
    <t>https://dd3ka9h4chfr8.cloudfront.net/image/725136000567/image_7dvnr6t6jd18vf0n58mg6dq21u/-FJPG/231359-001_BCK_1.jpg</t>
  </si>
  <si>
    <t>https://dd3ka9h4chfr8.cloudfront.net/image/725136000567/image_jbcf9v58eh2i56bfq9d5gred2d/-FJPG/231359-001_INF_1.jpg</t>
  </si>
  <si>
    <t>https://dd3ka9h4chfr8.cloudfront.net/image/725136000567/image_to0l1eri3d5bb0otprnbv70259/-FJPG/231359-001_DET_1.jpg</t>
  </si>
  <si>
    <t>https://dd3ka9h4chfr8.cloudfront.net/image/725136000567/image_rmucnlmlm13p77lqavvqhen528/-FJPG/231359-001_DET_3.jpg</t>
  </si>
  <si>
    <t>https://dd3ka9h4chfr8.cloudfront.net/image/725136000567/image_ag1mrnbg6t61t1lidlet90q611/-FJPG/231359-001_DET_4.jpg</t>
  </si>
  <si>
    <t>https://dd3ka9h4chfr8.cloudfront.net/image/725136000567/image_3j5tdvs6pt4574jj1359i8er3a/-FJPG/231359-001_DET_5.jpg</t>
  </si>
  <si>
    <t>https://dd3ka9h4chfr8.cloudfront.net/image/725136000567/image_jtoa8fs0oh6qr8ivkvsqvtj47s/-FJPG/231359-001_ROM_1.jpg</t>
  </si>
  <si>
    <t>https://dd3ka9h4chfr8.cloudfront.net/image/725136000567/image_9jhr4mrdl15830vq76qva8jg6e/-FJPG/231359-001_PRM_2.jpg</t>
  </si>
  <si>
    <t>Complete Item, L Shape Box,</t>
  </si>
  <si>
    <t>Malta</t>
  </si>
  <si>
    <t>231367-001</t>
  </si>
  <si>
    <t>Tybalt Swivel Chair - Sheepskin Camel</t>
  </si>
  <si>
    <t>Soft volume speaks to the European inspiration behind faux shearling-upholstered seating. A 360-degree swivel offers ease in any room.</t>
  </si>
  <si>
    <t>https://dd3ka9h4chfr8.cloudfront.net/image/725136000567/image_pel5q8e2010c53k3ue6aqn7d1n/-S150x150-FJPG/231367-001_PRM_1.jpg</t>
  </si>
  <si>
    <t>https://dd3ka9h4chfr8.cloudfront.net/image/725136000567/image_asgeepbtfp0o17tve8g7m09b7e/-FJPG/231367-001_FRT_1.jpg</t>
  </si>
  <si>
    <t>https://dd3ka9h4chfr8.cloudfront.net/image/725136000567/image_pel5q8e2010c53k3ue6aqn7d1n/-FJPG/231367-001_PRM_1.jpg</t>
  </si>
  <si>
    <t>https://dd3ka9h4chfr8.cloudfront.net/image/725136000567/image_f0h98sp7vl1u77gjd0pbu0241b/-FJPG/231367-001_SID_1.jpg</t>
  </si>
  <si>
    <t>https://dd3ka9h4chfr8.cloudfront.net/image/725136000567/image_fq090vdl956rfbli1258v67p7n/-FJPG/231367-001_ESS_1.jpg</t>
  </si>
  <si>
    <t>https://dd3ka9h4chfr8.cloudfront.net/image/725136000567/image_9lp4lespr14sr7104cmmmm950i/-FJPG/231367-001_DET_2.jpg</t>
  </si>
  <si>
    <t>https://dd3ka9h4chfr8.cloudfront.net/image/725136000567/image_nm8ujkkju51pn7g49ocmaljj3m/-FJPG/231367-001_BCK_1.jpg</t>
  </si>
  <si>
    <t>https://dd3ka9h4chfr8.cloudfront.net/image/725136000567/image_lj5qqvs50t205cb8osk2tnfr2i/-FJPG/231367-001_DET_3.jpg</t>
  </si>
  <si>
    <t>https://dd3ka9h4chfr8.cloudfront.net/image/725136000567/image_scf476i61p4h9f2o5oegb4ab1g/-FJPG/231367-001_DET_4.jpg</t>
  </si>
  <si>
    <t>https://dd3ka9h4chfr8.cloudfront.net/image/725136000567/image_n73b19iknl6qv0govrtt92jq6d/-FJPG/231367-001_DET_5.jpg</t>
  </si>
  <si>
    <t>https://dd3ka9h4chfr8.cloudfront.net/image/725136000567/image_7g5h0l7va1769br0o58sk90u0c/-FJPG/231367-001_DET_6.jpg</t>
  </si>
  <si>
    <t>Tybalt</t>
  </si>
  <si>
    <t>30.75"</t>
  </si>
  <si>
    <t>231368-001</t>
  </si>
  <si>
    <t>Colson Chair - Raleigh Chestnut</t>
  </si>
  <si>
    <t>Raleigh Chestnut</t>
  </si>
  <si>
    <t>Inspired by a variety of vintage finds, exposed wood frames and trend-forward box jointing bring a primitive, handmade look to this low-slung chair. Upholstered in a new Italian leather featuring a mix of warm and light hues that highlight the fabric's natural imperfections.</t>
  </si>
  <si>
    <t>https://dd3ka9h4chfr8.cloudfront.net/image/725136000567/image_2mbfr200i50n7f3r9cct2uf550/-S150x150-FJPG/231368-001_PRM_1.jpg</t>
  </si>
  <si>
    <t>https://dd3ka9h4chfr8.cloudfront.net/image/725136000567/image_94e5371hrp5a17g84277o5n013/-FJPG/231368-001_FRT_1.jpg</t>
  </si>
  <si>
    <t>https://dd3ka9h4chfr8.cloudfront.net/image/725136000567/image_2mbfr200i50n7f3r9cct2uf550/-FJPG/231368-001_PRM_1.jpg</t>
  </si>
  <si>
    <t>https://dd3ka9h4chfr8.cloudfront.net/image/725136000567/image_mn123d3uuh1bt6af8olm4j2o19/-FJPG/231368-001_SID_1.jpg</t>
  </si>
  <si>
    <t>https://dd3ka9h4chfr8.cloudfront.net/image/725136000567/image_tg3ni7h5dh1392gb5tfohnfg5q/-FJPG/231368-001_ESS_1.jpg</t>
  </si>
  <si>
    <t>https://dd3ka9h4chfr8.cloudfront.net/image/725136000567/image_t3alce68l12771rq07mgcgjp11/-FJPG/231368-001_DET_2.jpg</t>
  </si>
  <si>
    <t>https://dd3ka9h4chfr8.cloudfront.net/image/725136000567/image_0f7gvh39g53sb6u3p2a47bob2v/-FJPG/231368-001_BCK_1.jpg</t>
  </si>
  <si>
    <t>https://dd3ka9h4chfr8.cloudfront.net/image/725136000567/image_54t8ftgv6h7tde3vtddheafv33/-FJPG/231368-001_DET_1.jpg</t>
  </si>
  <si>
    <t>https://dd3ka9h4chfr8.cloudfront.net/image/725136000567/image_llpuehvgrh1jnem1krffr3fv6e/-FJPG/231368-001_DET_3.jpg</t>
  </si>
  <si>
    <t>https://dd3ka9h4chfr8.cloudfront.net/image/725136000567/image_7r3mpfkr2h6sj0da56688mor22/-FJPG/231368-001_DET_4.jpg</t>
  </si>
  <si>
    <t>https://dd3ka9h4chfr8.cloudfront.net/image/725136000567/image_cecqqk24fp7770gi4t8kuc8n5j/-FJPG/231368-001_DET_5.jpg</t>
  </si>
  <si>
    <t>https://dd3ka9h4chfr8.cloudfront.net/image/725136000567/image_g7eltlennl1qh9m7gudno3vg3i/-FJPG/231368-001_PRM_2.jpg</t>
  </si>
  <si>
    <t>Colson</t>
  </si>
  <si>
    <t>231386-003</t>
  </si>
  <si>
    <t>Elora Chair - Sheepskin Camel</t>
  </si>
  <si>
    <t>The classic wing-back club chair adopts heavy channeling for an even-comfier sit. Highly textural poly fiber fabric brings this retro lounge-inspired chair up to modern speed.</t>
  </si>
  <si>
    <t>https://dd3ka9h4chfr8.cloudfront.net/image/725136000567/image_bhqo9da5dl13n44uucb1vmbc22/-S150x150-FJPG/231386-003_PRM_1.jpg</t>
  </si>
  <si>
    <t>https://dd3ka9h4chfr8.cloudfront.net/image/725136000567/image_5ou4perd5t5td435nhpqcg7p0b/-FJPG/231386-003_FRT_1.jpg</t>
  </si>
  <si>
    <t>https://dd3ka9h4chfr8.cloudfront.net/image/725136000567/image_bhqo9da5dl13n44uucb1vmbc22/-FJPG/231386-003_PRM_1.jpg</t>
  </si>
  <si>
    <t>https://dd3ka9h4chfr8.cloudfront.net/image/725136000567/image_gp5duprh2p095b6rsdrk934o5d/-FJPG/231386-003_SID_1.jpg</t>
  </si>
  <si>
    <t>https://dd3ka9h4chfr8.cloudfront.net/image/725136000567/image_4m13kbqvsd6pj101h0gfbfuv0n/-FJPG/231386-003_ESS_1.jpg</t>
  </si>
  <si>
    <t>https://dd3ka9h4chfr8.cloudfront.net/image/725136000567/image_rnbpfabq3p5p3dfe2c3udkoo3m/-FJPG/231386-003_DET_2.jpg</t>
  </si>
  <si>
    <t>https://dd3ka9h4chfr8.cloudfront.net/image/725136000567/image_4kgbj9iued3fnfuun9c3p2k61j/-FJPG/231386-003_BCK_1.jpg</t>
  </si>
  <si>
    <t>https://dd3ka9h4chfr8.cloudfront.net/image/725136000567/image_62didpf1at2mlbbl9mm188bu3l/-FJPG/231386-003_DET_1.jpg</t>
  </si>
  <si>
    <t>https://dd3ka9h4chfr8.cloudfront.net/image/725136000567/image_8k59g65dgp4b734cfng2jqpf7n/-FJPG/231386-003_DET_3.jpg</t>
  </si>
  <si>
    <t>https://dd3ka9h4chfr8.cloudfront.net/image/725136000567/image_1n541mili52np8jo67pet2vv5f/-FJPG/231386-003_DET_4.jpg</t>
  </si>
  <si>
    <t>https://dd3ka9h4chfr8.cloudfront.net/image/725136000567/image_2hi9ofeg0t65ta9v90akudr760/-FJPG/231386-003_DET_5.jpg</t>
  </si>
  <si>
    <t>Complete Item, L Box Shape</t>
  </si>
  <si>
    <t>Elora</t>
  </si>
  <si>
    <t>231405-001</t>
  </si>
  <si>
    <t>Caspian Coffee Table - Natural Ash</t>
  </si>
  <si>
    <t>Complete your living space with this minimalistic coffee table. Crafted with clean lines, chamfered corners and a natural ash base, this serves as timeless centerpiece for your coffee breaks and gatherings.</t>
  </si>
  <si>
    <t>https://dd3ka9h4chfr8.cloudfront.net/image/725136000567/image_fsdb0sj8i165tdar8fp4ciof3p/-S150x150-FJPG/231405-001_PRM_1.jpg</t>
  </si>
  <si>
    <t>https://dd3ka9h4chfr8.cloudfront.net/image/725136000567/image_4br9ro24cd2rhdnacavsh7m857/-FJPG/231405-001_FRT_1.jpg</t>
  </si>
  <si>
    <t>https://dd3ka9h4chfr8.cloudfront.net/image/725136000567/image_fsdb0sj8i165tdar8fp4ciof3p/-FJPG/231405-001_PRM_1.jpg</t>
  </si>
  <si>
    <t>https://dd3ka9h4chfr8.cloudfront.net/image/725136000567/image_vsi8qud6nd4fvfuanff0p5iv5u/-FJPG/231405-001_SID_1.jpg</t>
  </si>
  <si>
    <t>https://dd3ka9h4chfr8.cloudfront.net/image/725136000567/image_nscqdp2pd94mp8n1ecntcmt73p/-FJPG/231405-001_ESS_1.jpg</t>
  </si>
  <si>
    <t>https://dd3ka9h4chfr8.cloudfront.net/image/725136000567/image_6gi4qfuce90a96ch9dkb5or93p/-FJPG/231405-001_DET_2.jpg</t>
  </si>
  <si>
    <t>https://dd3ka9h4chfr8.cloudfront.net/image/725136000567/image_b66v8janjd0ab6mvkc6dpbvn4i/-FJPG/231405-001_DET_1.jpg</t>
  </si>
  <si>
    <t>https://dd3ka9h4chfr8.cloudfront.net/image/725136000567/image_s8ti5sp5813dnffubg5ntcht7n/-FJPG/231405-001_DET_3.jpg</t>
  </si>
  <si>
    <t>https://dd3ka9h4chfr8.cloudfront.net/image/725136000567/image_oru40ers2d6eh321avttc6ht6n/-FJPG/231405-001_TOP_1.jpg</t>
  </si>
  <si>
    <t>https://dd3ka9h4chfr8.cloudfront.net/image/725136000567/image_p8pnk8ul1t0gn3f5lecj0qps7p/-FJPG/231405-001_DET_4.jpg</t>
  </si>
  <si>
    <t>https://dd3ka9h4chfr8.cloudfront.net/image/725136000567/image_434btavkd16l3dpc1bsh5dbc4m/-FJPG/231405-001_DET_5.jpg</t>
  </si>
  <si>
    <t>https://dd3ka9h4chfr8.cloudfront.net/image/725136000567/image_smk61liknl00vc1e25tjhdkq3d/-FJPG/231405-001_DET_6.jpg</t>
  </si>
  <si>
    <t>https://dd3ka9h4chfr8.cloudfront.net/image/725136000567/image_n7q9okhq214q31n6ihu12l1s3p/-FJPG/231405-001_DET_7.jpg</t>
  </si>
  <si>
    <t>https://dd3ka9h4chfr8.cloudfront.net/image/725136000567/image_kicjin1rql52f9fc9dkg74ao5b/-FJPG/231405-001_ESS_2.jpg</t>
  </si>
  <si>
    <t>52.09"</t>
  </si>
  <si>
    <t>231405-002</t>
  </si>
  <si>
    <t>Caspian Coffee Table - Black Ash</t>
  </si>
  <si>
    <t>Complete your living space with this minimalistic coffee table. Crafted with clean lines, chamfered corners and a black ash base, this serves as timeless centerpiece for your coffee breaks and gatherings.</t>
  </si>
  <si>
    <t>https://dd3ka9h4chfr8.cloudfront.net/image/725136000567/image_b4c1m1rrcd6dlducthhqqgoj3b/-S150x150-FJPG/231405-002_PRM_1.jpg</t>
  </si>
  <si>
    <t>https://dd3ka9h4chfr8.cloudfront.net/image/725136000567/image_gb83evr7f52dvds2imf7p0s41d/-FJPG/231405-002_FRT_1.jpg</t>
  </si>
  <si>
    <t>https://dd3ka9h4chfr8.cloudfront.net/image/725136000567/image_b4c1m1rrcd6dlducthhqqgoj3b/-FJPG/231405-002_PRM_1.jpg</t>
  </si>
  <si>
    <t>https://dd3ka9h4chfr8.cloudfront.net/image/725136000567/image_rg778jf9j137dckc418q9t6n12/-FJPG/231405-002_ESS_1.jpg</t>
  </si>
  <si>
    <t>https://dd3ka9h4chfr8.cloudfront.net/image/725136000567/image_gs9765srat4hhca8pbmjdokt23/-FJPG/231405-002_DET_2.jpg</t>
  </si>
  <si>
    <t>https://dd3ka9h4chfr8.cloudfront.net/image/725136000567/image_gdtcn18sop75bccae6il21ht2s/-FJPG/231405-002_DET_1.jpg</t>
  </si>
  <si>
    <t>https://dd3ka9h4chfr8.cloudfront.net/image/725136000567/image_nvh3rtfuhh4216cvlgri0cg735/-FJPG/231405-002_DET_3.jpg</t>
  </si>
  <si>
    <t>https://dd3ka9h4chfr8.cloudfront.net/image/725136000567/image_id7m2k636d5j53bvr7djkpga4f/-FJPG/231405-002_TOP_1.jpg</t>
  </si>
  <si>
    <t>https://dd3ka9h4chfr8.cloudfront.net/image/725136000567/image_ne8i083spd7t7861marhe44772/-FJPG/231405-002_DET_4.jpg</t>
  </si>
  <si>
    <t>https://dd3ka9h4chfr8.cloudfront.net/image/725136000567/image_65nso131gh477aldbn2vjkf55f/-FJPG/231405-002_DET_5.jpg</t>
  </si>
  <si>
    <t>https://dd3ka9h4chfr8.cloudfront.net/image/725136000567/image_djkto8qji560b63r3phevu3d19/-FJPG/231405-002_DET_6.jpg</t>
  </si>
  <si>
    <t>231408-001</t>
  </si>
  <si>
    <t>Caspian Console Table - Natural Ash Veneer</t>
  </si>
  <si>
    <t>https://dd3ka9h4chfr8.cloudfront.net/image/725136000567/image_1f2ig10tv57av3ukufc1ma9e52/-S150x150-FJPG/231408-001_PRM_1.jpg</t>
  </si>
  <si>
    <t>https://dd3ka9h4chfr8.cloudfront.net/image/725136000567/image_inbt03tr3h5vh2rc0u1iksq207/-FJPG/231408-001_FRT_1.jpg</t>
  </si>
  <si>
    <t>https://dd3ka9h4chfr8.cloudfront.net/image/725136000567/image_1f2ig10tv57av3ukufc1ma9e52/-FJPG/231408-001_PRM_1.jpg</t>
  </si>
  <si>
    <t>https://dd3ka9h4chfr8.cloudfront.net/image/725136000567/image_ckaf5dtkb150b8eedlb37glr5n/-FJPG/231408-001_SID_1.jpg</t>
  </si>
  <si>
    <t>https://dd3ka9h4chfr8.cloudfront.net/image/725136000567/image_et87grq4vh5r3etpu61q6p827q/-FJPG/231408-001_ESS_1.jpg</t>
  </si>
  <si>
    <t>https://dd3ka9h4chfr8.cloudfront.net/image/725136000567/image_hoif0voghh7e73loe7t3gar94i/-FJPG/231408-001_DET_2.jpg</t>
  </si>
  <si>
    <t>https://dd3ka9h4chfr8.cloudfront.net/image/725136000567/image_rb7qv3tnkh2kd0mbkidn53623a/-FJPG/231408-001_BCK_1.jpg</t>
  </si>
  <si>
    <t>https://dd3ka9h4chfr8.cloudfront.net/image/725136000567/image_6ttrk6alip0id7c4hfku1g9c2s/-FJPG/231408-001_DET_1.jpg</t>
  </si>
  <si>
    <t>https://dd3ka9h4chfr8.cloudfront.net/image/725136000567/image_5chonm8dml6clag6rfom2vju24/-FJPG/231408-001_DET_3.jpg</t>
  </si>
  <si>
    <t>https://dd3ka9h4chfr8.cloudfront.net/image/725136000567/image_qecim3s4e93al348hr75e5bt48/-FJPG/231408-001_OPN_1.jpg</t>
  </si>
  <si>
    <t>https://dd3ka9h4chfr8.cloudfront.net/image/725136000567/image_b2dlmh3ig166bbl9i91lnsc064/-FJPG/231408-001_DET_4.jpg</t>
  </si>
  <si>
    <t>https://dd3ka9h4chfr8.cloudfront.net/image/725136000567/image_84hs8q1ljp50h6qh67chto247c/-FJPG/231408-001_DET_5.jpg</t>
  </si>
  <si>
    <t>https://dd3ka9h4chfr8.cloudfront.net/image/725136000567/image_j2s45jks6l2ov3108a8vrc0m68/-FJPG/231408-001_DET_6.jpg</t>
  </si>
  <si>
    <t>https://dd3ka9h4chfr8.cloudfront.net/image/725136000567/image_2i38uhlcf11oh6qr94cbc1nu09/-FJPG/231408-001_DET_7.jpg</t>
  </si>
  <si>
    <t>https://dd3ka9h4chfr8.cloudfront.net/image/725136000567/image_8arcud3pu94dt2v24vbj081r1j/-FJPG/231408-001_DET_8.jpg</t>
  </si>
  <si>
    <t>58.54"</t>
  </si>
  <si>
    <t>1.85"</t>
  </si>
  <si>
    <t>231408-002</t>
  </si>
  <si>
    <t>Caspian Console Table - Black Ash Veneer</t>
  </si>
  <si>
    <t>https://dd3ka9h4chfr8.cloudfront.net/image/725136000567/image_am5j7g1b611ad9dqd10catqi5m/-S150x150-FJPG/231408-002_PRM_1.jpg</t>
  </si>
  <si>
    <t>https://dd3ka9h4chfr8.cloudfront.net/image/725136000567/image_1b6i44bbkl7hb2vvclopaqb43g/-FJPG/231408-002_FRT_1.jpg</t>
  </si>
  <si>
    <t>https://dd3ka9h4chfr8.cloudfront.net/image/725136000567/image_am5j7g1b611ad9dqd10catqi5m/-FJPG/231408-002_PRM_1.jpg</t>
  </si>
  <si>
    <t>https://dd3ka9h4chfr8.cloudfront.net/image/725136000567/image_imb6qdrlj13cn0lt7016natc6s/-FJPG/231408-002_SID_1.jpg</t>
  </si>
  <si>
    <t>https://dd3ka9h4chfr8.cloudfront.net/image/725136000567/image_ibemveh06d54f3fq9b8ue7jc2t/-FJPG/231408-002_ESS_1.jpg</t>
  </si>
  <si>
    <t>https://dd3ka9h4chfr8.cloudfront.net/image/725136000567/image_1bg2j8thb10vd24off5ljh4b47/-FJPG/231408-002_DET_2.jpg</t>
  </si>
  <si>
    <t>https://dd3ka9h4chfr8.cloudfront.net/image/725136000567/image_oub1e29vuh7npf31htkv52tp7c/-FJPG/231408-002_DET_1.jpg</t>
  </si>
  <si>
    <t>https://dd3ka9h4chfr8.cloudfront.net/image/725136000567/image_sg8ni64ao107t21q811vnraf5o/-FJPG/231408-002_DET_3.jpg</t>
  </si>
  <si>
    <t>https://dd3ka9h4chfr8.cloudfront.net/image/725136000567/image_mben0lkubh61n7q4dtdgv1157n/-FJPG/231408-002_OPN_1.jpg</t>
  </si>
  <si>
    <t>https://dd3ka9h4chfr8.cloudfront.net/image/725136000567/image_ga52ct9k8p6lhfuk4j79nmqd6f/-FJPG/231408-002_DET_4.jpg</t>
  </si>
  <si>
    <t>https://dd3ka9h4chfr8.cloudfront.net/image/725136000567/image_r1qnu90tv12ur65f594dk7545k/-FJPG/231408-002_DET_5.jpg</t>
  </si>
  <si>
    <t>https://dd3ka9h4chfr8.cloudfront.net/image/725136000567/image_9buais36n17uhfsmlqpu01q82a/-FJPG/231408-002_DET_6.jpg</t>
  </si>
  <si>
    <t>https://dd3ka9h4chfr8.cloudfront.net/image/725136000567/image_f1c3i5522l6m94bhii3ngtpe5n/-FJPG/231408-002_DET_7.jpg</t>
  </si>
  <si>
    <t>231476-001</t>
  </si>
  <si>
    <t>Esben Storage Ottoman-39" - Sattley Fog</t>
  </si>
  <si>
    <t>Terra Brown Oak</t>
  </si>
  <si>
    <t>Get extra storage and an extra spot for lounging or propped feet in one. This coffee table-sized storage ottoman features a loose top to store extra blankets and more. Upholstered in a textural boucle-like performance fabric, perfect for everyday messes. Finished with an X-frame parawood base in a walnut-inspired finish. Performance fabrics are specially created to withstand spills, stains, high traffic and wear, ensuring long-term comfort and unmatched durability.</t>
  </si>
  <si>
    <t>https://dd3ka9h4chfr8.cloudfront.net/image/725136000567/image_25pngknk0h3c19ced8oo361h4e/-S150x150-FJPG/231476-001_PRM_1.jpg</t>
  </si>
  <si>
    <t>https://dd3ka9h4chfr8.cloudfront.net/image/725136000567/image_9tqu0kt3n510t063rkntgsl22u/-FJPG/231476-001_FRT_1.jpg</t>
  </si>
  <si>
    <t>https://dd3ka9h4chfr8.cloudfront.net/image/725136000567/image_25pngknk0h3c19ced8oo361h4e/-FJPG/231476-001_PRM_1.jpg</t>
  </si>
  <si>
    <t>https://dd3ka9h4chfr8.cloudfront.net/image/725136000567/image_b764po06i13ch4226e7epmuj19/-FJPG/231476-001_SID_1.jpg</t>
  </si>
  <si>
    <t>https://dd3ka9h4chfr8.cloudfront.net/image/725136000567/image_40jrbtvo3d1uh0v7m0jhn4qd7o/-FJPG/231476-001_ESS_1.jpg</t>
  </si>
  <si>
    <t>https://dd3ka9h4chfr8.cloudfront.net/image/725136000567/image_vr2tgoulk90jrdkb1qb97iqv6p/-FJPG/231476-001_DET_2.jpg</t>
  </si>
  <si>
    <t>https://dd3ka9h4chfr8.cloudfront.net/image/725136000567/image_hq4b6vsng50l7f18mhvsvepi3s/-FJPG/231476-001_DET_1.jpg</t>
  </si>
  <si>
    <t>https://dd3ka9h4chfr8.cloudfront.net/image/725136000567/image_e6g9und5c13k9d8vh45fub9f2f/-FJPG/231476-001_DET_3.jpg</t>
  </si>
  <si>
    <t>https://dd3ka9h4chfr8.cloudfront.net/image/725136000567/image_e04mr86det2vbc7jj1gg273r4a/-FJPG/231476-001_DET_4.jpg</t>
  </si>
  <si>
    <t>https://dd3ka9h4chfr8.cloudfront.net/image/725136000567/image_vurqje4fr96kf53cingits146c/-FJPG/231476-001_DET_5.jpg</t>
  </si>
  <si>
    <t>https://dd3ka9h4chfr8.cloudfront.net/image/725136000567/image_dpcl581jl96p70hs6qanfeci0b/-FJPG/231476-001_ESS_2.jpg</t>
  </si>
  <si>
    <t>36.02"</t>
  </si>
  <si>
    <t>Esben</t>
  </si>
  <si>
    <t>231544-001</t>
  </si>
  <si>
    <t>Henry Sideboard - Rustic Grey Veneer</t>
  </si>
  <si>
    <t>Solid Reclaimed Oak</t>
  </si>
  <si>
    <t>Made from solid reclaimed oak finished in a rustic grey, natural wood grooves and chamfered framing elevate this sideboard, perfect for storing serving ware and table linens. Center drawers, side shelving, plus rear cutouts for cord management. Designed in partnership with longtime Four Hands collaborator Thomas Bina and Brazilian designer Ronald Sasson.</t>
  </si>
  <si>
    <t>https://dd3ka9h4chfr8.cloudfront.net/image/725136000567/image_i01glinmqh4kf0bqrcbth8kt1d/-S150x150-FJPG/231544-001_PRM_1.jpg</t>
  </si>
  <si>
    <t>https://dd3ka9h4chfr8.cloudfront.net/image/725136000567/image_j82i9f48c15cbckpnl16ascq1u/-FJPG/231544-001_FRT_1.jpg</t>
  </si>
  <si>
    <t>https://dd3ka9h4chfr8.cloudfront.net/image/725136000567/image_i01glinmqh4kf0bqrcbth8kt1d/-FJPG/231544-001_PRM_1.jpg</t>
  </si>
  <si>
    <t>https://dd3ka9h4chfr8.cloudfront.net/image/725136000567/image_ffonve8tjp7916rcqooe2cnn7k/-FJPG/231544-001_SID_1.jpg</t>
  </si>
  <si>
    <t>https://dd3ka9h4chfr8.cloudfront.net/image/725136000567/image_9ur033tjq92l91p46r13c0gd1r/-FJPG/231544-001_ESS_1.jpg</t>
  </si>
  <si>
    <t>https://dd3ka9h4chfr8.cloudfront.net/image/725136000567/image_jp24edu1ad5staqpfo8l3v0j2v/-FJPG/231544-001_ESS_1.tif</t>
  </si>
  <si>
    <t>https://dd3ka9h4chfr8.cloudfront.net/image/725136000567/image_gbba7qd6rh7m77l2a4aotdlr15/-FJPG/231544-001_DET_2.jpg</t>
  </si>
  <si>
    <t>https://dd3ka9h4chfr8.cloudfront.net/image/725136000567/image_f2s8q0fp9p07n7egutp69l2n20/-FJPG/231544-001_BCK_1.jpg</t>
  </si>
  <si>
    <t>https://dd3ka9h4chfr8.cloudfront.net/image/725136000567/image_3q9dk9506t3j7cdpsobvrh2l0s/-FJPG/231544-001_DET_1.jpg</t>
  </si>
  <si>
    <t>https://dd3ka9h4chfr8.cloudfront.net/image/725136000567/image_qhvjlrgdq93ff9lk3b69493t60/-FJPG/231544-001_DET_3.jpg</t>
  </si>
  <si>
    <t>https://dd3ka9h4chfr8.cloudfront.net/image/725136000567/image_lfmadbm5512opet0ijthqksm5t/-FJPG/231544-001_OPN_1.jpg</t>
  </si>
  <si>
    <t>https://dd3ka9h4chfr8.cloudfront.net/image/725136000567/image_fuomci4eoh7tbbinhtv9cvb23s/-FJPG/231544-001_DET_4.jpg</t>
  </si>
  <si>
    <t>https://dd3ka9h4chfr8.cloudfront.net/image/725136000567/image_14qc3h379h3gj3tao444j7ja5e/-FJPG/231544-001_DET_5.jpg</t>
  </si>
  <si>
    <t>https://dd3ka9h4chfr8.cloudfront.net/image/725136000567/image_qm4fcoakdl0692usve4npsk46s/-FJPG/231544-001_DET_6.jpg</t>
  </si>
  <si>
    <t>https://dd3ka9h4chfr8.cloudfront.net/image/725136000567/image_dmvk3qkc1d1ar811vj3gbac70p/-FJPG/231544-001_DET_7.jpg</t>
  </si>
  <si>
    <t>https://dd3ka9h4chfr8.cloudfront.net/image/725136000567/image_qaqkomr9dh5or2oeiu15ro0q41/-FJPG/231544-001_DET_8.jpg</t>
  </si>
  <si>
    <t>https://dd3ka9h4chfr8.cloudfront.net/image/725136000567/image_68uoactbp50m93p11oa5tora0d/-FJPG/231544-001_DET_9.jpg</t>
  </si>
  <si>
    <t>https://dd3ka9h4chfr8.cloudfront.net/image/725136000567/image_p9qgqk5g453hf5glc8oqehrc2n/-FJPG/231544-001_DET_10.jpg</t>
  </si>
  <si>
    <t>https://dd3ka9h4chfr8.cloudfront.net/image/725136000567/image_r8qluf6egt58332fvk8soqgs3s/-FJPG/FHMPRJ-007_SCENE_14.tif</t>
  </si>
  <si>
    <t>14.80"</t>
  </si>
  <si>
    <t>20.69"</t>
  </si>
  <si>
    <t>Henry</t>
  </si>
  <si>
    <t>21.89"</t>
  </si>
  <si>
    <t>15.24"</t>
  </si>
  <si>
    <t>8.39"</t>
  </si>
  <si>
    <t>33.74"</t>
  </si>
  <si>
    <t>231554-001</t>
  </si>
  <si>
    <t>Henry Desk - Rustic Grey Veneer</t>
  </si>
  <si>
    <t>Made from solid reclaimed oak finished in a rustic grey, this slim-profile desk shapes subtly curved corners, bringing a handcrafted look to a minimalist form. Designed in partnership with longtime Four Hands collaborator Thomas Bina and Brazilian designer Ronald Sasson.</t>
  </si>
  <si>
    <t>https://dd3ka9h4chfr8.cloudfront.net/image/725136000567/image_fq7surortt2i7ceebq3jq7m557/-S150x150-FJPG/231554-001_PRM_1.jpg</t>
  </si>
  <si>
    <t>https://dd3ka9h4chfr8.cloudfront.net/image/725136000567/image_r62jffr9h1205bk1p2ithba867/-FJPG/231554-001_FRT_1.jpg</t>
  </si>
  <si>
    <t>https://dd3ka9h4chfr8.cloudfront.net/image/725136000567/image_fq7surortt2i7ceebq3jq7m557/-FJPG/231554-001_PRM_1.jpg</t>
  </si>
  <si>
    <t>https://dd3ka9h4chfr8.cloudfront.net/image/725136000567/image_se54tt15at2bn2i5urs5l9io1k/-FJPG/231554-001_SID_1.jpg</t>
  </si>
  <si>
    <t>https://dd3ka9h4chfr8.cloudfront.net/image/725136000567/image_lkrf816tmh5s15760nmgibm06k/-FJPG/231554-001_ESS_1.jpg</t>
  </si>
  <si>
    <t>https://dd3ka9h4chfr8.cloudfront.net/image/725136000567/image_vpaelhrk856gh78jv35f9ik12d/-FJPG/231554-001_DET_2.jpg</t>
  </si>
  <si>
    <t>https://dd3ka9h4chfr8.cloudfront.net/image/725136000567/image_tbb6iu3nvh62d85lnt0disoi3s/-FJPG/231554-001_BCK_1.jpg</t>
  </si>
  <si>
    <t>https://dd3ka9h4chfr8.cloudfront.net/image/725136000567/image_svk2re5rr95ehfmmin8jau5t06/-FJPG/231554-001_DET_1.jpg</t>
  </si>
  <si>
    <t>https://dd3ka9h4chfr8.cloudfront.net/image/725136000567/image_tqcncia1ep2mr30hksk0f7ab5j/-FJPG/231554-001_DET_3.jpg</t>
  </si>
  <si>
    <t>https://dd3ka9h4chfr8.cloudfront.net/image/725136000567/image_fao9i4gh0p3mj9h2mm6ih5nj5v/-FJPG/231554-001_OPN_1.jpg</t>
  </si>
  <si>
    <t>https://dd3ka9h4chfr8.cloudfront.net/image/725136000567/image_74qgole88p2nr3jq4c24hndo7d/-FJPG/231554-001_DET_4.jpg</t>
  </si>
  <si>
    <t>https://dd3ka9h4chfr8.cloudfront.net/image/725136000567/image_bj9rr0ietd5sradpohpm7hmk1v/-FJPG/231554-001_DET_5.jpg</t>
  </si>
  <si>
    <t>https://dd3ka9h4chfr8.cloudfront.net/image/725136000567/image_u89hff84st64r4fct5923hg025/-FJPG/231554-001_DET_6.jpg</t>
  </si>
  <si>
    <t>https://dd3ka9h4chfr8.cloudfront.net/image/725136000567/image_chv94fecc90j70mb4aibpbfp1s/-FJPG/231554-001_DET_7.jpg</t>
  </si>
  <si>
    <t>https://dd3ka9h4chfr8.cloudfront.net/image/725136000567/image_686uabkrht71f3a9hah7vrpt31/-FJPG/231554-001_DET_8.jpg</t>
  </si>
  <si>
    <t>Desk</t>
  </si>
  <si>
    <t>66.06"</t>
  </si>
  <si>
    <t>30.98"</t>
  </si>
  <si>
    <t>19.45"</t>
  </si>
  <si>
    <t>231554-002</t>
  </si>
  <si>
    <t>Henry Desk - Charcoal Oak Thick Veneer</t>
  </si>
  <si>
    <t>Charcoal Oak Thick Veneer</t>
  </si>
  <si>
    <t>Charcoal Reclaimed Solid Oak</t>
  </si>
  <si>
    <t>Made from solid reclaimed oak finished in a rustic charcoal, this slim-profile desk shapes subtly curved corners, bringing a handcrafted look to a minimalist form. Designed in partnership with longtime Four Hands collaborator Thomas Bina and Brazilian designer Ronald Sasson.</t>
  </si>
  <si>
    <t>https://dd3ka9h4chfr8.cloudfront.net/image/725136000567/image_j9fbk7tke50gt1lepglk2hsi7t/-S150x150-FJPG/231554-002_PRM_1.jpg</t>
  </si>
  <si>
    <t>https://dd3ka9h4chfr8.cloudfront.net/image/725136000567/image_235pebvd451239bpluhmfvsg0f/-FJPG/231554-002_FRT_1.jpg</t>
  </si>
  <si>
    <t>https://dd3ka9h4chfr8.cloudfront.net/image/725136000567/image_j9fbk7tke50gt1lepglk2hsi7t/-FJPG/231554-002_PRM_1.jpg</t>
  </si>
  <si>
    <t>https://dd3ka9h4chfr8.cloudfront.net/image/725136000567/image_jsm11tsh3t0ar0n01v6dpa7a72/-FJPG/231554-002_SID_1.jpg</t>
  </si>
  <si>
    <t>https://dd3ka9h4chfr8.cloudfront.net/image/725136000567/image_rj3vgl3in52116gi49ph7o6u1k/-FJPG/231554-002_DET_2.jpg</t>
  </si>
  <si>
    <t>https://dd3ka9h4chfr8.cloudfront.net/image/725136000567/image_mbcqhp9vb97thb68npilc4an0t/-FJPG/231554-002_BCK_1.jpg</t>
  </si>
  <si>
    <t>https://dd3ka9h4chfr8.cloudfront.net/image/725136000567/image_l5g655887h4g78f4pscfikhg2p/-FJPG/231554-002_DET_1.jpg</t>
  </si>
  <si>
    <t>https://dd3ka9h4chfr8.cloudfront.net/image/725136000567/image_pkaspt41n15gt8b8pl9av5pg53/-FJPG/231554-002_DET_3.jpg</t>
  </si>
  <si>
    <t>https://dd3ka9h4chfr8.cloudfront.net/image/725136000567/image_m6roh64bmt3rraee2ap1k7go0q/-FJPG/231554-002_TOP_1.jpg</t>
  </si>
  <si>
    <t>https://dd3ka9h4chfr8.cloudfront.net/image/725136000567/image_nb5353u2b174f6qq61ri923j02/-FJPG/231554-002_DET_4.jpg</t>
  </si>
  <si>
    <t>https://dd3ka9h4chfr8.cloudfront.net/image/725136000567/image_focohs909p2mn23pam2avu9h1s/-FJPG/231554-002_DET_5.jpg</t>
  </si>
  <si>
    <t>https://dd3ka9h4chfr8.cloudfront.net/image/725136000567/image_8ll7rq4dc51651l1uq9c9u1d5d/-FJPG/231554-002_DET_6.jpg</t>
  </si>
  <si>
    <t>https://dd3ka9h4chfr8.cloudfront.net/image/725136000567/image_lgrumj1va949fc3o4ktcfu400u/-FJPG/231554-002_DET_7.jpg</t>
  </si>
  <si>
    <t>231565-001</t>
  </si>
  <si>
    <t>Henry Dining Table - Rustic Grey Veneer</t>
  </si>
  <si>
    <t>Made from solid reclaimed oak finished in a rustic grey, natural wood grooves plus chamfered leg profiles elevate this plank-style table. Seats up to ten comfortably. Designed in partnership with longtime Four Hands collaborator Thomas Bina and Brazilian designer Ronald Sasson.</t>
  </si>
  <si>
    <t>https://dd3ka9h4chfr8.cloudfront.net/image/725136000567/image_qcpmdna5ft3d7e2hd48flan05d/-S150x150-FJPG/231565-001_PRM_1.jpg</t>
  </si>
  <si>
    <t>https://dd3ka9h4chfr8.cloudfront.net/image/725136000567/image_4ooqq1hc394ad35gtdfaril25c/-FJPG/231565-001_FRT_1.tif</t>
  </si>
  <si>
    <t>https://dd3ka9h4chfr8.cloudfront.net/image/725136000567/image_bc2gbta1uh69l97i1o9cgn0i0m/-FJPG/231565-001_FRT_1.jpg</t>
  </si>
  <si>
    <t>https://dd3ka9h4chfr8.cloudfront.net/image/725136000567/image_qcpmdna5ft3d7e2hd48flan05d/-FJPG/231565-001_PRM_1.jpg</t>
  </si>
  <si>
    <t>https://dd3ka9h4chfr8.cloudfront.net/image/725136000567/image_9t2dfv39u16c7cesgraol90k19/-FJPG/231565-001_SID_1.jpg</t>
  </si>
  <si>
    <t>https://dd3ka9h4chfr8.cloudfront.net/image/725136000567/image_a6t1s5jcj53nj3ou7smtegep7r/-FJPG/231565-001_ESS_1.jpg</t>
  </si>
  <si>
    <t>https://dd3ka9h4chfr8.cloudfront.net/image/725136000567/image_8ijbclnrc14g9d7ba6ma6unh17/-FJPG/231565-001_DET_2.jpg</t>
  </si>
  <si>
    <t>https://dd3ka9h4chfr8.cloudfront.net/image/725136000567/image_nlbapcb3jl5qvd9fcogiqh1g38/-FJPG/231565-001_DET_1.jpg</t>
  </si>
  <si>
    <t>https://dd3ka9h4chfr8.cloudfront.net/image/725136000567/image_ohvmuspvo56jj3m468b10ih56o/-FJPG/231565-001_DET_3.jpg</t>
  </si>
  <si>
    <t>https://dd3ka9h4chfr8.cloudfront.net/image/725136000567/image_lapkduh0id4tt7t8oh693ak30t/-FJPG/231565-001_DET_4.jpg</t>
  </si>
  <si>
    <t>https://dd3ka9h4chfr8.cloudfront.net/image/725136000567/image_r7matqci7t4tt2deho1nsk3u2r/-FJPG/231565-001_DET_5.jpg</t>
  </si>
  <si>
    <t>https://dd3ka9h4chfr8.cloudfront.net/image/725136000567/image_4a9746toh579reu5lc13isvo15/-FJPG/231565-001_DET_6.jpg</t>
  </si>
  <si>
    <t>https://dd3ka9h4chfr8.cloudfront.net/image/725136000567/image_um8fi4u78h49h0rinav3o5172d/-FJPG/231565-001_ESS_2.jpg</t>
  </si>
  <si>
    <t>33.98"</t>
  </si>
  <si>
    <t>85.98"</t>
  </si>
  <si>
    <t>94.02"</t>
  </si>
  <si>
    <t>231641-001</t>
  </si>
  <si>
    <t>Martine Swivel Chair - Omari Natural</t>
  </si>
  <si>
    <t>Omari Natural</t>
  </si>
  <si>
    <t>Golden Parawood</t>
  </si>
  <si>
    <t>79% Polyester</t>
  </si>
  <si>
    <t>16% Viscose (Rayon)</t>
  </si>
  <si>
    <t>A modern tub chair features dramatic sloping arms and a plinth base that conceals a 360 swivel. Upholstered in a cream textured performance fabric with subtle flecks of color throughout. Performance fabrics are specially created to withstand spills, stains, high traffic and wear, ensuring long-term comfort and unmatched durability.</t>
  </si>
  <si>
    <t>https://dd3ka9h4chfr8.cloudfront.net/image/725136000567/image_s8cpftj8n57c729l071lqhp70m/-S150x150-FJPG/231641-001_PRM_1.jpg</t>
  </si>
  <si>
    <t>https://dd3ka9h4chfr8.cloudfront.net/image/725136000567/image_41dnt63bth28l2kco4df3hrg1q/-FJPG/231641-001_FRT_1.jpg</t>
  </si>
  <si>
    <t>https://dd3ka9h4chfr8.cloudfront.net/image/725136000567/image_s8cpftj8n57c729l071lqhp70m/-FJPG/231641-001_PRM_1.jpg</t>
  </si>
  <si>
    <t>https://dd3ka9h4chfr8.cloudfront.net/image/725136000567/image_m17t949lld5252u3mfk0qh7g0s/-FJPG/231641-001_SID_1.jpg</t>
  </si>
  <si>
    <t>https://dd3ka9h4chfr8.cloudfront.net/image/725136000567/image_icnht21ncp025beeke48kl7r1g/-FJPG/231641-001_ESS_1.jpg</t>
  </si>
  <si>
    <t>https://dd3ka9h4chfr8.cloudfront.net/image/725136000567/image_jpl95ahtot2ff8ndo4u98bf177/-FJPG/231641-001_DET_2.jpg</t>
  </si>
  <si>
    <t>https://dd3ka9h4chfr8.cloudfront.net/image/725136000567/image_4cj3lobvjd3credfqsmgq8ua2c/-FJPG/231641-001_BCK_1.jpg</t>
  </si>
  <si>
    <t>https://dd3ka9h4chfr8.cloudfront.net/image/725136000567/image_c6l9palh1l4pveudualkuluh33/-FJPG/231641-001_DET_1.jpg</t>
  </si>
  <si>
    <t>https://dd3ka9h4chfr8.cloudfront.net/image/725136000567/image_8nf1aft16h12l42qsjls2b4n27/-FJPG/231641-001_DET_3.jpg</t>
  </si>
  <si>
    <t>https://dd3ka9h4chfr8.cloudfront.net/image/725136000567/image_a1oie7rqjp14ra8joiep2oee20/-FJPG/231641-001_DET_4.jpg</t>
  </si>
  <si>
    <t>https://dd3ka9h4chfr8.cloudfront.net/image/725136000567/image_lnr501vnbt2q3a6a32lnt1th4v/-FJPG/231641-001_DET_5.jpg</t>
  </si>
  <si>
    <t>Complete Item,L Shape Box ,  H1=810 ,  H2=640</t>
  </si>
  <si>
    <t>Martine</t>
  </si>
  <si>
    <t>90% Polyurethane Foam Pad, 10% Polyester Fiber</t>
  </si>
  <si>
    <t>231710-008</t>
  </si>
  <si>
    <t>Meadow Bed - Tawny Oak</t>
  </si>
  <si>
    <t>Tawny Oak</t>
  </si>
  <si>
    <t>A simply shaped bed of warm-finished oak offers a handcrafted look inspired by midcentury design.</t>
  </si>
  <si>
    <t>https://dd3ka9h4chfr8.cloudfront.net/image/725136000567/image_qgi5t884vd6il97vrrvu9ge015/-S150x150-FJPG/231710-008_PRM_1.jpg</t>
  </si>
  <si>
    <t>https://dd3ka9h4chfr8.cloudfront.net/image/725136000567/image_eejl89ulv16955sce84r9apm09/-FJPG/231710-008_FRT_1.jpg</t>
  </si>
  <si>
    <t>https://dd3ka9h4chfr8.cloudfront.net/image/725136000567/image_qgi5t884vd6il97vrrvu9ge015/-FJPG/231710-008_PRM_1.jpg</t>
  </si>
  <si>
    <t>https://dd3ka9h4chfr8.cloudfront.net/image/725136000567/image_egkk8s6fm90m5ctt6ufrc6go3m/-FJPG/231710-008_SID_1.jpg</t>
  </si>
  <si>
    <t>https://dd3ka9h4chfr8.cloudfront.net/image/725136000567/image_1j7t77j05t7a1aeb5p71hemc47/-FJPG/231710-008_DET_2.jpg</t>
  </si>
  <si>
    <t>https://dd3ka9h4chfr8.cloudfront.net/image/725136000567/image_8shjc3ouq95dve3fmfa8ed593a/-FJPG/231710-008_BCK_1.jpg</t>
  </si>
  <si>
    <t>https://dd3ka9h4chfr8.cloudfront.net/image/725136000567/image_5lo7dllff10kh2ssonljdtkk2j/-FJPG/231710-008_DET_1.jpg</t>
  </si>
  <si>
    <t>https://dd3ka9h4chfr8.cloudfront.net/image/725136000567/image_0jf7h7e4ch4m9bmd4vf7qjnc7b/-FJPG/231710-008_DET_3.jpg</t>
  </si>
  <si>
    <t>https://dd3ka9h4chfr8.cloudfront.net/image/725136000567/image_p606istgq51ffd5dcj3p7h766n/-FJPG/231710-008_DET_4.jpg</t>
  </si>
  <si>
    <t>https://dd3ka9h4chfr8.cloudfront.net/image/725136000567/image_73b5bpu9gh1m322k6629tssk13/-FJPG/231710-008_DET_5.jpg</t>
  </si>
  <si>
    <t>https://dd3ka9h4chfr8.cloudfront.net/image/725136000567/image_ioo71um7np2qf1h9q1prg3uh01/-FJPG/231710-008_DET_6.jpg</t>
  </si>
  <si>
    <t>https://dd3ka9h4chfr8.cloudfront.net/image/725136000567/image_tpshnfngid4up2hv5g3lmn8m3f/-FJPG/231710-008_DET_7.jpg</t>
  </si>
  <si>
    <t>79.13"</t>
  </si>
  <si>
    <t>42.01"</t>
  </si>
  <si>
    <t>231710-009</t>
  </si>
  <si>
    <t>https://dd3ka9h4chfr8.cloudfront.net/image/725136000567/image_0q7phm3g7h6ld5onurl1l4lc7t/-S150x150-FJPG/231710-009_PRM_1.jpg</t>
  </si>
  <si>
    <t>https://dd3ka9h4chfr8.cloudfront.net/image/725136000567/image_9un9uttqu96ppc7o35hujnjd2b/-FJPG/231710-009_FRT_1.jpg</t>
  </si>
  <si>
    <t>https://dd3ka9h4chfr8.cloudfront.net/image/725136000567/image_0q7phm3g7h6ld5onurl1l4lc7t/-FJPG/231710-009_PRM_1.jpg</t>
  </si>
  <si>
    <t>https://dd3ka9h4chfr8.cloudfront.net/image/725136000567/image_sdfphujlt5525clq6otprefk19/-FJPG/231710-009_SID_1.jpg</t>
  </si>
  <si>
    <t>https://dd3ka9h4chfr8.cloudfront.net/image/725136000567/image_h54srdadnl4rf6vu83v716nl2q/-FJPG/231710-009_DET_2.jpg</t>
  </si>
  <si>
    <t>https://dd3ka9h4chfr8.cloudfront.net/image/725136000567/image_7c4frhj3lp1bpcut7pioob7i2d/-FJPG/231710-009_BCK_1.jpg</t>
  </si>
  <si>
    <t>https://dd3ka9h4chfr8.cloudfront.net/image/725136000567/image_0g9s3vbmgd7ot48u24vd23nq42/-FJPG/231710-009_DET_1.jpg</t>
  </si>
  <si>
    <t>https://dd3ka9h4chfr8.cloudfront.net/image/725136000567/image_bg3n8evlut1u3642sn02ihhk36/-FJPG/231710-009_DET_3.jpg</t>
  </si>
  <si>
    <t>https://dd3ka9h4chfr8.cloudfront.net/image/725136000567/image_c2alj87pl948ddp83ospen3i3t/-FJPG/231710-009_DET_4.jpg</t>
  </si>
  <si>
    <t>https://dd3ka9h4chfr8.cloudfront.net/image/725136000567/image_964vs59oil7ppceo7foq00a37o/-FJPG/231710-009_DET_5.jpg</t>
  </si>
  <si>
    <t>https://dd3ka9h4chfr8.cloudfront.net/image/725136000567/image_v3sgnfrlct6o13s08hu9qj7o3f/-FJPG/231710-009_DET_6.jpg</t>
  </si>
  <si>
    <t>https://dd3ka9h4chfr8.cloudfront.net/image/725136000567/image_2ds2m54sc96bv9jcj6s2iqud3s/-FJPG/231710-009_DET_7.jpg</t>
  </si>
  <si>
    <t>231732-003</t>
  </si>
  <si>
    <t>Leo Bed - Rustic Grey</t>
  </si>
  <si>
    <t>Designed by Thomas Bina and Ronald Sasson, a design partnership blending both modern minimalist and Brazilian influences. Crafted from a mix of solid oak and thick-cut oak veneer, this clean-lined bed features vertical reed detailing on the tall headboard and beautiful horizontal graining on the footboard for extra drama.</t>
  </si>
  <si>
    <t>https://dd3ka9h4chfr8.cloudfront.net/image/725136000567/image_mp0sqa03td3n9626tboj8pe06l/-S150x150-FJPG/231732-003_PRM_1.jpg</t>
  </si>
  <si>
    <t>https://dd3ka9h4chfr8.cloudfront.net/image/725136000567/image_t5tlq19bhl3ml5ivjbi66kcb1k/-FJPG/231732-003_FRT_1.jpg</t>
  </si>
  <si>
    <t>https://dd3ka9h4chfr8.cloudfront.net/image/725136000567/image_mp0sqa03td3n9626tboj8pe06l/-FJPG/231732-003_PRM_1.jpg</t>
  </si>
  <si>
    <t>https://dd3ka9h4chfr8.cloudfront.net/image/725136000567/image_4n47826c9d64l40umiit8ep040/-FJPG/231732-003_SID_1.jpg</t>
  </si>
  <si>
    <t>https://dd3ka9h4chfr8.cloudfront.net/image/725136000567/image_73q7429a9p037f343lq95j7e6d/-FJPG/231732-003_ESS.tif</t>
  </si>
  <si>
    <t>https://dd3ka9h4chfr8.cloudfront.net/image/725136000567/image_3fv63jp4rd0ft0utvgqu20gf21/-FJPG/231732-003_DET_2.jpg</t>
  </si>
  <si>
    <t>https://dd3ka9h4chfr8.cloudfront.net/image/725136000567/image_rfvq6ff3h57e924p9s232f863k/-FJPG/231732-003_BCK_1.jpg</t>
  </si>
  <si>
    <t>https://dd3ka9h4chfr8.cloudfront.net/image/725136000567/image_45bk517su93ivfvndul7p8em25/-FJPG/231732-003_DET_1.jpg</t>
  </si>
  <si>
    <t>https://dd3ka9h4chfr8.cloudfront.net/image/725136000567/image_f7mdtfei2h3jj9c2l9i6jc4o3g/-FJPG/231732-003_DET_3.jpg</t>
  </si>
  <si>
    <t>https://dd3ka9h4chfr8.cloudfront.net/image/725136000567/image_3n4qa90a0h61p6sem56fg8205g/-FJPG/231732-003_DET_4.jpg</t>
  </si>
  <si>
    <t>https://dd3ka9h4chfr8.cloudfront.net/image/725136000567/image_31hcokeam5091b54bk0e8akr1a/-FJPG/231732-003_DET_5.jpg</t>
  </si>
  <si>
    <t>https://dd3ka9h4chfr8.cloudfront.net/image/725136000567/image_r9268mjdb91of2bgqqo51ssr4m/-FJPG/231732-003_DET_6.jpg</t>
  </si>
  <si>
    <t>https://dd3ka9h4chfr8.cloudfront.net/image/725136000567/image_i92n335ir10mp61t6tsdms1e69/-FJPG/231732-003_DET_7.jpg</t>
  </si>
  <si>
    <t>https://dd3ka9h4chfr8.cloudfront.net/image/725136000567/image_cuvtdfr5p51nh7btnlfkrl280s/-FJPG/231732-003_DET_8.jpg</t>
  </si>
  <si>
    <t>Footboard/ Slats</t>
  </si>
  <si>
    <t>Side Rails, Center Rail, Support Legs, Hardware Pack</t>
  </si>
  <si>
    <t>Leo</t>
  </si>
  <si>
    <t>231732-004</t>
  </si>
  <si>
    <t>https://dd3ka9h4chfr8.cloudfront.net/image/725136000567/image_akubtfeqo50uh70d3nn2gf9707/-S150x150-FJPG/231732-004_PRM_1.jpg</t>
  </si>
  <si>
    <t>https://dd3ka9h4chfr8.cloudfront.net/image/725136000567/image_9tgmge147h45vcbm9up7ono148/-FJPG/231732-004_FRT_1.jpg</t>
  </si>
  <si>
    <t>https://dd3ka9h4chfr8.cloudfront.net/image/725136000567/image_akubtfeqo50uh70d3nn2gf9707/-FJPG/231732-004_PRM_1.jpg</t>
  </si>
  <si>
    <t>https://dd3ka9h4chfr8.cloudfront.net/image/725136000567/image_ca2v4ia97p4jdet2sufg4usf7b/-FJPG/231732-004_SID_1.jpg</t>
  </si>
  <si>
    <t>https://dd3ka9h4chfr8.cloudfront.net/image/725136000567/image_7v56rcs8ap6ptar0agst9lj23m/-FJPG/231732-004_DET_2.jpg</t>
  </si>
  <si>
    <t>https://dd3ka9h4chfr8.cloudfront.net/image/725136000567/image_5688hanrmt7e92nbfglgr9sn3g/-FJPG/231732-004_BCK_1.jpg</t>
  </si>
  <si>
    <t>https://dd3ka9h4chfr8.cloudfront.net/image/725136000567/image_d560hipfil2cndpacfb52s6o43/-FJPG/231732-004_DET_1.jpg</t>
  </si>
  <si>
    <t>https://dd3ka9h4chfr8.cloudfront.net/image/725136000567/image_3595qopd5h75bcqe87h1l34573/-FJPG/231732-004_DET_3.jpg</t>
  </si>
  <si>
    <t>https://dd3ka9h4chfr8.cloudfront.net/image/725136000567/image_umdjtm3ii51vt81o4ierdogu3g/-FJPG/231732-004_DET_4.jpg</t>
  </si>
  <si>
    <t>https://dd3ka9h4chfr8.cloudfront.net/image/725136000567/image_o16r64psbd3m525jmkef625c3v/-FJPG/231732-004_DET_5.jpg</t>
  </si>
  <si>
    <t>https://dd3ka9h4chfr8.cloudfront.net/image/725136000567/image_a5mckrb9nt7cdb9jl08rcm0d16/-FJPG/231732-004_DET_6.jpg</t>
  </si>
  <si>
    <t>https://dd3ka9h4chfr8.cloudfront.net/image/725136000567/image_88nm74nopp0sp1iejkrnitmn6d/-FJPG/231732-004_DET_7.jpg</t>
  </si>
  <si>
    <t>https://dd3ka9h4chfr8.cloudfront.net/image/725136000567/image_1gmo4hd9op755eq40hhitva956/-FJPG/231732-004_DET_8.jpg</t>
  </si>
  <si>
    <t>83.15"</t>
  </si>
  <si>
    <t>77.17"</t>
  </si>
  <si>
    <t>231732-005</t>
  </si>
  <si>
    <t>Leo Bed - Smoked Black</t>
  </si>
  <si>
    <t>Smoked Black</t>
  </si>
  <si>
    <t>https://dd3ka9h4chfr8.cloudfront.net/image/725136000567/image_t4t9u594dh4e1bkplv8rfbdr03/-S150x150-FJPG/231732-005_PRM_1.jpg</t>
  </si>
  <si>
    <t>https://dd3ka9h4chfr8.cloudfront.net/image/725136000567/image_tfp5ucvcf95fhero2psrbb9k1s/-FJPG/231732-005_FRT_1.jpg</t>
  </si>
  <si>
    <t>https://dd3ka9h4chfr8.cloudfront.net/image/725136000567/image_t4t9u594dh4e1bkplv8rfbdr03/-FJPG/231732-005_PRM_1.jpg</t>
  </si>
  <si>
    <t>https://dd3ka9h4chfr8.cloudfront.net/image/725136000567/image_v2mlavv2a51unfm85d2lnkt137/-FJPG/231732-005_SID_1.jpg</t>
  </si>
  <si>
    <t>https://dd3ka9h4chfr8.cloudfront.net/image/725136000567/image_5rthtet4h55it0ct396k3fbo0t/-FJPG/231732-005_DET_2.jpg</t>
  </si>
  <si>
    <t>https://dd3ka9h4chfr8.cloudfront.net/image/725136000567/image_45t29d73u953nej836guvv923i/-FJPG/231732-005_BCK_1.jpg</t>
  </si>
  <si>
    <t>https://dd3ka9h4chfr8.cloudfront.net/image/725136000567/image_doi1drpr4p0qd6ueltmdm11914/-FJPG/231732-005_DET_1.jpg</t>
  </si>
  <si>
    <t>https://dd3ka9h4chfr8.cloudfront.net/image/725136000567/image_65632lpn453ph45jpn5bgmaf3i/-FJPG/231732-005_DET_3.jpg</t>
  </si>
  <si>
    <t>https://dd3ka9h4chfr8.cloudfront.net/image/725136000567/image_toh28f04n129t4s9nlt6ieb97m/-FJPG/231732-005_DET_4.jpg</t>
  </si>
  <si>
    <t>https://dd3ka9h4chfr8.cloudfront.net/image/725136000567/image_fomrpcaibl1sv2mf9bcbuefq3u/-FJPG/231732-005_DET_5.jpg</t>
  </si>
  <si>
    <t>https://dd3ka9h4chfr8.cloudfront.net/image/725136000567/image_sv02mi5ivl66vfblb0c7m9ei74/-FJPG/231732-005_DET_6.jpg</t>
  </si>
  <si>
    <t>https://dd3ka9h4chfr8.cloudfront.net/image/725136000567/image_gm3v1g00ll4ed2tajhe032d71p/-FJPG/231732-005_DET_7.jpg</t>
  </si>
  <si>
    <t>231732-006</t>
  </si>
  <si>
    <t>https://dd3ka9h4chfr8.cloudfront.net/image/725136000567/image_99h5mi1po9465dojo7s2i41c6e/-S150x150-FJPG/231732-006_PRM_1.jpg</t>
  </si>
  <si>
    <t>https://dd3ka9h4chfr8.cloudfront.net/image/725136000567/image_2f7g219dmd01fbd4va2k4jfd27/-FJPG/231732-006_FRT_1.jpg</t>
  </si>
  <si>
    <t>https://dd3ka9h4chfr8.cloudfront.net/image/725136000567/image_99h5mi1po9465dojo7s2i41c6e/-FJPG/231732-006_PRM_1.jpg</t>
  </si>
  <si>
    <t>https://dd3ka9h4chfr8.cloudfront.net/image/725136000567/image_unlv3dn1rd3ot05r88q57ikm2o/-FJPG/231732-006_SID_1.jpg</t>
  </si>
  <si>
    <t>https://dd3ka9h4chfr8.cloudfront.net/image/725136000567/image_alu5qa9nb164b49dhdmm2fkg74/-FJPG/231732-006_DET_2.jpg</t>
  </si>
  <si>
    <t>https://dd3ka9h4chfr8.cloudfront.net/image/725136000567/image_n986fnvs8t5ld1t8kgs0ruln2b/-FJPG/231732-006_BCK_1.jpg</t>
  </si>
  <si>
    <t>https://dd3ka9h4chfr8.cloudfront.net/image/725136000567/image_g0hq95idap4pt50juqqu4pvs2j/-FJPG/231732-006_DET_1.jpg</t>
  </si>
  <si>
    <t>https://dd3ka9h4chfr8.cloudfront.net/image/725136000567/image_49pi8ttclp25h6pnjvm0ui390f/-FJPG/231732-006_DET_3.jpg</t>
  </si>
  <si>
    <t>https://dd3ka9h4chfr8.cloudfront.net/image/725136000567/image_9ha1pac2t16kb8ppjcpphepm4p/-FJPG/231732-006_DET_4.jpg</t>
  </si>
  <si>
    <t>https://dd3ka9h4chfr8.cloudfront.net/image/725136000567/image_c4t6rmr7k54s50ctc78g0b830o/-FJPG/231732-006_DET_5.jpg</t>
  </si>
  <si>
    <t>https://dd3ka9h4chfr8.cloudfront.net/image/725136000567/image_b6rsf785110c1a5pmkje0bvh2j/-FJPG/231732-006_DET_6.jpg</t>
  </si>
  <si>
    <t>https://dd3ka9h4chfr8.cloudfront.net/image/725136000567/image_54286k1gil5lp455sampvnqj1p/-FJPG/231732-006_DET_7.jpg</t>
  </si>
  <si>
    <t>231732-007</t>
  </si>
  <si>
    <t>Leo Bed - Rustic Light Natural Oak</t>
  </si>
  <si>
    <t>Rustic Light Natural Oak</t>
  </si>
  <si>
    <t>Rustic Light Natural Oak Veneer</t>
  </si>
  <si>
    <t>Designed by Thomas Bina and Ronald Sasson, a design partnership blending both modern minimalist and Brazilian influences. Crafted from a light, natural oak, this clean-lined bed features vertical reed detailing on the tall headboard and beautiful horizontal graining on the footboard for extra drama.</t>
  </si>
  <si>
    <t>https://dd3ka9h4chfr8.cloudfront.net/image/725136000567/image_1nnlmink2t6pt58ukk4hvidt12/-S150x150-FJPG/231732-007_PRM_1.jpg</t>
  </si>
  <si>
    <t>https://dd3ka9h4chfr8.cloudfront.net/image/725136000567/image_up8d70prh10j363o127aoftv1l/-FJPG/231732-007_FRT_1.jpg</t>
  </si>
  <si>
    <t>https://dd3ka9h4chfr8.cloudfront.net/image/725136000567/image_1nnlmink2t6pt58ukk4hvidt12/-FJPG/231732-007_PRM_1.jpg</t>
  </si>
  <si>
    <t>https://dd3ka9h4chfr8.cloudfront.net/image/725136000567/image_v434hkiuc15bt447qqac362n4l/-FJPG/231732-007_SID_1.jpg</t>
  </si>
  <si>
    <t>https://dd3ka9h4chfr8.cloudfront.net/image/725136000567/image_9onavkakhd5pn8d93t3mmreb62/-FJPG/231732-007_DET_2.jpg</t>
  </si>
  <si>
    <t>https://dd3ka9h4chfr8.cloudfront.net/image/725136000567/image_m5jopevukl6qrcpulk763dnl62/-FJPG/231732-007_BCK_1.jpg</t>
  </si>
  <si>
    <t>https://dd3ka9h4chfr8.cloudfront.net/image/725136000567/image_k858d29i1t3mp9ijser5v5l655/-FJPG/231732-007_DET_1.jpg</t>
  </si>
  <si>
    <t>https://dd3ka9h4chfr8.cloudfront.net/image/725136000567/image_nle5d5f92h1772l0ag3725k55n/-FJPG/231732-007_DET_3.jpg</t>
  </si>
  <si>
    <t>https://dd3ka9h4chfr8.cloudfront.net/image/725136000567/image_erhh5sbsml3u7c35h4d9n74s0n/-FJPG/231732-007_DET_4.jpg</t>
  </si>
  <si>
    <t>https://dd3ka9h4chfr8.cloudfront.net/image/725136000567/image_8n8k35n9950bt0ob9nnb8htr5c/-FJPG/231732-007_DET_5.jpg</t>
  </si>
  <si>
    <t>https://dd3ka9h4chfr8.cloudfront.net/image/725136000567/image_vnc5c1apkt5hjeljgs51tcff1h/-FJPG/231732-007_DET_6.jpg</t>
  </si>
  <si>
    <t>https://dd3ka9h4chfr8.cloudfront.net/image/725136000567/image_m6824e5ko140rde55dd9v4jf49/-FJPG/231732-007_DET_7.jpg</t>
  </si>
  <si>
    <t>Siderails + Center Bar + Support  Legs + Hw Pack</t>
  </si>
  <si>
    <t>231732-008</t>
  </si>
  <si>
    <t>https://dd3ka9h4chfr8.cloudfront.net/image/725136000567/image_9dp4ihv04l7r71596061sb186q/-S150x150-FJPG/231732-008_PRM_1.jpg</t>
  </si>
  <si>
    <t>https://dd3ka9h4chfr8.cloudfront.net/image/725136000567/image_9pr546ebst349ar0niv83ve309/-FJPG/231732-008_FRT_1.jpg</t>
  </si>
  <si>
    <t>https://dd3ka9h4chfr8.cloudfront.net/image/725136000567/image_9dp4ihv04l7r71596061sb186q/-FJPG/231732-008_PRM_1.jpg</t>
  </si>
  <si>
    <t>https://dd3ka9h4chfr8.cloudfront.net/image/725136000567/image_j3gg5855lh4c75iifs2mqsug0g/-FJPG/231732-008_SID_1.jpg</t>
  </si>
  <si>
    <t>https://dd3ka9h4chfr8.cloudfront.net/image/725136000567/image_ilfifn5brl23jafb5qe8kgh23d/-FJPG/231732-008_DET_2.jpg</t>
  </si>
  <si>
    <t>https://dd3ka9h4chfr8.cloudfront.net/image/725136000567/image_tctbn1i1rp4e77pq1ns5im0r6p/-FJPG/231732-008_BCK_1.jpg</t>
  </si>
  <si>
    <t>https://dd3ka9h4chfr8.cloudfront.net/image/725136000567/image_89bvi4pt095sbegab2r2v4ve13/-FJPG/231732-008_DET_1.jpg</t>
  </si>
  <si>
    <t>https://dd3ka9h4chfr8.cloudfront.net/image/725136000567/image_5l79jjtged3ftbph6u8o0nbf02/-FJPG/231732-008_DET_3.jpg</t>
  </si>
  <si>
    <t>https://dd3ka9h4chfr8.cloudfront.net/image/725136000567/image_fl00sst7093rle86nttol7re3d/-FJPG/231732-008_DET_4.jpg</t>
  </si>
  <si>
    <t>https://dd3ka9h4chfr8.cloudfront.net/image/725136000567/image_irst87pn9132n51656rmer0l0r/-FJPG/231732-008_DET_5.jpg</t>
  </si>
  <si>
    <t>https://dd3ka9h4chfr8.cloudfront.net/image/725136000567/image_ln20748tk930d37vfrcr8brd51/-FJPG/231732-008_DET_6.jpg</t>
  </si>
  <si>
    <t>https://dd3ka9h4chfr8.cloudfront.net/image/725136000567/image_oarud39jsl449ae361gi8qsa4n/-FJPG/231732-008_DET_7.jpg</t>
  </si>
  <si>
    <t>231734-002</t>
  </si>
  <si>
    <t>Leo Nightstand - Rustic Grey Veneer</t>
  </si>
  <si>
    <t>Designed by Thomas Bina and Ronald Sasson, a design partnership blending both modern minimalist and Brazilian influences. Crafted from solid oak, this clean-lined nightstand features vertical reed detailing on the drawer fronts with wooden pull detailing on the outer edges. Drawers are finished with soft close undermount drawer glides.</t>
  </si>
  <si>
    <t>https://dd3ka9h4chfr8.cloudfront.net/image/725136000567/image_6n0rlm63s50697jf87gcicm640/-S150x150-FJPG/231734-002_PRM_1.jpg</t>
  </si>
  <si>
    <t>https://dd3ka9h4chfr8.cloudfront.net/image/725136000567/image_ihi538mor16ot3skjla9vn3u2n/-FJPG/231734-002_FRT_1.jpg</t>
  </si>
  <si>
    <t>https://dd3ka9h4chfr8.cloudfront.net/image/725136000567/image_6n0rlm63s50697jf87gcicm640/-FJPG/231734-002_PRM_1.jpg</t>
  </si>
  <si>
    <t>https://dd3ka9h4chfr8.cloudfront.net/image/725136000567/image_op5lan14g15ihdhe9k48dbgd46/-FJPG/231734-002_SID_1.jpg</t>
  </si>
  <si>
    <t>https://dd3ka9h4chfr8.cloudfront.net/image/725136000567/image_7199j1da514hj1q9iac4f0kj7q/-FJPG/231734-002_DET_2.jpg</t>
  </si>
  <si>
    <t>https://dd3ka9h4chfr8.cloudfront.net/image/725136000567/image_22l29scjah34n6fbbeh9cd1g77/-FJPG/231734-002_BCK_1.jpg</t>
  </si>
  <si>
    <t>https://dd3ka9h4chfr8.cloudfront.net/image/725136000567/image_bl4ug6nrrd37577bv8mthm6348/-FJPG/231734-002_DET_1.jpg</t>
  </si>
  <si>
    <t>https://dd3ka9h4chfr8.cloudfront.net/image/725136000567/image_jvsa0rhlvt0dp0kss15nnbej1r/-FJPG/231734-002_DET_3.jpg</t>
  </si>
  <si>
    <t>https://dd3ka9h4chfr8.cloudfront.net/image/725136000567/image_50nr2e7k6d2pj2e89pkqnsla4g/-FJPG/231734-002_OPN_1.jpg</t>
  </si>
  <si>
    <t>https://dd3ka9h4chfr8.cloudfront.net/image/725136000567/image_md0j8e7ioh7qv7vodccb8k8135/-FJPG/231734-002_DET_4.jpg</t>
  </si>
  <si>
    <t>https://dd3ka9h4chfr8.cloudfront.net/image/725136000567/image_hc3mj1kn5d4b74n3cqppnpvc1b/-FJPG/231734-002_DET_5.jpg</t>
  </si>
  <si>
    <t>https://dd3ka9h4chfr8.cloudfront.net/image/725136000567/image_usca1qb0tl22ndghvl7a5euq1g/-FJPG/231734-002_DET_6.jpg</t>
  </si>
  <si>
    <t>https://dd3ka9h4chfr8.cloudfront.net/image/725136000567/image_ojgke10o210cnav9jgab0prv7h/-FJPG/231734-002_DET_7.jpg</t>
  </si>
  <si>
    <t>https://dd3ka9h4chfr8.cloudfront.net/image/725136000567/image_uqh5acjocp5dp4mta33aktr64s/-FJPG/231734-002_ESS.tif</t>
  </si>
  <si>
    <t>3.86"</t>
  </si>
  <si>
    <t>231734-003</t>
  </si>
  <si>
    <t>Leo Nightstand - Smoked Black Veneer</t>
  </si>
  <si>
    <t>https://dd3ka9h4chfr8.cloudfront.net/image/725136000567/image_15j4htdakt24h7nfg59u2bc341/-S150x150-FJPG/231734-003_PRM_1.jpg</t>
  </si>
  <si>
    <t>https://dd3ka9h4chfr8.cloudfront.net/image/725136000567/image_u44klknei94ir13kk5voqcd65d/-FJPG/231734-003_FRT_1.jpg</t>
  </si>
  <si>
    <t>https://dd3ka9h4chfr8.cloudfront.net/image/725136000567/image_15j4htdakt24h7nfg59u2bc341/-FJPG/231734-003_PRM_1.jpg</t>
  </si>
  <si>
    <t>https://dd3ka9h4chfr8.cloudfront.net/image/725136000567/image_ej3msur7gh0f57qrcko419nf7q/-FJPG/231734-003_SID_1.jpg</t>
  </si>
  <si>
    <t>https://dd3ka9h4chfr8.cloudfront.net/image/725136000567/image_4lusjql55t1of7lu1bg578hh6h/-FJPG/231734-003_ESS.tif</t>
  </si>
  <si>
    <t>https://dd3ka9h4chfr8.cloudfront.net/image/725136000567/image_86vmrqvpdh7o5as9ag3ah1a701/-FJPG/231734-003_DET_2.jpg</t>
  </si>
  <si>
    <t>https://dd3ka9h4chfr8.cloudfront.net/image/725136000567/image_7uemp9ph2d6ip316817f0fbl78/-FJPG/231734-003_BCK_1.jpg</t>
  </si>
  <si>
    <t>https://dd3ka9h4chfr8.cloudfront.net/image/725136000567/image_2rdkj815jd1cl5ri010riebh4g/-FJPG/231734-003_DET_1.jpg</t>
  </si>
  <si>
    <t>https://dd3ka9h4chfr8.cloudfront.net/image/725136000567/image_8tanch0ukp66fd1ek8avm2nb49/-FJPG/231734-003_DET_3.jpg</t>
  </si>
  <si>
    <t>https://dd3ka9h4chfr8.cloudfront.net/image/725136000567/image_c873h6rgk56apatrjup49tv55s/-FJPG/231734-003_OPN_1.jpg</t>
  </si>
  <si>
    <t>https://dd3ka9h4chfr8.cloudfront.net/image/725136000567/image_mfaq8crgup7o7eonnusunmii37/-FJPG/231734-003_TOP_1.jpg</t>
  </si>
  <si>
    <t>https://dd3ka9h4chfr8.cloudfront.net/image/725136000567/image_8a7cah5iul01ha18dkp66p8366/-FJPG/231734-003_DET_4.jpg</t>
  </si>
  <si>
    <t>https://dd3ka9h4chfr8.cloudfront.net/image/725136000567/image_llba6hebad22heetn0nvnl823i/-FJPG/231734-003_DET_5.jpg</t>
  </si>
  <si>
    <t>231789-002</t>
  </si>
  <si>
    <t>Leo Console Table - Rustic Grey</t>
  </si>
  <si>
    <t>Grey-finished oak shapes an elongated console table, rich with reeding. Subtly rounded edges reflect Brazilian midcentury inspiration behind this crafted minimalist piece. Designed in partnership with longtime Four Hands collaborator Thomas Bina and designer Ronald Sasson.</t>
  </si>
  <si>
    <t>https://dd3ka9h4chfr8.cloudfront.net/image/725136000567/image_gvcl0i6bdl0nnb8ifpvj8bt948/-S150x150-FJPG/231789-002_PRM_1.jpg</t>
  </si>
  <si>
    <t>https://dd3ka9h4chfr8.cloudfront.net/image/725136000567/image_kvrne3ld8t7d3fp5enjum2492o/-FJPG/231789-002_FRT_1.jpg</t>
  </si>
  <si>
    <t>https://dd3ka9h4chfr8.cloudfront.net/image/725136000567/image_gvcl0i6bdl0nnb8ifpvj8bt948/-FJPG/231789-002_PRM_1.jpg</t>
  </si>
  <si>
    <t>https://dd3ka9h4chfr8.cloudfront.net/image/725136000567/image_5lr00h5j0l75n5ip4oaii6qn5m/-FJPG/231789-002_SID_1.jpg</t>
  </si>
  <si>
    <t>https://dd3ka9h4chfr8.cloudfront.net/image/725136000567/image_r263r04h8l0p34itqfo6albc2v/-FJPG/231789-002_DET_2.jpg</t>
  </si>
  <si>
    <t>https://dd3ka9h4chfr8.cloudfront.net/image/725136000567/image_butfh5jnfl4tff3rhnb0tl5v6j/-FJPG/231789-002_DET_1.jpg</t>
  </si>
  <si>
    <t>https://dd3ka9h4chfr8.cloudfront.net/image/725136000567/image_3l279qcitl7f96vshh5lr70m72/-FJPG/231789-002_DET_3.jpg</t>
  </si>
  <si>
    <t>https://dd3ka9h4chfr8.cloudfront.net/image/725136000567/image_bs8ptg07dt08p2fq240q0tda50/-FJPG/231789-002_DET_4.jpg</t>
  </si>
  <si>
    <t>https://dd3ka9h4chfr8.cloudfront.net/image/725136000567/image_gf5r3nfvld1hb2ec0g18j13d01/-FJPG/231789-002_DET_5.jpg</t>
  </si>
  <si>
    <t>https://dd3ka9h4chfr8.cloudfront.net/image/725136000567/image_rulo6sh3k56dv83e17o52iob2m/-FJPG/231789-002_DET_6.jpg</t>
  </si>
  <si>
    <t>https://dd3ka9h4chfr8.cloudfront.net/image/725136000567/image_7hh37qim8l4bf9pghsvsrepv3s/-FJPG/231789-002_ESS.tif</t>
  </si>
  <si>
    <t>75.59"</t>
  </si>
  <si>
    <t>22.01"</t>
  </si>
  <si>
    <t>231850-002</t>
  </si>
  <si>
    <t>Leo Sideboard - Rustic Grey</t>
  </si>
  <si>
    <t>Made from rustic-finished oak with a plinth-style base, clean angles and linear reeding define this midcentury-spirited sideboard. Fully finished interior for a beautiful look inside and out. Designed in partnership with longtime Four Hands collaborator Thomas Bina and Brazilian designer Ronald Sasson.</t>
  </si>
  <si>
    <t>https://dd3ka9h4chfr8.cloudfront.net/image/725136000567/image_ur8e28ui5l18df4oo6i9ip886u/-S150x150-FJPG/231850-002_PRM_1.jpg</t>
  </si>
  <si>
    <t>https://dd3ka9h4chfr8.cloudfront.net/image/725136000567/image_lfiopmkval7414nfogavgkq60b/-FJPG/231850-002_FRT_1.jpg</t>
  </si>
  <si>
    <t>https://dd3ka9h4chfr8.cloudfront.net/image/725136000567/image_ur8e28ui5l18df4oo6i9ip886u/-FJPG/231850-002_PRM_1.jpg</t>
  </si>
  <si>
    <t>https://dd3ka9h4chfr8.cloudfront.net/image/725136000567/image_jp1q67k3ud00tf2mn5r1i0bs3q/-FJPG/231850-002_SID_1.jpg</t>
  </si>
  <si>
    <t>https://dd3ka9h4chfr8.cloudfront.net/image/725136000567/image_1tsg0june90g3e7bntmj2a6m4j/-FJPG/231850-002_DET_2.jpg</t>
  </si>
  <si>
    <t>https://dd3ka9h4chfr8.cloudfront.net/image/725136000567/image_6aq5a68ifd7p9684bhch35fd4i/-FJPG/231850-002_BCK_1.jpg</t>
  </si>
  <si>
    <t>https://dd3ka9h4chfr8.cloudfront.net/image/725136000567/image_13ve5b41o13u37iu4fio2a142a/-FJPG/231850-002_DET_1.jpg</t>
  </si>
  <si>
    <t>https://dd3ka9h4chfr8.cloudfront.net/image/725136000567/image_0g2g9t2o6l08v5242tptt5tj6g/-FJPG/231850-002_DET_3.jpg</t>
  </si>
  <si>
    <t>https://dd3ka9h4chfr8.cloudfront.net/image/725136000567/image_rat2nsq9dt3051flssd7derc12/-FJPG/231850-002_OPN_1.jpg</t>
  </si>
  <si>
    <t>https://dd3ka9h4chfr8.cloudfront.net/image/725136000567/image_n7dham5hot5u1c76l6l4sooc2k/-FJPG/231850-002_DET_4.jpg</t>
  </si>
  <si>
    <t>https://dd3ka9h4chfr8.cloudfront.net/image/725136000567/image_nijhbubj7t3gh6o93hkc9jst68/-FJPG/231850-002_DET_5.jpg</t>
  </si>
  <si>
    <t>https://dd3ka9h4chfr8.cloudfront.net/image/725136000567/image_m17t6k5sf55477ga4eejgrj839/-FJPG/231850-002_DET_6.jpg</t>
  </si>
  <si>
    <t>https://dd3ka9h4chfr8.cloudfront.net/image/725136000567/image_oaual6vmut55h2mmop583spk0d/-FJPG/231850-002_DET_7.jpg</t>
  </si>
  <si>
    <t>https://dd3ka9h4chfr8.cloudfront.net/image/725136000567/image_j46iga6mgl0lrbl2ksns4u0v30/-FJPG/231850-002_DET_8.jpg</t>
  </si>
  <si>
    <t>https://dd3ka9h4chfr8.cloudfront.net/image/725136000567/image_svcr3q9b3d6dv8dnfrgda7063k/-FJPG/231850-002_ESS.tif</t>
  </si>
  <si>
    <t>39.63"</t>
  </si>
  <si>
    <t>28.03"</t>
  </si>
  <si>
    <t>1.65"</t>
  </si>
  <si>
    <t>231850-003</t>
  </si>
  <si>
    <t>Leo Sideboard - Smoked Black</t>
  </si>
  <si>
    <t>https://dd3ka9h4chfr8.cloudfront.net/image/725136000567/image_o85gbk27s1523bj7honlipco31/-S150x150-FJPG/231850-003_PRM_1.jpg</t>
  </si>
  <si>
    <t>https://dd3ka9h4chfr8.cloudfront.net/image/725136000567/image_mumcmupo0h2i52220ntoh8mf55/-FJPG/231850-003_FRT_1.jpg</t>
  </si>
  <si>
    <t>https://dd3ka9h4chfr8.cloudfront.net/image/725136000567/image_o85gbk27s1523bj7honlipco31/-FJPG/231850-003_PRM_1.jpg</t>
  </si>
  <si>
    <t>https://dd3ka9h4chfr8.cloudfront.net/image/725136000567/image_fpfcekgr3d11dfmedktfibi31j/-FJPG/231850-003_SID_1.jpg</t>
  </si>
  <si>
    <t>https://dd3ka9h4chfr8.cloudfront.net/image/725136000567/image_d1hnce4nul45n54qosnrslqj3f/-FJPG/231850-003_DET_2.jpg</t>
  </si>
  <si>
    <t>https://dd3ka9h4chfr8.cloudfront.net/image/725136000567/image_an3qtf6cv52rpcv4e83pfd2325/-FJPG/231850-003_BCK_1.jpg</t>
  </si>
  <si>
    <t>https://dd3ka9h4chfr8.cloudfront.net/image/725136000567/image_42uhot50u53mp3iaiqgg5ik240/-FJPG/231850-003_DET_1.jpg</t>
  </si>
  <si>
    <t>https://dd3ka9h4chfr8.cloudfront.net/image/725136000567/image_omh6292p8d1a72rpmj6gli441m/-FJPG/231850-003_DET_3.jpg</t>
  </si>
  <si>
    <t>https://dd3ka9h4chfr8.cloudfront.net/image/725136000567/image_vqr8daodc118l943j7j1138h6v/-FJPG/231850-003_OPN_1.jpg</t>
  </si>
  <si>
    <t>https://dd3ka9h4chfr8.cloudfront.net/image/725136000567/image_o934qiljoh6khb05afjlh83079/-FJPG/231850-003_TOP_1.jpg</t>
  </si>
  <si>
    <t>https://dd3ka9h4chfr8.cloudfront.net/image/725136000567/image_clelqag2q17jvdkquvtjsld36p/-FJPG/231850-003_DET_4.jpg</t>
  </si>
  <si>
    <t>https://dd3ka9h4chfr8.cloudfront.net/image/725136000567/image_id138mdjjt28d8ugnphmr4ot5k/-FJPG/231850-003_DET_5.jpg</t>
  </si>
  <si>
    <t>https://dd3ka9h4chfr8.cloudfront.net/image/725136000567/image_01lj3esjgl1jrdtc6bitmrrr61/-FJPG/231850-003_DET_6.jpg</t>
  </si>
  <si>
    <t>231890-001</t>
  </si>
  <si>
    <t>Toulouse Executive Desk - Toasted Oak Veneer</t>
  </si>
  <si>
    <t>Toasted Oak Veneer</t>
  </si>
  <si>
    <t>Influenced by vintage European lines, this inspired desk is elegant and full of presence. Framed panels, rounded corners and finished with aged brass drawer pulls and tapered spindle legs for warm character. Made from solid oak and veneer in toasted oak for a classic look.</t>
  </si>
  <si>
    <t>https://dd3ka9h4chfr8.cloudfront.net/image/725136000567/image_uc088e89fd75nan7dkq7235v2t/-S150x150-FJPG/231890-001_PRM_1.jpg</t>
  </si>
  <si>
    <t>https://dd3ka9h4chfr8.cloudfront.net/image/725136000567/image_vq3e298qv16vl7bhd0cldtds1l/-FJPG/231890-001_FRT_1.jpg</t>
  </si>
  <si>
    <t>https://dd3ka9h4chfr8.cloudfront.net/image/725136000567/image_uc088e89fd75nan7dkq7235v2t/-FJPG/231890-001_PRM_1.jpg</t>
  </si>
  <si>
    <t>https://dd3ka9h4chfr8.cloudfront.net/image/725136000567/image_pemsch53hl6ql7619jv4mekf2i/-FJPG/231890-001_SID_1.jpg</t>
  </si>
  <si>
    <t>https://dd3ka9h4chfr8.cloudfront.net/image/725136000567/image_ask4hradjh5fbdmantagi6ud5o/-FJPG/231890-001_ESS_1.jpg</t>
  </si>
  <si>
    <t>https://dd3ka9h4chfr8.cloudfront.net/image/725136000567/image_ra7b3jib491af6r8pgnnsh840e/-FJPG/231890-001_DET_2.jpg</t>
  </si>
  <si>
    <t>https://dd3ka9h4chfr8.cloudfront.net/image/725136000567/image_q0n9qkls6t78v4qprbt11p2v69/-FJPG/231890-001_BCK_1.jpg</t>
  </si>
  <si>
    <t>https://dd3ka9h4chfr8.cloudfront.net/image/725136000567/image_g8s1iin9fh1954jh13rp9mv747/-FJPG/231890-001_DET_1.jpg</t>
  </si>
  <si>
    <t>https://dd3ka9h4chfr8.cloudfront.net/image/725136000567/image_d7g41ckpo90338ljon72rkgo47/-FJPG/231890-001_DET_3.jpg</t>
  </si>
  <si>
    <t>https://dd3ka9h4chfr8.cloudfront.net/image/725136000567/image_u7betalf1905l3h7h7p570lf2n/-FJPG/231890-001_OPN_1.jpg</t>
  </si>
  <si>
    <t>https://dd3ka9h4chfr8.cloudfront.net/image/725136000567/image_38hciisnp16st16fai1e06ns1m/-FJPG/231890-001_DET_4.jpg</t>
  </si>
  <si>
    <t>https://dd3ka9h4chfr8.cloudfront.net/image/725136000567/image_o0ddi8s3nt5olc6g6j7dp7431m/-FJPG/231890-001_DET_5.jpg</t>
  </si>
  <si>
    <t>https://dd3ka9h4chfr8.cloudfront.net/image/725136000567/image_0qrbi5g3l17sn3pgsu7t40dv3h/-FJPG/231890-001_DET_6.jpg</t>
  </si>
  <si>
    <t>https://dd3ka9h4chfr8.cloudfront.net/image/725136000567/image_chraff1nr91br1rnnmcoukok2g/-FJPG/231890-001_DET_7.jpg</t>
  </si>
  <si>
    <t>https://dd3ka9h4chfr8.cloudfront.net/image/725136000567/image_kv44gf5c094o196mvi8kd36p0i/-FJPG/231890-001_OPN_2.jpg</t>
  </si>
  <si>
    <t>https://dd3ka9h4chfr8.cloudfront.net/image/725136000567/image_je2jhdfub16r58lndnmffefa2e/-FJPG/231890-001-BACK.jpg</t>
  </si>
  <si>
    <t>https://dd3ka9h4chfr8.cloudfront.net/image/725136000567/image_rbsnbkfqfh7mv2fo3n9kh6lg3c/-FJPG/231890-001_PRM_2.jpg</t>
  </si>
  <si>
    <t>Oneitem</t>
  </si>
  <si>
    <t>Toulouse</t>
  </si>
  <si>
    <t>68.74"</t>
  </si>
  <si>
    <t>5.81"</t>
  </si>
  <si>
    <t>6.99"</t>
  </si>
  <si>
    <t>231966-001</t>
  </si>
  <si>
    <t>Toulouse Bed - Toasted Oak Veneer</t>
  </si>
  <si>
    <t>https://dd3ka9h4chfr8.cloudfront.net/image/725136000567/image_oulidu20dp1q390rlh621k446m/-S150x150-FJPG/231966-001_PRM_1.jpg</t>
  </si>
  <si>
    <t>https://dd3ka9h4chfr8.cloudfront.net/image/725136000567/image_12abjco6t50l5ahn0e7v362u03/-FJPG/231966-001_FRT_1.jpg</t>
  </si>
  <si>
    <t>https://dd3ka9h4chfr8.cloudfront.net/image/725136000567/image_oulidu20dp1q390rlh621k446m/-FJPG/231966-001_PRM_1.jpg</t>
  </si>
  <si>
    <t>https://dd3ka9h4chfr8.cloudfront.net/image/725136000567/image_f8djf1of5d7btc14lt7t17676c/-FJPG/231966-001_SID_1.jpg</t>
  </si>
  <si>
    <t>https://dd3ka9h4chfr8.cloudfront.net/image/725136000567/image_nd0dmk8fqp7sl7iaoccck3e97q/-FJPG/231966-001_ESS.tif</t>
  </si>
  <si>
    <t>https://dd3ka9h4chfr8.cloudfront.net/image/725136000567/image_nvtfp20p594jl699g9e1q0552r/-FJPG/231966-001_DET_2.jpg</t>
  </si>
  <si>
    <t>https://dd3ka9h4chfr8.cloudfront.net/image/725136000567/image_o4m1k7f7qd32ndufsg01bnib7i/-FJPG/231966-001_BCK_1.jpg</t>
  </si>
  <si>
    <t>https://dd3ka9h4chfr8.cloudfront.net/image/725136000567/image_hde9i2bhi56theb7r80utheg16/-FJPG/231966-001_DET_1.jpg</t>
  </si>
  <si>
    <t>https://dd3ka9h4chfr8.cloudfront.net/image/725136000567/image_adstukdb195upbmo939t5ins6i/-FJPG/231966-001_DET_3.jpg</t>
  </si>
  <si>
    <t>https://dd3ka9h4chfr8.cloudfront.net/image/725136000567/image_3t3lqvh13p64vdffi87jsi3p54/-FJPG/231966-001_DET_4.jpg</t>
  </si>
  <si>
    <t>https://dd3ka9h4chfr8.cloudfront.net/image/725136000567/image_63obsods5956v0s6itkqq1qr2m/-FJPG/231966-001_PRM_2.jpg</t>
  </si>
  <si>
    <t>https://dd3ka9h4chfr8.cloudfront.net/image/725136000567/image_b3kajnjj2d2dn44nv91pi59n4f/-FJPG/231966-001_SID_2.jpg</t>
  </si>
  <si>
    <t>https://dd3ka9h4chfr8.cloudfront.net/image/725136000567/image_l7k0bhkqt95qpdg70m5qk1t32o/-FJPG/231966-001_FRT_2.jpg</t>
  </si>
  <si>
    <t>65.75"</t>
  </si>
  <si>
    <t>47.99"</t>
  </si>
  <si>
    <t>80.98"</t>
  </si>
  <si>
    <t>231966-002</t>
  </si>
  <si>
    <t>https://dd3ka9h4chfr8.cloudfront.net/image/725136000567/image_dftrgssti97mn9e0hm3per7h73/-S150x150-FJPG/231966-002_PRM_1.jpg</t>
  </si>
  <si>
    <t>https://dd3ka9h4chfr8.cloudfront.net/image/725136000567/image_6l2431o1j16j9c7sf5rdsibr0m/-FJPG/231966-002_FRT_1.jpg</t>
  </si>
  <si>
    <t>https://dd3ka9h4chfr8.cloudfront.net/image/725136000567/image_dftrgssti97mn9e0hm3per7h73/-FJPG/231966-002_PRM_1.jpg</t>
  </si>
  <si>
    <t>https://dd3ka9h4chfr8.cloudfront.net/image/725136000567/image_61sva0qd554k32qfioon4f0i5o/-FJPG/231966-002_SID_1.jpg</t>
  </si>
  <si>
    <t>https://dd3ka9h4chfr8.cloudfront.net/image/725136000567/image_g6ll1opd1d6557vihf8hdv2e1f/-FJPG/231966-002_ESS_1.jpg</t>
  </si>
  <si>
    <t>https://dd3ka9h4chfr8.cloudfront.net/image/725136000567/image_3j2kco16nt3tt83054lutfgj16/-FJPG/231966-002_DET_2.jpg</t>
  </si>
  <si>
    <t>https://dd3ka9h4chfr8.cloudfront.net/image/725136000567/image_jg2doid3cd30j657dpcirh603s/-FJPG/231966-002_BCK_1.jpg</t>
  </si>
  <si>
    <t>https://dd3ka9h4chfr8.cloudfront.net/image/725136000567/image_nrj701atm95v5dhre9qp2i267j/-FJPG/231966-002_DET_1.jpg</t>
  </si>
  <si>
    <t>https://dd3ka9h4chfr8.cloudfront.net/image/725136000567/image_v09peonqud5edb3ut9b8d1591s/-FJPG/231966-002_DET_3.jpg</t>
  </si>
  <si>
    <t>https://dd3ka9h4chfr8.cloudfront.net/image/725136000567/image_02fooa1hah02n0vbn88flf4u56/-FJPG/231966-002_DET_4.jpg</t>
  </si>
  <si>
    <t>https://dd3ka9h4chfr8.cloudfront.net/image/725136000567/image_hof5esum8t06t74tinjeiq9a7r/-FJPG/231966-002_DET_5.jpg</t>
  </si>
  <si>
    <t>https://dd3ka9h4chfr8.cloudfront.net/image/725136000567/image_hv4lp7241t64j2c33niq66ij14/-FJPG/231966-002_DET_6.jpg</t>
  </si>
  <si>
    <t>https://dd3ka9h4chfr8.cloudfront.net/image/725136000567/image_00gntpljil4bj81vuvv4ocj37c/-FJPG/231966-002_SID_2.jpg</t>
  </si>
  <si>
    <t>https://dd3ka9h4chfr8.cloudfront.net/image/725136000567/image_1mftspf59d5rb6v2uo05v2br37/-FJPG/231966-002_FRT_2.jpg</t>
  </si>
  <si>
    <t>https://dd3ka9h4chfr8.cloudfront.net/image/725136000567/image_rk1bhu4iu51873cmijhlge2k75/-FJPG/231966-002_PRM_2.jpg</t>
  </si>
  <si>
    <t>https://dd3ka9h4chfr8.cloudfront.net/image/725136000567/image_i7s17pignd42j8lakaddusu74v/-FJPG/231966-002_PRM_3.jpg</t>
  </si>
  <si>
    <t>81.73"</t>
  </si>
  <si>
    <t>231966-004</t>
  </si>
  <si>
    <t>Toulouse Bed - Distressed Black</t>
  </si>
  <si>
    <t>Distressed Black</t>
  </si>
  <si>
    <t>Distressed Black Oak</t>
  </si>
  <si>
    <t>Influenced by vintage European lines, this inspired bed is elegant and full of presence. Framed headboard and footboard have rounded edges finished with tapered spindle legs for warm character. Made from solid oak and veneer in distressed black for a classic look.</t>
  </si>
  <si>
    <t>https://dd3ka9h4chfr8.cloudfront.net/image/725136000567/image_qh3qs0sgop3415dn845ffkma04/-S150x150-FJPG/231966-004_PRM_1.jpg</t>
  </si>
  <si>
    <t>https://dd3ka9h4chfr8.cloudfront.net/image/725136000567/image_oihr1l88mt4rlco3n9085qau5k/-FJPG/231966-004_FRT_1.jpg</t>
  </si>
  <si>
    <t>https://dd3ka9h4chfr8.cloudfront.net/image/725136000567/image_qh3qs0sgop3415dn845ffkma04/-FJPG/231966-004_PRM_1.jpg</t>
  </si>
  <si>
    <t>https://dd3ka9h4chfr8.cloudfront.net/image/725136000567/image_frfsc9kimt1t5ae5ern5la9n1t/-FJPG/231966-004_SID_1.jpg</t>
  </si>
  <si>
    <t>https://dd3ka9h4chfr8.cloudfront.net/image/725136000567/image_1qoe4p29nt1tl74srinvph826k/-FJPG/231966-004_ESS.tif</t>
  </si>
  <si>
    <t>https://dd3ka9h4chfr8.cloudfront.net/image/725136000567/image_ul4busedcp0nt6p0k6s89dfc3f/-FJPG/231966-004_DET_2.jpg</t>
  </si>
  <si>
    <t>https://dd3ka9h4chfr8.cloudfront.net/image/725136000567/image_p1pi4stol95n9a2bt81sfv7j43/-FJPG/231966-004_BCK_1.jpg</t>
  </si>
  <si>
    <t>https://dd3ka9h4chfr8.cloudfront.net/image/725136000567/image_4nm6ue5vr916re74re5peir945/-FJPG/231966-004_DET_1.jpg</t>
  </si>
  <si>
    <t>https://dd3ka9h4chfr8.cloudfront.net/image/725136000567/image_a63iulg88t3j38q9ue9ocl9l1v/-FJPG/231966-004_DET_3.jpg</t>
  </si>
  <si>
    <t>https://dd3ka9h4chfr8.cloudfront.net/image/725136000567/image_bebk91r8r554v2onrno1t4p17j/-FJPG/231966-004_DET_4.jpg</t>
  </si>
  <si>
    <t>https://dd3ka9h4chfr8.cloudfront.net/image/725136000567/image_3kcpvv64s57un90k3kslon2i6a/-FJPG/231966-004_DET_5.jpg</t>
  </si>
  <si>
    <t>https://dd3ka9h4chfr8.cloudfront.net/image/725136000567/image_sk3dmhl18d1v598mv1426dd850/-FJPG/231966-004_DET_6.jpg</t>
  </si>
  <si>
    <t>231966-005</t>
  </si>
  <si>
    <t>https://dd3ka9h4chfr8.cloudfront.net/image/725136000567/image_4qc6pomsap0hp2qr6v3rekin3j/-S150x150-FJPG/231966-005_PRM_1.jpg</t>
  </si>
  <si>
    <t>https://dd3ka9h4chfr8.cloudfront.net/image/725136000567/image_i8s71qfi6t4i97cmg52k8ipg6r/-FJPG/231966-005_FRT_1.jpg</t>
  </si>
  <si>
    <t>https://dd3ka9h4chfr8.cloudfront.net/image/725136000567/image_4qc6pomsap0hp2qr6v3rekin3j/-FJPG/231966-005_PRM_1.jpg</t>
  </si>
  <si>
    <t>https://dd3ka9h4chfr8.cloudfront.net/image/725136000567/image_4pjjvch1b922f9i8bopat1701g/-FJPG/231966-005_SID_1.jpg</t>
  </si>
  <si>
    <t>https://dd3ka9h4chfr8.cloudfront.net/image/725136000567/image_6tghi9crll291fveiro28fra4h/-FJPG/231966-005_ESS_1.jpg</t>
  </si>
  <si>
    <t>https://dd3ka9h4chfr8.cloudfront.net/image/725136000567/image_ntil6o8d3h1m39hocslvjm3b20/-FJPG/231966-005_DET_2.jpg</t>
  </si>
  <si>
    <t>https://dd3ka9h4chfr8.cloudfront.net/image/725136000567/image_agaf6kbtr53690uiv0s3j1pu6t/-FJPG/231966-005_BCK_1.jpg</t>
  </si>
  <si>
    <t>https://dd3ka9h4chfr8.cloudfront.net/image/725136000567/image_rvics69jp53ffd28f9hesl7m4t/-FJPG/231966-005_DET_1.jpg</t>
  </si>
  <si>
    <t>https://dd3ka9h4chfr8.cloudfront.net/image/725136000567/image_bgmdu54le90nb1iocjuagrdq0f/-FJPG/231966-005_DET_3.jpg</t>
  </si>
  <si>
    <t>https://dd3ka9h4chfr8.cloudfront.net/image/725136000567/image_54jfv4fj190cl3foss84cvoq34/-FJPG/231966-005_DET_4.jpg</t>
  </si>
  <si>
    <t>https://dd3ka9h4chfr8.cloudfront.net/image/725136000567/image_s0hiee0d6l0hr2kbigppgjsp4e/-FJPG/231966-005_DET_5.jpg</t>
  </si>
  <si>
    <t>https://dd3ka9h4chfr8.cloudfront.net/image/725136000567/image_f01njelgmd68n7jgecbhl1p907/-FJPG/231966-005_DET_6.jpg</t>
  </si>
  <si>
    <t>232104-001</t>
  </si>
  <si>
    <t>Skye Large Coffee Table - White Marble</t>
  </si>
  <si>
    <t>Weathered Dark Elm</t>
  </si>
  <si>
    <t>Solid Reclaimed Elm</t>
  </si>
  <si>
    <t>Mixed materials make for great drama. A cone-tapered base of dark weathered oak supports a rounded tabletop of white-finished solid marble, with oak banding on the edges for contrast.</t>
  </si>
  <si>
    <t>https://dd3ka9h4chfr8.cloudfront.net/image/725136000567/image_hdcelsej911cff17t8s2rng34t/-S150x150-FJPG/232104-001_PRM_1.jpg</t>
  </si>
  <si>
    <t>https://dd3ka9h4chfr8.cloudfront.net/image/725136000567/image_olvo561qt95ulfiiad27ma8l32/-FJPG/232104-001_FRT_1.jpg</t>
  </si>
  <si>
    <t>https://dd3ka9h4chfr8.cloudfront.net/image/725136000567/image_hdcelsej911cff17t8s2rng34t/-FJPG/232104-001_PRM_1.jpg</t>
  </si>
  <si>
    <t>https://dd3ka9h4chfr8.cloudfront.net/image/725136000567/image_cbjafc3d4h3b32hs5q4m3sap0a/-FJPG/232104-001_SID_1.jpg</t>
  </si>
  <si>
    <t>https://dd3ka9h4chfr8.cloudfront.net/image/725136000567/image_q742b1mjf511df4t6cm6qko930/-FJPG/232104-001_ESS_1.jpg</t>
  </si>
  <si>
    <t>https://dd3ka9h4chfr8.cloudfront.net/image/725136000567/image_plae825csp1t1b0k6j0nasmb7t/-FJPG/232104-001_DET_2.jpg</t>
  </si>
  <si>
    <t>https://dd3ka9h4chfr8.cloudfront.net/image/725136000567/image_dj6usgi0ut5lves8hmgo6g1s4k/-FJPG/232104-001_BCK_1.jpg</t>
  </si>
  <si>
    <t>https://dd3ka9h4chfr8.cloudfront.net/image/725136000567/image_pucd2hr71t2e543n0fiinlhf33/-FJPG/232104-001_DET_1.jpg</t>
  </si>
  <si>
    <t>https://dd3ka9h4chfr8.cloudfront.net/image/725136000567/image_gigtul3gnt16b1ucvopb59bl7v/-FJPG/232104-001_DET_3.jpg</t>
  </si>
  <si>
    <t>https://dd3ka9h4chfr8.cloudfront.net/image/725136000567/image_3hdatlb46d2vv9lg1ov9muct3h/-FJPG/232104-001_DET_4.jpg</t>
  </si>
  <si>
    <t>https://dd3ka9h4chfr8.cloudfront.net/image/725136000567/image_fnrelhv5cl1orc0bli5dl30264/-FJPG/232104-001_DET_5.jpg</t>
  </si>
  <si>
    <t>https://dd3ka9h4chfr8.cloudfront.net/image/725136000567/image_tfk2oo7qop0ddeurj404vcqe6f/-FJPG/232104-001_DET_6.jpg</t>
  </si>
  <si>
    <t>13.03"</t>
  </si>
  <si>
    <t>12.54"</t>
  </si>
  <si>
    <t>232355-001</t>
  </si>
  <si>
    <t>Reza Wide Bookcase - Toasted Acacia</t>
  </si>
  <si>
    <t>Midcentury styling with a Shaker spirit. Finished in a smoked honey, solid parawood forms a storage-driven bookcase, framed out by solid acacia. Ample open shelving plus lower interior storage provides a place for just about everything.</t>
  </si>
  <si>
    <t>https://dd3ka9h4chfr8.cloudfront.net/image/725136000567/image_ipoo3h98917onfvs04hmol8109/-S150x150-FJPG/232355-001_PRM_1.jpg</t>
  </si>
  <si>
    <t>https://dd3ka9h4chfr8.cloudfront.net/image/725136000567/image_73muklerih7cv35pc2sgui0a06/-FJPG/232355-001_FRT_1.jpg</t>
  </si>
  <si>
    <t>https://dd3ka9h4chfr8.cloudfront.net/image/725136000567/image_ipoo3h98917onfvs04hmol8109/-FJPG/232355-001_PRM_1.jpg</t>
  </si>
  <si>
    <t>https://dd3ka9h4chfr8.cloudfront.net/image/725136000567/image_1oql4j06p92jbc1jt22g9fu37l/-FJPG/232355-001_SID_1.jpg</t>
  </si>
  <si>
    <t>https://dd3ka9h4chfr8.cloudfront.net/image/725136000567/image_2thlm5qlil4t7aac31hfptda7s/-FJPG/232355-001_DET_2.jpg</t>
  </si>
  <si>
    <t>https://dd3ka9h4chfr8.cloudfront.net/image/725136000567/image_31tcumopsh2k1cqfaipoetgd6r/-FJPG/232355-001_BCK_1.jpg</t>
  </si>
  <si>
    <t>https://dd3ka9h4chfr8.cloudfront.net/image/725136000567/image_ss7h8hhl914kbe59upa7sfn853/-FJPG/232355-001_DET_1.jpg</t>
  </si>
  <si>
    <t>https://dd3ka9h4chfr8.cloudfront.net/image/725136000567/image_69j7d3833l1673u6upp36p0n36/-FJPG/232355-001_DET_3.jpg</t>
  </si>
  <si>
    <t>https://dd3ka9h4chfr8.cloudfront.net/image/725136000567/image_rr49udakap5jlapvt8l1l4ki0h/-FJPG/232355-001_OPN_1.jpg</t>
  </si>
  <si>
    <t>https://dd3ka9h4chfr8.cloudfront.net/image/725136000567/image_rq8k719ech0lr3ja02b2flq36u/-FJPG/232355-001_DET_4.jpg</t>
  </si>
  <si>
    <t>https://dd3ka9h4chfr8.cloudfront.net/image/725136000567/image_2avcg10eup3ch1unv32j85it75/-FJPG/232355-001_DET_5.jpg</t>
  </si>
  <si>
    <t>https://dd3ka9h4chfr8.cloudfront.net/image/725136000567/image_taa4m3pfdl59la7tten0vda57f/-FJPG/232355-001_DET_6.jpg</t>
  </si>
  <si>
    <t>https://dd3ka9h4chfr8.cloudfront.net/image/725136000567/image_cut4p7vnc12e37tqse313ovh29/-FJPG/232355-001_DET_7.jpg</t>
  </si>
  <si>
    <t>https://dd3ka9h4chfr8.cloudfront.net/image/725136000567/image_bpa265gnc971d0kthhie7h7v1h/-FJPG/232355-001_DET_8.jpg</t>
  </si>
  <si>
    <t>Case</t>
  </si>
  <si>
    <t>3 Shelves</t>
  </si>
  <si>
    <t>13.88"</t>
  </si>
  <si>
    <t>13.06"</t>
  </si>
  <si>
    <t>232355-002</t>
  </si>
  <si>
    <t>Reza Wide Bookcase - Worn Black Acacia</t>
  </si>
  <si>
    <t>Midcentury styling with a Shaker spirit. Finished in a worn black, solid parawood forms a storage-driven bookcase, framed out by solid acacia. Ample open shelving plus lower interior storage provides a place for just about everything.</t>
  </si>
  <si>
    <t>https://dd3ka9h4chfr8.cloudfront.net/image/725136000567/image_tbmbvmnhjh4tle9h2f51jp2u20/-S150x150-FJPG/232355-002_PRM_1.jpg</t>
  </si>
  <si>
    <t>https://dd3ka9h4chfr8.cloudfront.net/image/725136000567/image_9p67ur5c1d6pv51u23vj1kvg2q/-FJPG/232355-002_FRT_1.jpg</t>
  </si>
  <si>
    <t>https://dd3ka9h4chfr8.cloudfront.net/image/725136000567/image_tbmbvmnhjh4tle9h2f51jp2u20/-FJPG/232355-002_PRM_1.jpg</t>
  </si>
  <si>
    <t>https://dd3ka9h4chfr8.cloudfront.net/image/725136000567/image_7ig4ffqknl28j11akhnm14tp00/-FJPG/232355-002_SID_1.jpg</t>
  </si>
  <si>
    <t>https://dd3ka9h4chfr8.cloudfront.net/image/725136000567/image_3o6aehjbah1mj0vj9vl7ft8b0g/-FJPG/232355-002_DET_2.jpg</t>
  </si>
  <si>
    <t>https://dd3ka9h4chfr8.cloudfront.net/image/725136000567/image_7221o7dqi149h7fi6al6p56j6h/-FJPG/232355-002_BCK_1.jpg</t>
  </si>
  <si>
    <t>https://dd3ka9h4chfr8.cloudfront.net/image/725136000567/image_5jv14tqel93814t7se3fjeng6j/-FJPG/232355-002_DET_1.jpg</t>
  </si>
  <si>
    <t>https://dd3ka9h4chfr8.cloudfront.net/image/725136000567/image_gc5dplte951cf3javt2ec8ot3f/-FJPG/232355-002_DET_3.jpg</t>
  </si>
  <si>
    <t>https://dd3ka9h4chfr8.cloudfront.net/image/725136000567/image_22hskt20bp52pfc1ganboisl70/-FJPG/232355-002_OPN_1.jpg</t>
  </si>
  <si>
    <t>https://dd3ka9h4chfr8.cloudfront.net/image/725136000567/image_pc989vfe351n70tpk9j438e40j/-FJPG/232355-002_DET_4.jpg</t>
  </si>
  <si>
    <t>https://dd3ka9h4chfr8.cloudfront.net/image/725136000567/image_36d6ds2dmp40ta0tcebv373m5p/-FJPG/232355-002_DET_5.jpg</t>
  </si>
  <si>
    <t>https://dd3ka9h4chfr8.cloudfront.net/image/725136000567/image_m1p7lk745h7av7lhln8o3klm0r/-FJPG/232355-002_DET_6.jpg</t>
  </si>
  <si>
    <t>https://dd3ka9h4chfr8.cloudfront.net/image/725136000567/image_52efgfpogd0kd4t41mno1enn08/-FJPG/232355-002_DET_7.JPG</t>
  </si>
  <si>
    <t>https://dd3ka9h4chfr8.cloudfront.net/image/725136000567/image_5k0547rfot4ib6tmcli5ll006p/-FJPG/232355-002_DET_8.jpg</t>
  </si>
  <si>
    <t>232363-002</t>
  </si>
  <si>
    <t>Posada Media Console - Amber Oak Veneer</t>
  </si>
  <si>
    <t>Amber Oak Veneer</t>
  </si>
  <si>
    <t>A storage-driven console of amber-finished oak features door fronts of top-grain leather in a rich cognac, with inset legs and cord cutouts.</t>
  </si>
  <si>
    <t>https://dd3ka9h4chfr8.cloudfront.net/image/725136000567/image_kipn2uuk6543vcb591876b6376/-S150x150-FJPG/232363-002_PRM_1.jpg</t>
  </si>
  <si>
    <t>https://dd3ka9h4chfr8.cloudfront.net/image/725136000567/image_50ja812r2l7kpe6202qphmlf2b/-FJPG/232363-002_FRT_1.jpg</t>
  </si>
  <si>
    <t>https://dd3ka9h4chfr8.cloudfront.net/image/725136000567/image_kipn2uuk6543vcb591876b6376/-FJPG/232363-002_PRM_1.jpg</t>
  </si>
  <si>
    <t>https://dd3ka9h4chfr8.cloudfront.net/image/725136000567/image_en96tt83pl5al66g9s6ai1fs5h/-FJPG/232363-002_SID_1.jpg</t>
  </si>
  <si>
    <t>https://dd3ka9h4chfr8.cloudfront.net/image/725136000567/image_256rhdigl13nl1kab6rfgm5v41/-FJPG/232363-002_ESS_1.jpg</t>
  </si>
  <si>
    <t>https://dd3ka9h4chfr8.cloudfront.net/image/725136000567/image_6270796r6553187mh1tvs0074f/-FJPG/232363-002_DET_2.jpg</t>
  </si>
  <si>
    <t>https://dd3ka9h4chfr8.cloudfront.net/image/725136000567/image_5ef3hoqv3p1lh3u3lqlohtpk3q/-FJPG/232363-002_BCK_1.jpg</t>
  </si>
  <si>
    <t>https://dd3ka9h4chfr8.cloudfront.net/image/725136000567/image_3f7jb1dn797jj0o9hh2deeck1o/-FJPG/232363-002_DET_1.jpg</t>
  </si>
  <si>
    <t>https://dd3ka9h4chfr8.cloudfront.net/image/725136000567/image_hd8gmt46s94tpb5muj69qnnk34/-FJPG/232363-002_DET_3.jpg</t>
  </si>
  <si>
    <t>https://dd3ka9h4chfr8.cloudfront.net/image/725136000567/image_rq6c9ojrv94rb45oqjp5onnc37/-FJPG/232363-002_OPN_1.jpg</t>
  </si>
  <si>
    <t>https://dd3ka9h4chfr8.cloudfront.net/image/725136000567/image_4vtj4oplrh4ktd0igv31u4oc6u/-FJPG/232363-002_DET_4.jpg</t>
  </si>
  <si>
    <t>https://dd3ka9h4chfr8.cloudfront.net/image/725136000567/image_5nofov22cp7657h8apk6alof7l/-FJPG/232363-002_DET_5.jpg</t>
  </si>
  <si>
    <t>https://dd3ka9h4chfr8.cloudfront.net/image/725136000567/image_uteenri83p52j3vgrft8l2ic24/-FJPG/232363-002_DET_6.jpg</t>
  </si>
  <si>
    <t>https://dd3ka9h4chfr8.cloudfront.net/image/725136000567/image_s2pgrmun6t6upe56uae8pajh1p/-FJPG/232363-002_DET_7.jpg</t>
  </si>
  <si>
    <t>https://dd3ka9h4chfr8.cloudfront.net/image/725136000567/image_mfc2depbqt6lfam146hfvpuv02/-FJPG/232363-002_DET_8.jpg</t>
  </si>
  <si>
    <t>https://dd3ka9h4chfr8.cloudfront.net/image/725136000567/image_6o3d5d81cl0d559lhhbm6btv2b/-FJPG/232363-002_DET_9.jpg</t>
  </si>
  <si>
    <t>Media Console</t>
  </si>
  <si>
    <t>15.91"</t>
  </si>
  <si>
    <t>Posada</t>
  </si>
  <si>
    <t>18.19"</t>
  </si>
  <si>
    <t>12.52"</t>
  </si>
  <si>
    <t>24.88"</t>
  </si>
  <si>
    <t>232364-001</t>
  </si>
  <si>
    <t>Macklin Media Console - Natural Paper Rush</t>
  </si>
  <si>
    <t>Natural Paper Rush</t>
  </si>
  <si>
    <t>Light Mahogany</t>
  </si>
  <si>
    <t>Light Mahogany Veneer</t>
  </si>
  <si>
    <t>Danish midcentury, modernized. Light-finished mahogany forms clean casing and a plinth-style base, with doors of woven paper cord for a high-texture touch.</t>
  </si>
  <si>
    <t>https://dd3ka9h4chfr8.cloudfront.net/image/725136000567/image_sd9utfopt93ff2g4ob1ud0cb5p/-S150x150-FJPG/232364-001_PRM_1.jpg</t>
  </si>
  <si>
    <t>https://dd3ka9h4chfr8.cloudfront.net/image/725136000567/image_95bc1kt69d2jp13h9nbvrpif25/-FJPG/232364-001_FRT_1.jpg</t>
  </si>
  <si>
    <t>https://dd3ka9h4chfr8.cloudfront.net/image/725136000567/image_sd9utfopt93ff2g4ob1ud0cb5p/-FJPG/232364-001_PRM_1.jpg</t>
  </si>
  <si>
    <t>https://dd3ka9h4chfr8.cloudfront.net/image/725136000567/image_g2nn115j1d4mhd8qvatc1v0j16/-FJPG/232364-001_SID_1.jpg</t>
  </si>
  <si>
    <t>https://dd3ka9h4chfr8.cloudfront.net/image/725136000567/image_qs1n0uikkh51rf6ts6vu6q932r/-FJPG/232364-001_ESS_1.jpg</t>
  </si>
  <si>
    <t>https://dd3ka9h4chfr8.cloudfront.net/image/725136000567/image_s0d0hmf90565jcphaounudft3q/-FJPG/232364-001_DET_2.jpg</t>
  </si>
  <si>
    <t>https://dd3ka9h4chfr8.cloudfront.net/image/725136000567/image_hlhobe0d5p37394qb1if0qnd2d/-FJPG/232364-001_BCK_1.jpg</t>
  </si>
  <si>
    <t>https://dd3ka9h4chfr8.cloudfront.net/image/725136000567/image_n6orl2bfsp4n77poe21uf6ae0s/-FJPG/232364-001_DET_1.jpg</t>
  </si>
  <si>
    <t>https://dd3ka9h4chfr8.cloudfront.net/image/725136000567/image_bt8mt4pgv57kd7tjoafeehnh7k/-FJPG/232364-001_DET_3.jpg</t>
  </si>
  <si>
    <t>https://dd3ka9h4chfr8.cloudfront.net/image/725136000567/image_sdbo476o9d6sn06h68eo82ie6j/-FJPG/232364-001_OPN_1.jpg</t>
  </si>
  <si>
    <t>https://dd3ka9h4chfr8.cloudfront.net/image/725136000567/image_9o9vm5tmqd24b11m8ijbtd2j5u/-FJPG/232364-001_DET_4.jpg</t>
  </si>
  <si>
    <t>https://dd3ka9h4chfr8.cloudfront.net/image/725136000567/image_n8joadsb4t47d3nbctbm1sp94c/-FJPG/232364-001_DET_5.jpg</t>
  </si>
  <si>
    <t>19.35"</t>
  </si>
  <si>
    <t>24.13"</t>
  </si>
  <si>
    <t>Macklin</t>
  </si>
  <si>
    <t>19.39"</t>
  </si>
  <si>
    <t>12.63"</t>
  </si>
  <si>
    <t>232365-001</t>
  </si>
  <si>
    <t>Riggs Media Console - Amber Oak</t>
  </si>
  <si>
    <t>Amber Oak</t>
  </si>
  <si>
    <t>Amber Oak Thin Veneer</t>
  </si>
  <si>
    <t>Made from solid oak with a light amber finish, a simply styled console offers ample storage space for media needs, with dual rear cutouts for cord management. Pocket handles recess for a seamless open.</t>
  </si>
  <si>
    <t>https://dd3ka9h4chfr8.cloudfront.net/image/725136000567/image_o6sgsg8pel0sv5hegblu0l2b51/-S150x150-FJPG/232365-001_PRM_1.jpg</t>
  </si>
  <si>
    <t>https://dd3ka9h4chfr8.cloudfront.net/image/725136000567/image_vo5hfoddjh0un70p71aba6dm0v/-FJPG/232365-001_FRT_1.jpg</t>
  </si>
  <si>
    <t>https://dd3ka9h4chfr8.cloudfront.net/image/725136000567/image_o6sgsg8pel0sv5hegblu0l2b51/-FJPG/232365-001_PRM_1.jpg</t>
  </si>
  <si>
    <t>https://dd3ka9h4chfr8.cloudfront.net/image/725136000567/image_h6jmh0cpqd5sdefbbu0bnn2o26/-FJPG/232365-001_SID_1.jpg</t>
  </si>
  <si>
    <t>https://dd3ka9h4chfr8.cloudfront.net/image/725136000567/image_7s2jsrpu0h27h0id35urtnea5i/-FJPG/232365-001_ESS_1.jpg</t>
  </si>
  <si>
    <t>https://dd3ka9h4chfr8.cloudfront.net/image/725136000567/image_a5u2sisvjl3j12frkoe1nnha7b/-FJPG/232365-001_DET_2.jpg</t>
  </si>
  <si>
    <t>https://dd3ka9h4chfr8.cloudfront.net/image/725136000567/image_vdh8s1mu2d56b4bvo74dmndn0h/-FJPG/232365-001_BCK_1.jpg</t>
  </si>
  <si>
    <t>https://dd3ka9h4chfr8.cloudfront.net/image/725136000567/image_ncv1kldk056ed7nbr0m028ah59/-FJPG/232365-001_DET_1.jpg</t>
  </si>
  <si>
    <t>https://dd3ka9h4chfr8.cloudfront.net/image/725136000567/image_51a3rsnbg50s5fk4n1mbu1mq6c/-FJPG/232365-001_DET_3.jpg</t>
  </si>
  <si>
    <t>https://dd3ka9h4chfr8.cloudfront.net/image/725136000567/image_6ic95sv4ud2cv2m1ovp8k7op40/-FJPG/232365-001_OPN_1.jpg</t>
  </si>
  <si>
    <t>https://dd3ka9h4chfr8.cloudfront.net/image/725136000567/image_5kardjhv7t2b5b5s6b22jkel2i/-FJPG/232365-001_DET_4.jpg</t>
  </si>
  <si>
    <t>https://dd3ka9h4chfr8.cloudfront.net/image/725136000567/image_ovne9v0g0l1vb6mi9lm6m8gb6h/-FJPG/232365-001_DET_5.jpg</t>
  </si>
  <si>
    <t>https://dd3ka9h4chfr8.cloudfront.net/image/725136000567/image_3r8kn5ltil4650gbu1f5enai4t/-FJPG/232365-001_DET_6.jpg</t>
  </si>
  <si>
    <t>https://dd3ka9h4chfr8.cloudfront.net/image/725136000567/image_7667rbkvr9441cbodr6pdrj555/-FJPG/232365-001_DET_7.jpg</t>
  </si>
  <si>
    <t>37.76"</t>
  </si>
  <si>
    <t>Riggs</t>
  </si>
  <si>
    <t>18.58"</t>
  </si>
  <si>
    <t>232367-001</t>
  </si>
  <si>
    <t>Tussac Media Console - Matte Brown Neem</t>
  </si>
  <si>
    <t>Matte Brown Neem</t>
  </si>
  <si>
    <t>Solid Neem Wood</t>
  </si>
  <si>
    <t>Made from dark-finished neem native to India, Africa and other semi-tropical regions, chamfer detailing brings a linear, textured look to a storage-driven media console. Dual rear cutouts for cord management.</t>
  </si>
  <si>
    <t>https://dd3ka9h4chfr8.cloudfront.net/image/725136000567/image_rhna4ogec505f3nsbk9i008v2g/-S150x150-FJPG/232367-001_PRM_1.jpg</t>
  </si>
  <si>
    <t>https://dd3ka9h4chfr8.cloudfront.net/image/725136000567/image_rbimldblq50mr1223qcnurcp16/-FJPG/232367-001_FRT_1.jpg</t>
  </si>
  <si>
    <t>https://dd3ka9h4chfr8.cloudfront.net/image/725136000567/image_rhna4ogec505f3nsbk9i008v2g/-FJPG/232367-001_PRM_1.jpg</t>
  </si>
  <si>
    <t>https://dd3ka9h4chfr8.cloudfront.net/image/725136000567/image_lkqv2rd4sl3i13sctpohk10769/-FJPG/232367-001_SID_1.jpg</t>
  </si>
  <si>
    <t>https://dd3ka9h4chfr8.cloudfront.net/image/725136000567/image_tq2bhh7q3d1kn4724vv0p6sa7v/-FJPG/232367-001_ESS_1.jpg</t>
  </si>
  <si>
    <t>https://dd3ka9h4chfr8.cloudfront.net/image/725136000567/image_aldhhflgq51f98m3uk1m2p9e53/-FJPG/232367-001_DET_2.jpg</t>
  </si>
  <si>
    <t>https://dd3ka9h4chfr8.cloudfront.net/image/725136000567/image_7dpga08fv940fb1c4i1svqap23/-FJPG/232367-001_BCK_1.jpg</t>
  </si>
  <si>
    <t>https://dd3ka9h4chfr8.cloudfront.net/image/725136000567/image_qn3qj5j6rt2et0erkebrro9v28/-FJPG/232367-001_DET_1.jpg</t>
  </si>
  <si>
    <t>https://dd3ka9h4chfr8.cloudfront.net/image/725136000567/image_9rg2o16o3p7b7636vmb9c5693s/-FJPG/232367-001_DET_3.jpg</t>
  </si>
  <si>
    <t>https://dd3ka9h4chfr8.cloudfront.net/image/725136000567/image_nkjma2uh617t1blte06558e625/-FJPG/232367-001_OPN_1.jpg</t>
  </si>
  <si>
    <t>https://dd3ka9h4chfr8.cloudfront.net/image/725136000567/image_7lb9bm3obt3dr70k5umff4jm6f/-FJPG/232367-001_DET_4.jpg</t>
  </si>
  <si>
    <t>https://dd3ka9h4chfr8.cloudfront.net/image/725136000567/image_t8lv65ueoh4576nvmcrtjc6r4b/-FJPG/232367-001_DET_5.jpg</t>
  </si>
  <si>
    <t>https://dd3ka9h4chfr8.cloudfront.net/image/725136000567/image_5l2cd82bch2jh01275illrd32t/-FJPG/232367-001_DET_6.jpg</t>
  </si>
  <si>
    <t>https://dd3ka9h4chfr8.cloudfront.net/image/725136000567/image_abnnndhoet7nn48hhjr7kbnr6s/-FJPG/232367-001_DET_7.jpg</t>
  </si>
  <si>
    <t>23.38"</t>
  </si>
  <si>
    <t>Tussac</t>
  </si>
  <si>
    <t>232427-001</t>
  </si>
  <si>
    <t>Halston Bed - Heirloom Black</t>
  </si>
  <si>
    <t>Terra Brown Ash Veneer</t>
  </si>
  <si>
    <t>Bold lines, a wide frame and heavy tufting speak to the Brazilian midcentury inspiration behind a bed of brown ash and black top-grain leather. Sourced from one of the oldest family-owned tanneries in Italy's Bassano del Grappa, heirloom leather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</si>
  <si>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https://dd3ka9h4chfr8.cloudfront.net/image/725136000567/image_6m3c1gghkl2ur3vnmg2bmtuv48/-S150x150-FJPG/232427-001_PRM_1.jpg</t>
  </si>
  <si>
    <t>https://dd3ka9h4chfr8.cloudfront.net/image/725136000567/image_0g0e7vb6bp13jed6n7u28i1s41/-FJPG/232427-001_FRT_1.jpg</t>
  </si>
  <si>
    <t>https://dd3ka9h4chfr8.cloudfront.net/image/725136000567/image_6m3c1gghkl2ur3vnmg2bmtuv48/-FJPG/232427-001_PRM_1.jpg</t>
  </si>
  <si>
    <t>https://dd3ka9h4chfr8.cloudfront.net/image/725136000567/image_feed43llg12j3dahbj31tvln27/-FJPG/232427-001_SID_1.jpg</t>
  </si>
  <si>
    <t>https://dd3ka9h4chfr8.cloudfront.net/image/725136000567/image_27qoiknril6ef8tppfqsl35o56/-FJPG/232427-001_ESS_1.jpg</t>
  </si>
  <si>
    <t>https://dd3ka9h4chfr8.cloudfront.net/image/725136000567/image_d4aurcfr2d53lbn4memt0c0f0g/-FJPG/232427-001_DET_2.jpg</t>
  </si>
  <si>
    <t>https://dd3ka9h4chfr8.cloudfront.net/image/725136000567/image_sli0nb4er96o57r3qfs0f1l81l/-FJPG/232427-001_BCK_1.jpg</t>
  </si>
  <si>
    <t>https://dd3ka9h4chfr8.cloudfront.net/image/725136000567/image_hj91q03och5e1fc6ovvspncv5q/-FJPG/232427-001_DET_1.jpg</t>
  </si>
  <si>
    <t>https://dd3ka9h4chfr8.cloudfront.net/image/725136000567/image_i9nvocj2bt24tdikojhtetbq6g/-FJPG/232427-001_DET_3.jpg</t>
  </si>
  <si>
    <t>https://dd3ka9h4chfr8.cloudfront.net/image/725136000567/image_94m9qgb0ap76d5verk2r1g4j2q/-FJPG/232427-001_DET_4.jpg</t>
  </si>
  <si>
    <t>https://dd3ka9h4chfr8.cloudfront.net/image/725136000567/image_egf0b5eqpt5ij8v5rsfjcqu72o/-FJPG/232427-001_DET_5.jpg</t>
  </si>
  <si>
    <t>https://dd3ka9h4chfr8.cloudfront.net/image/725136000567/image_j629rqer8l3gp7tdcream0je4v/-FJPG/232427-001_DET_6.jpg</t>
  </si>
  <si>
    <t>https://dd3ka9h4chfr8.cloudfront.net/image/725136000567/image_91c2vjp8ml11f1rm0ln7fgiv1p/-FJPG/232427-001_DET_7.jpg</t>
  </si>
  <si>
    <t>https://dd3ka9h4chfr8.cloudfront.net/image/725136000567/image_hqr06f58kl3sh5vthg9f73ov0h/-FJPG/232427-001_DET_8.jpg</t>
  </si>
  <si>
    <t>https://dd3ka9h4chfr8.cloudfront.net/image/725136000567/image_7bgvv6l6oh4q3575s6guuelt5c/-FJPG/232427-001_DET_9.jpg</t>
  </si>
  <si>
    <t>https://dd3ka9h4chfr8.cloudfront.net/image/725136000567/image_bttjljdhs505te1dldjf9b605q/-FJPG/232427-001_SID_2.jpg</t>
  </si>
  <si>
    <t>https://dd3ka9h4chfr8.cloudfront.net/image/725136000567/image_706rj6mvpd5od8sr0gbft9u47p/-FJPG/232427-001_BCK_2.jpg</t>
  </si>
  <si>
    <t>https://dd3ka9h4chfr8.cloudfront.net/image/725136000567/image_kklfeeasfh3mb5jrsok94c8g0r/-FJPG/232427-001_FRT_2.jpg</t>
  </si>
  <si>
    <t>https://dd3ka9h4chfr8.cloudfront.net/image/725136000567/image_4lveme34nl7u1fg5egmciqc32l/-FJPG/232427-001_PRM_2.jpg</t>
  </si>
  <si>
    <t>Bed Assortment</t>
  </si>
  <si>
    <t>7.40"</t>
  </si>
  <si>
    <t>75.51"</t>
  </si>
  <si>
    <t>232427-002</t>
  </si>
  <si>
    <t>Halston Bed - Heirloom Black Old</t>
  </si>
  <si>
    <t>Heirloom Black Old</t>
  </si>
  <si>
    <t>https://dd3ka9h4chfr8.cloudfront.net/image/725136000567/image_1bjp0r5bil4rdcggm9e0c7965p/-S150x150-FJPG/232427-002_PRM_1.jpg</t>
  </si>
  <si>
    <t>https://dd3ka9h4chfr8.cloudfront.net/image/725136000567/image_4kgjt7u01h7kn0r20druemo06r/-FJPG/232427-002_FRT_1.jpg</t>
  </si>
  <si>
    <t>https://dd3ka9h4chfr8.cloudfront.net/image/725136000567/image_1bjp0r5bil4rdcggm9e0c7965p/-FJPG/232427-002_PRM_1.jpg</t>
  </si>
  <si>
    <t>https://dd3ka9h4chfr8.cloudfront.net/image/725136000567/image_4724honbm115l22qvc247e5n5a/-FJPG/232427-002_SID_1.jpg</t>
  </si>
  <si>
    <t>https://dd3ka9h4chfr8.cloudfront.net/image/725136000567/image_fidr8g15197er28pbsaupb5p3d/-FJPG/232427-002_ESS_1.jpg</t>
  </si>
  <si>
    <t>https://dd3ka9h4chfr8.cloudfront.net/image/725136000567/image_mtnl4cnm0d40vb11ajcgv4j14l/-FJPG/232427-002_DET_2.jpg</t>
  </si>
  <si>
    <t>https://dd3ka9h4chfr8.cloudfront.net/image/725136000567/image_armlphe0895udend8pfsg2i71i/-FJPG/232427-002_BCK_1.jpg</t>
  </si>
  <si>
    <t>https://dd3ka9h4chfr8.cloudfront.net/image/725136000567/image_qmo9cmms7h04p0ha5jiiq25d61/-FJPG/232427-002_DET_1.jpg</t>
  </si>
  <si>
    <t>https://dd3ka9h4chfr8.cloudfront.net/image/725136000567/image_t95biok5h95vlbm02vjeo0v820/-FJPG/232427-002_DET_3.jpg</t>
  </si>
  <si>
    <t>https://dd3ka9h4chfr8.cloudfront.net/image/725136000567/image_caeporhv394tdenbl72753c83e/-FJPG/232427-002_DET_4.jpg</t>
  </si>
  <si>
    <t>https://dd3ka9h4chfr8.cloudfront.net/image/725136000567/image_v29fdsrmit5a10s08p40uj6305/-FJPG/232427-002_DET_5.jpg</t>
  </si>
  <si>
    <t>https://dd3ka9h4chfr8.cloudfront.net/image/725136000567/image_uc0jt8e5pd2hdd4ha61gcrpt2r/-FJPG/232427-002_DET_6.jpg</t>
  </si>
  <si>
    <t>https://dd3ka9h4chfr8.cloudfront.net/image/725136000567/image_nt74039j4l0932a13blksq6535/-FJPG/232427-002_DET_7.jpg</t>
  </si>
  <si>
    <t>https://dd3ka9h4chfr8.cloudfront.net/image/725136000567/image_i18pr68elh217eioldig6od079/-FJPG/232427-002_DET_8.jpg</t>
  </si>
  <si>
    <t>https://dd3ka9h4chfr8.cloudfront.net/image/725136000567/image_tc1m54o3a14kva8un5bbfqfo65/-FJPG/232427-002_DET_9.jpg</t>
  </si>
  <si>
    <t>https://dd3ka9h4chfr8.cloudfront.net/image/725136000567/image_1c3305e9ot3qn93ko48b262t7q/-FJPG/232427-002_PRM_2.jpg</t>
  </si>
  <si>
    <t>https://dd3ka9h4chfr8.cloudfront.net/image/725136000567/image_9qdggf4n5903re0vnhohcuj45h/-FJPG/232427-002_FRT_2.jpg</t>
  </si>
  <si>
    <t>https://dd3ka9h4chfr8.cloudfront.net/image/725136000567/image_op6kpknhm96s5bbr9v6q4vf019/-FJPG/232427-002_BCK_2.jpg</t>
  </si>
  <si>
    <t>https://dd3ka9h4chfr8.cloudfront.net/image/725136000567/image_n8v99pb87p7j50tf4elka32p65/-FJPG/232427-002_ESS_2.jpg</t>
  </si>
  <si>
    <t>https://dd3ka9h4chfr8.cloudfront.net/image/725136000567/image_hd0t1m5hhl6grbi8v98mdphm14/-FJPG/232427-002_SID_2.jpg</t>
  </si>
  <si>
    <t>63.86"</t>
  </si>
  <si>
    <t>232427-007</t>
  </si>
  <si>
    <t>Halston Bed - Heirloom Sienna</t>
  </si>
  <si>
    <t>Bold lines, a wide frame and heavy tufting speak to the Brazilian midcentury inspiration behind a bed of brown ash and top-grain leather. Sourced from one of the oldest family-owned tanneries in Italy's Bassano del Grappa, heirloom leather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</si>
  <si>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https://dd3ka9h4chfr8.cloudfront.net/image/725136000567/image_0nrd0bui59537616c9i9904j0p/-S150x150-FJPG/232427-007_PRM_1.jpg</t>
  </si>
  <si>
    <t>https://dd3ka9h4chfr8.cloudfront.net/image/725136000567/image_uepss38s91505bb8mebervhv38/-FJPG/232427-007_FRT_1.jpg</t>
  </si>
  <si>
    <t>https://dd3ka9h4chfr8.cloudfront.net/image/725136000567/image_0nrd0bui59537616c9i9904j0p/-FJPG/232427-007_PRM_1.jpg</t>
  </si>
  <si>
    <t>https://dd3ka9h4chfr8.cloudfront.net/image/725136000567/image_spue5eiheh76d41ehaokqqkj42/-FJPG/232427-007_SID_1.jpg</t>
  </si>
  <si>
    <t>https://dd3ka9h4chfr8.cloudfront.net/image/725136000567/image_0ug91nj7111419g5nkv44mm84c/-FJPG/232427-007_DET_2.jpg</t>
  </si>
  <si>
    <t>https://dd3ka9h4chfr8.cloudfront.net/image/725136000567/image_ovgdld8go16fh6aj5bq1gnpu5m/-FJPG/232427-007_DET_1.jpg</t>
  </si>
  <si>
    <t>https://dd3ka9h4chfr8.cloudfront.net/image/725136000567/image_8oohtugbil1f72f1pgdn82d63p/-FJPG/232427-007_DET_3.jpg</t>
  </si>
  <si>
    <t>https://dd3ka9h4chfr8.cloudfront.net/image/725136000567/image_s8f4bomgot4ed7kriadughnk4n/-FJPG/232427-007_DET_4.jpg</t>
  </si>
  <si>
    <t>https://dd3ka9h4chfr8.cloudfront.net/image/725136000567/image_68gtlukhuh51b198n948o4844u/-FJPG/232427-007_DET_5.jpg</t>
  </si>
  <si>
    <t>https://dd3ka9h4chfr8.cloudfront.net/image/725136000567/image_jkbq0pnknt21l3iuialc5fe24n/-FJPG/232427-007_DET_6.jpg</t>
  </si>
  <si>
    <t>https://dd3ka9h4chfr8.cloudfront.net/image/725136000567/image_nn1f87jr2h5956bop8dg0ka463/-FJPG/232427-007_DET_7.jpg</t>
  </si>
  <si>
    <t>https://dd3ka9h4chfr8.cloudfront.net/image/725136000567/image_l0raj6f00h3ep6qj3o3i30vq00/-FJPG/232427-007_DET_8.jpg</t>
  </si>
  <si>
    <t>Sr/Slat</t>
  </si>
  <si>
    <t>232427-008</t>
  </si>
  <si>
    <t>https://dd3ka9h4chfr8.cloudfront.net/image/725136000567/image_5fe32rv1dh1p362a0ek91pge2i/-S150x150-FJPG/232427-008_PRM_1.jpg</t>
  </si>
  <si>
    <t>https://dd3ka9h4chfr8.cloudfront.net/image/725136000567/image_8vk948g6292535qjbeh8qraf05/-FJPG/232427-008_FRT_1.jpg</t>
  </si>
  <si>
    <t>https://dd3ka9h4chfr8.cloudfront.net/image/725136000567/image_5fe32rv1dh1p362a0ek91pge2i/-FJPG/232427-008_PRM_1.jpg</t>
  </si>
  <si>
    <t>https://dd3ka9h4chfr8.cloudfront.net/image/725136000567/image_rsen32s8053ujda4p4u8ute477/-FJPG/232427-008_SID_1.jpg</t>
  </si>
  <si>
    <t>https://dd3ka9h4chfr8.cloudfront.net/image/725136000567/image_l08sb075h94t972jtkflqb5i6n/-FJPG/232427-008_DET_2.jpg</t>
  </si>
  <si>
    <t>https://dd3ka9h4chfr8.cloudfront.net/image/725136000567/image_hc8280om0547rf2apoagalu07n/-FJPG/232427-008_BCK_1.jpg</t>
  </si>
  <si>
    <t>https://dd3ka9h4chfr8.cloudfront.net/image/725136000567/image_2lr5sfps310pleko5t0985cl56/-FJPG/232427-008_DET_1.jpg</t>
  </si>
  <si>
    <t>https://dd3ka9h4chfr8.cloudfront.net/image/725136000567/image_sv5ht5clph5nj9715m8ko4gm5n/-FJPG/232427-008_DET_3.jpg</t>
  </si>
  <si>
    <t>https://dd3ka9h4chfr8.cloudfront.net/image/725136000567/image_r4o8sdjm2d7ed0kj9oh8909j3h/-FJPG/232427-008_DET_4.jpg</t>
  </si>
  <si>
    <t>https://dd3ka9h4chfr8.cloudfront.net/image/725136000567/image_s6afmsemdt4sj2tc2cu9b8jn3l/-FJPG/232427-008_DET_5.jpg</t>
  </si>
  <si>
    <t>https://dd3ka9h4chfr8.cloudfront.net/image/725136000567/image_0erdm6jufp1pf6bpaph9ic5030/-FJPG/232427-008_DET_6.jpg</t>
  </si>
  <si>
    <t>https://dd3ka9h4chfr8.cloudfront.net/image/725136000567/image_npmckk2deh2q1d2sh7867pk61g/-FJPG/232427-008_DET_7.jpg</t>
  </si>
  <si>
    <t>https://dd3ka9h4chfr8.cloudfront.net/image/725136000567/image_412p4f025143b28tlalligmm13/-FJPG/232427-008_DET_8.jpg</t>
  </si>
  <si>
    <t>232428-001</t>
  </si>
  <si>
    <t>Halston 6 Drawer Dresser - Terra Brown Ash Veneer</t>
  </si>
  <si>
    <t>Made from brown-finished ash with leather-wrapped hardware, wide scale and sculptural details reflect the Brazilian midcentury inspiration behind this spacious six-drawer dresser. This item has been modified to comply with the STURDY Act. See a full list of modified products and data changes in the â€œSTURDY Actâ€ file in the Downloads section below.</t>
  </si>
  <si>
    <t>https://dd3ka9h4chfr8.cloudfront.net/image/725136000567/image_73ul1cm7hp2pr6nhk0mi1om34v/-S150x150-FJPG/232428-001_PRM_1.jpg</t>
  </si>
  <si>
    <t>https://dd3ka9h4chfr8.cloudfront.net/image/725136000567/image_c915f1p7k17epft6k0trqp344d/-FJPG/232428-001_FRT_1.jpg</t>
  </si>
  <si>
    <t>https://dd3ka9h4chfr8.cloudfront.net/image/725136000567/image_73ul1cm7hp2pr6nhk0mi1om34v/-FJPG/232428-001_PRM_1.jpg</t>
  </si>
  <si>
    <t>https://dd3ka9h4chfr8.cloudfront.net/image/725136000567/image_pspki6513d0f7a7lea4ni7b17f/-FJPG/232428-001_SID_1.jpg</t>
  </si>
  <si>
    <t>https://dd3ka9h4chfr8.cloudfront.net/image/725136000567/image_39erbf1f4904veldv42c8oqp7r/-FJPG/232428-001_ESS_1.jpg</t>
  </si>
  <si>
    <t>https://dd3ka9h4chfr8.cloudfront.net/image/725136000567/image_mcke3vn8t95p5f4q0at19dp53a/-FJPG/232428-001_DET_2.jpg</t>
  </si>
  <si>
    <t>https://dd3ka9h4chfr8.cloudfront.net/image/725136000567/image_l43a416td54f3en3b5oosot70o/-FJPG/232428-001_BCK_1.jpg</t>
  </si>
  <si>
    <t>https://dd3ka9h4chfr8.cloudfront.net/image/725136000567/image_bu2384p5n51ep0cq42bvmppp63/-FJPG/232428-001_DET_1.jpg</t>
  </si>
  <si>
    <t>https://dd3ka9h4chfr8.cloudfront.net/image/725136000567/image_uhvl7r67u924rftvj2v34gc40e/-FJPG/232428-001_DET_3.jpg</t>
  </si>
  <si>
    <t>https://dd3ka9h4chfr8.cloudfront.net/image/725136000567/image_emamtjdo5t6453vl6gitf6164d/-FJPG/232428-001_OPN_1.jpg</t>
  </si>
  <si>
    <t>https://dd3ka9h4chfr8.cloudfront.net/image/725136000567/image_p5raf4688h6hh88qr2gu4nds24/-FJPG/232428-001_DET_4.jpg</t>
  </si>
  <si>
    <t>https://dd3ka9h4chfr8.cloudfront.net/image/725136000567/image_ee05o83pul5mnc55o94boi6763/-FJPG/232428-001_DET_5.jpg</t>
  </si>
  <si>
    <t>https://dd3ka9h4chfr8.cloudfront.net/image/725136000567/image_li67nnnb4l38patcndme42sd36/-FJPG/232428-001_DET_6.jpg</t>
  </si>
  <si>
    <t>https://dd3ka9h4chfr8.cloudfront.net/image/725136000567/image_rrdbahg9ih75bf0ki5hd068p26/-FJPG/232428-001_DET_7.jpg</t>
  </si>
  <si>
    <t>https://dd3ka9h4chfr8.cloudfront.net/image/725136000567/image_q17gumrh0h7497gsgrbvjspq4j/-FJPG/232428-001_DET_8.jpg</t>
  </si>
  <si>
    <t>https://dd3ka9h4chfr8.cloudfront.net/image/725136000567/image_rqsqibkett78p11dsgmp9i5q0g/-FJPG/232428-001_DET_9.jpg</t>
  </si>
  <si>
    <t>https://dd3ka9h4chfr8.cloudfront.net/image/725136000567/image_bgi0fv0lml4df46ssg7t7jgl1n/-FJPG/232428-001_DET_10.jpg</t>
  </si>
  <si>
    <t>5.08"</t>
  </si>
  <si>
    <t>28.46"</t>
  </si>
  <si>
    <t>232430-001</t>
  </si>
  <si>
    <t>Halston Nightstand - Terra Brown Ash Veneer</t>
  </si>
  <si>
    <t>Made from brown-finished ash with leather-wrapped hardware, wide scale and sculptural details reflect the Brazilian midcentury inspiration behind this dual-drawer nightstand.</t>
  </si>
  <si>
    <t>https://dd3ka9h4chfr8.cloudfront.net/image/725136000567/image_e20ps7a7o100h9rt2ragnqkj3b/-S150x150-FJPG/232430-001_PRM_1.jpg</t>
  </si>
  <si>
    <t>https://dd3ka9h4chfr8.cloudfront.net/image/725136000567/image_pbqhrfa1rl6ph7bb9m0hash82o/-FJPG/232430-001_FRT_1.jpg</t>
  </si>
  <si>
    <t>https://dd3ka9h4chfr8.cloudfront.net/image/725136000567/image_e20ps7a7o100h9rt2ragnqkj3b/-FJPG/232430-001_PRM_1.jpg</t>
  </si>
  <si>
    <t>https://dd3ka9h4chfr8.cloudfront.net/image/725136000567/image_0r7t3mb41p6t79t9f21uf1u65n/-FJPG/232430-001_SID_1.jpg</t>
  </si>
  <si>
    <t>https://dd3ka9h4chfr8.cloudfront.net/image/725136000567/image_59tho89nod60d4aegppl5s1o0m/-FJPG/232430-001_ESS_1.jpg</t>
  </si>
  <si>
    <t>https://dd3ka9h4chfr8.cloudfront.net/image/725136000567/image_9qlicjso6d0fv77ksnjsn4fq0d/-FJPG/232430-001_DET_2.jpg</t>
  </si>
  <si>
    <t>https://dd3ka9h4chfr8.cloudfront.net/image/725136000567/image_c9mnj3giup4295vhocaalucp6i/-FJPG/232430-001_BCK_1.jpg</t>
  </si>
  <si>
    <t>https://dd3ka9h4chfr8.cloudfront.net/image/725136000567/image_me0u38lpsh5ihapf8nhil4aq6j/-FJPG/232430-001_DET_1.jpg</t>
  </si>
  <si>
    <t>https://dd3ka9h4chfr8.cloudfront.net/image/725136000567/image_k61l2v1n7h6ttam2fn7ivdqu6s/-FJPG/232430-001_DET_3.jpg</t>
  </si>
  <si>
    <t>https://dd3ka9h4chfr8.cloudfront.net/image/725136000567/image_85snd5hvs91fp9ig8qqqt8d82b/-FJPG/232430-001_OPN_1.jpg</t>
  </si>
  <si>
    <t>https://dd3ka9h4chfr8.cloudfront.net/image/725136000567/image_gvdi7bsea15a7d7c5670vf1q44/-FJPG/232430-001_TOP_1.jpg</t>
  </si>
  <si>
    <t>https://dd3ka9h4chfr8.cloudfront.net/image/725136000567/image_ffe35b67dp4cj05fe656uc625j/-FJPG/232430-001_DET_4.jpg</t>
  </si>
  <si>
    <t>https://dd3ka9h4chfr8.cloudfront.net/image/725136000567/image_bv2s9r8l3l44va00mq87kesp40/-FJPG/232430-001_DET_5.jpg</t>
  </si>
  <si>
    <t>5.61"</t>
  </si>
  <si>
    <t>232578-002</t>
  </si>
  <si>
    <t>Risa Bookcase - Lamont Natural Oak Veneer</t>
  </si>
  <si>
    <t>Lamont Natural Oak Veneer</t>
  </si>
  <si>
    <t>Soft curves of natural oak veneer form open, airy shelves of varying sizes, perfect for displaying your treasures with an added sense of intrigue.</t>
  </si>
  <si>
    <t>https://dd3ka9h4chfr8.cloudfront.net/image/725136000567/image_fgv1ag88qp2352jm17por0nb2l/-S150x150-FJPG/232578-002_PRM_1.jpg</t>
  </si>
  <si>
    <t>https://dd3ka9h4chfr8.cloudfront.net/image/725136000567/image_nlr0ld97756ab36rt45nco0f72/-FJPG/232578-002_FRT_1.jpg</t>
  </si>
  <si>
    <t>https://dd3ka9h4chfr8.cloudfront.net/image/725136000567/image_fgv1ag88qp2352jm17por0nb2l/-FJPG/232578-002_PRM_1.jpg</t>
  </si>
  <si>
    <t>https://dd3ka9h4chfr8.cloudfront.net/image/725136000567/image_6pq29b76tl3adbg9mppnopcq4c/-FJPG/232578-002_SID_1.jpg</t>
  </si>
  <si>
    <t>https://dd3ka9h4chfr8.cloudfront.net/image/725136000567/image_b4a5rcdicl0fh1icktuq93gu7e/-FJPG/232578-002_ESS.tif</t>
  </si>
  <si>
    <t>https://dd3ka9h4chfr8.cloudfront.net/image/725136000567/image_qus06vo8r95hr2ttklt1ep1u0k/-FJPG/232578-002_DET_2.jpg</t>
  </si>
  <si>
    <t>https://dd3ka9h4chfr8.cloudfront.net/image/725136000567/image_uj0d1of56904f4kcnccvcpfi56/-FJPG/232578-002_BCK_1.jpg</t>
  </si>
  <si>
    <t>https://dd3ka9h4chfr8.cloudfront.net/image/725136000567/image_ime131j19p6gl7s3siphvl9a6m/-FJPG/232578-002_DET_1.jpg</t>
  </si>
  <si>
    <t>https://dd3ka9h4chfr8.cloudfront.net/image/725136000567/image_1l5rooc52t3opaf33qnrgei47n/-FJPG/232578-002_DET_3.jpg</t>
  </si>
  <si>
    <t>https://dd3ka9h4chfr8.cloudfront.net/image/725136000567/image_mnm7cvrjbp63l8hevomlb5co7j/-FJPG/232578-002_DET_4.jpg</t>
  </si>
  <si>
    <t>Risa</t>
  </si>
  <si>
    <t>232718-001</t>
  </si>
  <si>
    <t>Reign Desk - Waxed Pine</t>
  </si>
  <si>
    <t>Cordella</t>
  </si>
  <si>
    <t>It's a material thing. Made entirely from solid pine, a specialized waxed finish gives this roomy five-drawer desk a purposefully antiqued look.</t>
  </si>
  <si>
    <t>https://dd3ka9h4chfr8.cloudfront.net/image/725136000567/image_itrvn2cev17uv0ujoq8a4v6f4s/-S150x150-FJPG/232718-001_PRM_1.jpg</t>
  </si>
  <si>
    <t>https://dd3ka9h4chfr8.cloudfront.net/image/725136000567/image_3iig8qgh054atb9bero5nfcq14/-FJPG/232718-001_FRT_1.jpg</t>
  </si>
  <si>
    <t>https://dd3ka9h4chfr8.cloudfront.net/image/725136000567/image_itrvn2cev17uv0ujoq8a4v6f4s/-FJPG/232718-001_PRM_1.jpg</t>
  </si>
  <si>
    <t>https://dd3ka9h4chfr8.cloudfront.net/image/725136000567/image_qfgc0dgbth6qb37epab74ipu61/-FJPG/232718-001_SID_1.jpg</t>
  </si>
  <si>
    <t>https://dd3ka9h4chfr8.cloudfront.net/image/725136000567/image_o7nq6rcq2h4of68uhh2h8clp47/-FJPG/232718-001_ESS_1.jpg</t>
  </si>
  <si>
    <t>https://dd3ka9h4chfr8.cloudfront.net/image/725136000567/image_mj9e1anegh4kbbu43g6uaqqf4b/-FJPG/232718-001_DET_2.jpg</t>
  </si>
  <si>
    <t>https://dd3ka9h4chfr8.cloudfront.net/image/725136000567/image_b5j5cd06dp7h14809sbvo6926k/-FJPG/232718-001_BCK_1.jpg</t>
  </si>
  <si>
    <t>https://dd3ka9h4chfr8.cloudfront.net/image/725136000567/image_bvvnh8vel949t7efjtuvgr6q4f/-FJPG/232718-001_DET_1.jpg</t>
  </si>
  <si>
    <t>https://dd3ka9h4chfr8.cloudfront.net/image/725136000567/image_jrphpmh1015431gu23p7brru5g/-FJPG/232718-001_DET_3.jpg</t>
  </si>
  <si>
    <t>https://dd3ka9h4chfr8.cloudfront.net/image/725136000567/image_f7b5tbtv5d1u998dkhc85eed7o/-FJPG/232718-001_OPN_1.jpg</t>
  </si>
  <si>
    <t>https://dd3ka9h4chfr8.cloudfront.net/image/725136000567/image_ah8m1hhvq17015c0ctv4l7ts6s/-FJPG/232718-001_DET_4.jpg</t>
  </si>
  <si>
    <t>https://dd3ka9h4chfr8.cloudfront.net/image/725136000567/image_3427460crh61j1lrf8trid8b2q/-FJPG/232718-001_DET_5.jpg</t>
  </si>
  <si>
    <t>https://dd3ka9h4chfr8.cloudfront.net/image/725136000567/image_pitallpuut3hbaksr5flv26i0i/-FJPG/232718-001_DET_6.jpg</t>
  </si>
  <si>
    <t>https://dd3ka9h4chfr8.cloudfront.net/image/725136000567/image_4kgaqfr0vl6hb9kavh5mt3hr6n/-FJPG/232718-001_DET_7.jpg</t>
  </si>
  <si>
    <t>https://dd3ka9h4chfr8.cloudfront.net/image/725136000567/image_hpfhib4kjl03rav0f8qccnmi0q/-FJPG/232718-001_DET_8.jpg</t>
  </si>
  <si>
    <t>https://dd3ka9h4chfr8.cloudfront.net/image/725136000567/image_f7rdogvmuh2rnernc7p7u6lo0k/-FJPG/232718-001_PRM_2.jpg</t>
  </si>
  <si>
    <t>Reign</t>
  </si>
  <si>
    <t>67.09"</t>
  </si>
  <si>
    <t>22.36"</t>
  </si>
  <si>
    <t>28.66"</t>
  </si>
  <si>
    <t>70.08"</t>
  </si>
  <si>
    <t>232718-003</t>
  </si>
  <si>
    <t>Reign Desk - Distressed Walnut</t>
  </si>
  <si>
    <t>Distressed Walnut</t>
  </si>
  <si>
    <t>https://dd3ka9h4chfr8.cloudfront.net/image/725136000567/image_eh6a0e38353e34sqe1f1ttqb0u/-S150x150-FJPG/232718-003_PRM_1.jpg</t>
  </si>
  <si>
    <t>https://dd3ka9h4chfr8.cloudfront.net/image/725136000567/image_60neoc95fh2lha2nt9u5l5752o/-FJPG/232718-003_FRT_1.jpg</t>
  </si>
  <si>
    <t>https://dd3ka9h4chfr8.cloudfront.net/image/725136000567/image_eh6a0e38353e34sqe1f1ttqb0u/-FJPG/232718-003_PRM_1.jpg</t>
  </si>
  <si>
    <t>https://dd3ka9h4chfr8.cloudfront.net/image/725136000567/image_rmcv7qnaa5119f7pu2cui9db4n/-FJPG/232718-003_SID_1.jpg</t>
  </si>
  <si>
    <t>https://dd3ka9h4chfr8.cloudfront.net/image/725136000567/image_tsiq3moqop50nb3m3mu05mcn0p/-FJPG/232718-003_ESS.tif</t>
  </si>
  <si>
    <t>https://dd3ka9h4chfr8.cloudfront.net/image/725136000567/image_grseohmcqt0if2rc4nesbrvc2u/-FJPG/232718-003_DET_2.jpg</t>
  </si>
  <si>
    <t>https://dd3ka9h4chfr8.cloudfront.net/image/725136000567/image_t33qgrvi495371skvgov1f0v7l/-FJPG/232718-003_BCK_1.jpg</t>
  </si>
  <si>
    <t>https://dd3ka9h4chfr8.cloudfront.net/image/725136000567/image_luejn0e11p2vj2lc8avuqol639/-FJPG/232718-003_DET_1.jpg</t>
  </si>
  <si>
    <t>https://dd3ka9h4chfr8.cloudfront.net/image/725136000567/image_r3dm00b2j576d0p3q961pdnu31/-FJPG/232718-003_DET_3.jpg</t>
  </si>
  <si>
    <t>https://dd3ka9h4chfr8.cloudfront.net/image/725136000567/image_e3q3dhfujp1sp7kavon22lsk0i/-FJPG/232718-003_OPN_1.jpg</t>
  </si>
  <si>
    <t>https://dd3ka9h4chfr8.cloudfront.net/image/725136000567/image_gikosa7hk57vl5kgrv6pmgue1d/-FJPG/232718-003_DET_4.jpg</t>
  </si>
  <si>
    <t>https://dd3ka9h4chfr8.cloudfront.net/image/725136000567/image_khjfk6ek893mhfme3bvvamg95c/-FJPG/232718-003_DET_5.jpg</t>
  </si>
  <si>
    <t>https://dd3ka9h4chfr8.cloudfront.net/image/725136000567/image_93ukmvikbh1hbdtvesp5405j1k/-FJPG/232718-003_DET_6.jpg</t>
  </si>
  <si>
    <t>https://dd3ka9h4chfr8.cloudfront.net/image/725136000567/image_iuf7mjhmet5gjej3qi2n50qe3h/-FJPG/232718-003_DET_7.jpg</t>
  </si>
  <si>
    <t>https://dd3ka9h4chfr8.cloudfront.net/image/725136000567/image_6lqlgb7c1l39n76l09oi83jt7a/-FJPG/232718-003_DET_8.jpg</t>
  </si>
  <si>
    <t>https://dd3ka9h4chfr8.cloudfront.net/image/725136000567/image_vrbpntk8kl3pd03mdsvbs3t63n/-FJPG/232718-003_DET_9.jpg</t>
  </si>
  <si>
    <t>232775-002</t>
  </si>
  <si>
    <t>Abaso Coffee Table - Ebony Rustic Wormwood Oak</t>
  </si>
  <si>
    <t>Made from thick-cut oak veneer with a faux rustic finish made to emulate wormwood oak, this low, large-scale coffee table features chunky squared legs and dovetail joinery detailing.</t>
  </si>
  <si>
    <t>https://dd3ka9h4chfr8.cloudfront.net/image/725136000567/image_1suf8f0qpp2ljapjfgt98klm5k/-S150x150-FJPG/232775-002_PRM_1.jpg</t>
  </si>
  <si>
    <t>https://dd3ka9h4chfr8.cloudfront.net/image/725136000567/image_mf83pvmap91h53mnbnnqb1to4k/-FJPG/232775-002_FRT_1.jpg</t>
  </si>
  <si>
    <t>https://dd3ka9h4chfr8.cloudfront.net/image/725136000567/image_1suf8f0qpp2ljapjfgt98klm5k/-FJPG/232775-002_PRM_1.jpg</t>
  </si>
  <si>
    <t>https://dd3ka9h4chfr8.cloudfront.net/image/725136000567/image_h4f03gucsd3j99e7n0oqeaiq2p/-FJPG/232775-002_SID_1.jpg</t>
  </si>
  <si>
    <t>https://dd3ka9h4chfr8.cloudfront.net/image/725136000567/image_s7t03klhbt5ifcicnfbapecc1u/-FJPG/232775-002_ESS_1.jpg</t>
  </si>
  <si>
    <t>https://dd3ka9h4chfr8.cloudfront.net/image/725136000567/image_ck3fdnbq8t5lf2nfk263auig2i/-FJPG/232775-002_DET_2.jpg</t>
  </si>
  <si>
    <t>https://dd3ka9h4chfr8.cloudfront.net/image/725136000567/image_0p6b33us090s141an6a850ik20/-FJPG/232775-002_DET_1.jpg</t>
  </si>
  <si>
    <t>https://dd3ka9h4chfr8.cloudfront.net/image/725136000567/image_2n3eg4hr8d7kh3t5phdpgbua2i/-FJPG/232775-002_DET_3.jpg</t>
  </si>
  <si>
    <t>https://dd3ka9h4chfr8.cloudfront.net/image/725136000567/image_e88lc8h98h1pr0g1atknh7jt2q/-FJPG/232775-002_TOP_1.jpg</t>
  </si>
  <si>
    <t>https://dd3ka9h4chfr8.cloudfront.net/image/725136000567/image_mk5h063cv57ln7tkakmrs17q0h/-FJPG/232775-002_DET_4.jpg</t>
  </si>
  <si>
    <t>https://dd3ka9h4chfr8.cloudfront.net/image/725136000567/image_odsc56iv856vtb3nd9c8ee4a0h/-FJPG/232775-002_DET_5.jpg</t>
  </si>
  <si>
    <t>https://dd3ka9h4chfr8.cloudfront.net/image/725136000567/image_p7ce3j9m9l1ilbb28ba9bbp45m/-FJPG/232775-002_DET_6.jpg</t>
  </si>
  <si>
    <t>39.38"</t>
  </si>
  <si>
    <t>7.88"</t>
  </si>
  <si>
    <t>232834-001</t>
  </si>
  <si>
    <t>Salado Bed - Heirloom Sienna</t>
  </si>
  <si>
    <t>Natural Ash Solid</t>
  </si>
  <si>
    <t>Solid ash framing and heirloom leather panel details craft this safari-inspired bed frame. Sourced from one of the oldest family-owned tanneries in Italyâ€™s Bassano del Grappa, our heirloom leather covering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</si>
  <si>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https://dd3ka9h4chfr8.cloudfront.net/image/725136000567/image_8brhj2n68d5q59n5djde7kr66h/-S150x150-FJPG/232834-001_PRM_1.jpg</t>
  </si>
  <si>
    <t>https://dd3ka9h4chfr8.cloudfront.net/image/725136000567/image_uod2sr2vmd2rlb91pge8obqk64/-FJPG/232834-001_FRT_1.jpg</t>
  </si>
  <si>
    <t>https://dd3ka9h4chfr8.cloudfront.net/image/725136000567/image_8brhj2n68d5q59n5djde7kr66h/-FJPG/232834-001_PRM_1.jpg</t>
  </si>
  <si>
    <t>https://dd3ka9h4chfr8.cloudfront.net/image/725136000567/image_9s9bj12dnh1one3khs4b1ncu6t/-FJPG/232834-001_SID_1.jpg</t>
  </si>
  <si>
    <t>https://dd3ka9h4chfr8.cloudfront.net/image/725136000567/image_vbcs8v7c3127faukfpoled3041/-FJPG/232834-001_ESS_1.jpg</t>
  </si>
  <si>
    <t>https://dd3ka9h4chfr8.cloudfront.net/image/725136000567/image_5g6f43p5k14sj98jp9s1rupk50/-FJPG/232834-001_DET_2.jpg</t>
  </si>
  <si>
    <t>https://dd3ka9h4chfr8.cloudfront.net/image/725136000567/image_tbl445s3gd6q1fpee5tbsui56t/-FJPG/232834-001_BCK_1.jpg</t>
  </si>
  <si>
    <t>https://dd3ka9h4chfr8.cloudfront.net/image/725136000567/image_hek59qfii55ap9p8qpcn7n1047/-FJPG/232834-001_DET_1.jpg</t>
  </si>
  <si>
    <t>https://dd3ka9h4chfr8.cloudfront.net/image/725136000567/image_l46qbehrf954p7ni1df9e2re5g/-FJPG/232834-001_DET_3.jpg</t>
  </si>
  <si>
    <t>https://dd3ka9h4chfr8.cloudfront.net/image/725136000567/image_a5np7bmflp5316usu104eqgq1o/-FJPG/232834-001_DET_4.jpg</t>
  </si>
  <si>
    <t>https://dd3ka9h4chfr8.cloudfront.net/image/725136000567/image_3ic1ag3u25081dr5dub073464r/-FJPG/232834-001_DET_5.jpg</t>
  </si>
  <si>
    <t>https://dd3ka9h4chfr8.cloudfront.net/image/725136000567/image_90piqttjrp363aqi2n950av122/-FJPG/232834-001_DET_6.jpg</t>
  </si>
  <si>
    <t>https://dd3ka9h4chfr8.cloudfront.net/image/725136000567/image_61as0i1iil2lh3bcjto7shb71h/-FJPG/232834-001_DET_9.jpg</t>
  </si>
  <si>
    <t>https://dd3ka9h4chfr8.cloudfront.net/image/725136000567/image_dhs95sd11h09ncalmtah1hg55v/-FJPG/232834-001_SID_2.jpg</t>
  </si>
  <si>
    <t>Components</t>
  </si>
  <si>
    <t>Salado</t>
  </si>
  <si>
    <t>53.98"</t>
  </si>
  <si>
    <t>81.46"</t>
  </si>
  <si>
    <t>232834-002</t>
  </si>
  <si>
    <t>Salado Bed - Heirloom Sienna Old</t>
  </si>
  <si>
    <t>Heirloom Sienna Old</t>
  </si>
  <si>
    <t>https://dd3ka9h4chfr8.cloudfront.net/image/725136000567/image_jmti0icdo11njailc8up8hfi35/-S150x150-FJPG/232834-002_PRM_1.jpg</t>
  </si>
  <si>
    <t>https://dd3ka9h4chfr8.cloudfront.net/image/725136000567/image_uh5qtua93d0jja7qifh5butk2g/-FJPG/232834-002_FRT_1.jpg</t>
  </si>
  <si>
    <t>https://dd3ka9h4chfr8.cloudfront.net/image/725136000567/image_jmti0icdo11njailc8up8hfi35/-FJPG/232834-002_PRM_1.jpg</t>
  </si>
  <si>
    <t>https://dd3ka9h4chfr8.cloudfront.net/image/725136000567/image_quvo521q0t537fl26s232h032r/-FJPG/232834-002_SID_1.jpg</t>
  </si>
  <si>
    <t>https://dd3ka9h4chfr8.cloudfront.net/image/725136000567/image_l4gr2il6nt0279oc41jgr7dm26/-FJPG/232834-002_ESS_1.jpg</t>
  </si>
  <si>
    <t>https://dd3ka9h4chfr8.cloudfront.net/image/725136000567/image_1odp0987111ev6mp5sd0ljbm11/-FJPG/232834-002_DET_2.jpg</t>
  </si>
  <si>
    <t>https://dd3ka9h4chfr8.cloudfront.net/image/725136000567/image_ejs53o2s4p58v5afsaja2h5k45/-FJPG/232834-002_BCK_1.jpg</t>
  </si>
  <si>
    <t>https://dd3ka9h4chfr8.cloudfront.net/image/725136000567/image_fn8kp2dq6108t651nmihsj0c50/-FJPG/232834-002_DET_1.jpg</t>
  </si>
  <si>
    <t>https://dd3ka9h4chfr8.cloudfront.net/image/725136000567/image_4t6mdm7kkl2tvfa51cb8bkvm78/-FJPG/232834-002_DET_3.jpg</t>
  </si>
  <si>
    <t>https://dd3ka9h4chfr8.cloudfront.net/image/725136000567/image_scb9oj4orp0rn9rqobpi8ade4q/-FJPG/232834-002_DET_4.jpg</t>
  </si>
  <si>
    <t>https://dd3ka9h4chfr8.cloudfront.net/image/725136000567/image_lugq1qefj976t49qf3mst98j0o/-FJPG/232834-002_DET_5.jpg</t>
  </si>
  <si>
    <t>https://dd3ka9h4chfr8.cloudfront.net/image/725136000567/image_n6iglr74pt0jlba8l0fi4e9q0t/-FJPG/232834-002_DET_6.jpg</t>
  </si>
  <si>
    <t>https://dd3ka9h4chfr8.cloudfront.net/image/725136000567/image_5jjujeu4bl49lc2hccpoakhi1g/-FJPG/232834-002_DET_7.jpg</t>
  </si>
  <si>
    <t>https://dd3ka9h4chfr8.cloudfront.net/image/725136000567/image_udpjj0283t6k910d2ecvphe209/-FJPG/232834-002_DET_8.jpg</t>
  </si>
  <si>
    <t>https://dd3ka9h4chfr8.cloudfront.net/image/725136000567/image_5nrgpj0pn519naj1k5afdad828/-FJPG/232834-002_DET_9.jpg</t>
  </si>
  <si>
    <t>https://dd3ka9h4chfr8.cloudfront.net/image/725136000567/image_dln3mfmk7t1k72boi6o62ahf4a/-FJPG/232834-002_FRT_2.jpg</t>
  </si>
  <si>
    <t>https://dd3ka9h4chfr8.cloudfront.net/image/725136000567/image_hr3htlle412g907o6hdaorar3m/-FJPG/232834-002_SID_2.jpg</t>
  </si>
  <si>
    <t>https://dd3ka9h4chfr8.cloudfront.net/image/725136000567/image_bofp010ual3df99ckmkosefq6d/-FJPG/232834-002_PRM_2.jpg</t>
  </si>
  <si>
    <t>64.80"</t>
  </si>
  <si>
    <t>232834-003</t>
  </si>
  <si>
    <t>Salado Bed - Heirloom Cigar</t>
  </si>
  <si>
    <t>Rubbed Black Oak</t>
  </si>
  <si>
    <t>Rubbed black oak  framing and heirloom leather panel details craft this safari-inspired king bed frame. Sourced from one of the oldest family-owned tanneries in Italyâ€™s Bassano del Grappa, our deep brown heirloom leather covering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</si>
  <si>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https://dd3ka9h4chfr8.cloudfront.net/image/725136000567/image_75ln5t0sgl08laml92fi48542i/-S150x150-FJPG/232834-003_PRM_1.jpg</t>
  </si>
  <si>
    <t>https://dd3ka9h4chfr8.cloudfront.net/image/725136000567/image_04lelqqbnd7m9ane6mr04t3a4u/-FJPG/232834-003_FRT_1.jpg</t>
  </si>
  <si>
    <t>https://dd3ka9h4chfr8.cloudfront.net/image/725136000567/image_75ln5t0sgl08laml92fi48542i/-FJPG/232834-003_PRM_1.jpg</t>
  </si>
  <si>
    <t>https://dd3ka9h4chfr8.cloudfront.net/image/725136000567/image_mav6u0vsll07hdr677h9hk6g3g/-FJPG/232834-003_SID_1.jpg</t>
  </si>
  <si>
    <t>https://dd3ka9h4chfr8.cloudfront.net/image/725136000567/image_do4hcs3rsh44t511cg96opgs54/-FJPG/232834-003_DET_2.jpg</t>
  </si>
  <si>
    <t>https://dd3ka9h4chfr8.cloudfront.net/image/725136000567/image_t2nbqnlj194el2aak7fgn1la6i/-FJPG/232834-003_BCK_1.jpg</t>
  </si>
  <si>
    <t>https://dd3ka9h4chfr8.cloudfront.net/image/725136000567/image_lg7p5lcdjt0sb5e44ccdk0ja5p/-FJPG/232834-003_DET_1.jpg</t>
  </si>
  <si>
    <t>https://dd3ka9h4chfr8.cloudfront.net/image/725136000567/image_l1l19jja6d1u37g7p176iprl74/-FJPG/232834-003_DET_3.jpg</t>
  </si>
  <si>
    <t>https://dd3ka9h4chfr8.cloudfront.net/image/725136000567/image_q18cld1vnt46389vvdqsdg4o15/-FJPG/232834-003_DET_4.jpg</t>
  </si>
  <si>
    <t>https://dd3ka9h4chfr8.cloudfront.net/image/725136000567/image_afmojke2e12f906t903g6qb112/-FJPG/232834-003_DET_5.jpg</t>
  </si>
  <si>
    <t>https://dd3ka9h4chfr8.cloudfront.net/image/725136000567/image_f3lsm12fdt1u1ff332kcnlls7j/-FJPG/232834-003_DET_6.jpg</t>
  </si>
  <si>
    <t>232834-004</t>
  </si>
  <si>
    <t>Rubbed black oak  framing and heirloom leather panel details craft this safari-inspired queen bed frame. Sourced from one of the oldest family-owned tanneries in Italyâ€™s Bassano del Grappa, our deep brown heirloom leather covering is salvaged and processed from upcycled hides featuring an abundance of natural markings, scars and color variations. The result? Beautifully supple, buttery soft hides with an unmatched depth of color and richness, and an authentic lived-in look.</t>
  </si>
  <si>
    <t>https://dd3ka9h4chfr8.cloudfront.net/image/725136000567/image_9vau0212m14qj05acsi5ftap3c/-S150x150-FJPG/232834-004_PRM_1.jpg</t>
  </si>
  <si>
    <t>https://dd3ka9h4chfr8.cloudfront.net/image/725136000567/image_kf0rmqh1i55s5b3terhgbki971/-FJPG/232834-004_FRT_1.jpg</t>
  </si>
  <si>
    <t>https://dd3ka9h4chfr8.cloudfront.net/image/725136000567/image_9vau0212m14qj05acsi5ftap3c/-FJPG/232834-004_PRM_1.jpg</t>
  </si>
  <si>
    <t>https://dd3ka9h4chfr8.cloudfront.net/image/725136000567/image_sjhad5pjdl47p9bjuairvm290c/-FJPG/232834-004_SID_1.jpg</t>
  </si>
  <si>
    <t>https://dd3ka9h4chfr8.cloudfront.net/image/725136000567/image_o46rupg1ph3mte3riuk34ak64d/-FJPG/232834-004_ESS_1.tif</t>
  </si>
  <si>
    <t>https://dd3ka9h4chfr8.cloudfront.net/image/725136000567/image_fc74hn1i6p5id6vv6g8bak9i3t/-FJPG/232834-004_DET_2.jpg</t>
  </si>
  <si>
    <t>https://dd3ka9h4chfr8.cloudfront.net/image/725136000567/image_c0d10kb8f54j905f137ad5ju1a/-FJPG/232834-004_BCK_1.jpg</t>
  </si>
  <si>
    <t>https://dd3ka9h4chfr8.cloudfront.net/image/725136000567/image_hopmsel17h39df3nnodr6vt37i/-FJPG/232834-004_DET_1.jpg</t>
  </si>
  <si>
    <t>https://dd3ka9h4chfr8.cloudfront.net/image/725136000567/image_0edo45ehe107reuegv3b1afa2f/-FJPG/232834-004_DET_3.jpg</t>
  </si>
  <si>
    <t>https://dd3ka9h4chfr8.cloudfront.net/image/725136000567/image_fic3sa37bt6b51dmp1rrpce664/-FJPG/232834-004_DET_4.jpg</t>
  </si>
  <si>
    <t>https://dd3ka9h4chfr8.cloudfront.net/image/725136000567/image_lqfpavt0nh2gpe7sos65o5387h/-FJPG/232834-004_DET_5.jpg</t>
  </si>
  <si>
    <t>232834-010</t>
  </si>
  <si>
    <t>Salado Bed - Antigo Natural</t>
  </si>
  <si>
    <t>Antigo Natural</t>
  </si>
  <si>
    <t>Worn Oak</t>
  </si>
  <si>
    <t>53% Polyester</t>
  </si>
  <si>
    <t>30% Acrylic</t>
  </si>
  <si>
    <t>17% Flax/Linen</t>
  </si>
  <si>
    <t>https://dd3ka9h4chfr8.cloudfront.net/image/725136000567/image_2771oaohul131ec9kiblb1ee1o/-S150x150-FJPG/232834-010_PRM_1.jpg</t>
  </si>
  <si>
    <t>https://dd3ka9h4chfr8.cloudfront.net/image/725136000567/image_bp5f830msh3an28rilivujvc0i/-FJPG/232834-010_FRT_1.jpg</t>
  </si>
  <si>
    <t>https://dd3ka9h4chfr8.cloudfront.net/image/725136000567/image_2771oaohul131ec9kiblb1ee1o/-FJPG/232834-010_PRM_1.jpg</t>
  </si>
  <si>
    <t>https://dd3ka9h4chfr8.cloudfront.net/image/725136000567/image_ae2df85bb13t902navcljrlq5f/-FJPG/232834-010_SID_1.jpg</t>
  </si>
  <si>
    <t>https://dd3ka9h4chfr8.cloudfront.net/image/725136000567/image_c35nifrgp57tt2g9jtghv7kp6i/-FJPG/232834-010_DET_2.jpg</t>
  </si>
  <si>
    <t>https://dd3ka9h4chfr8.cloudfront.net/image/725136000567/image_rp18d1rce95tr83u7dbglvp542/-FJPG/232834-010_BCK_1.jpg</t>
  </si>
  <si>
    <t>https://dd3ka9h4chfr8.cloudfront.net/image/725136000567/image_np1968anmt4n9ct9i4a9kim64f/-FJPG/232834-010_DET_1.jpg</t>
  </si>
  <si>
    <t>https://dd3ka9h4chfr8.cloudfront.net/image/725136000567/image_cquscj6n696rv2b5qh0mka7k69/-FJPG/232834-010_DET_3.jpg</t>
  </si>
  <si>
    <t>https://dd3ka9h4chfr8.cloudfront.net/image/725136000567/image_9gab9kh4pp7ud6ct6plr0mj45s/-FJPG/232834-010_DET_4.jpg</t>
  </si>
  <si>
    <t>https://dd3ka9h4chfr8.cloudfront.net/image/725136000567/image_jdoeb7oc850ef7cvs4jcdl4b79/-FJPG/232834-010_DET_5.jpg</t>
  </si>
  <si>
    <t>https://dd3ka9h4chfr8.cloudfront.net/image/725136000567/image_bbtbr2um4d7cb1ktm6jhhuch53/-FJPG/232834-010_DET_6.jpg</t>
  </si>
  <si>
    <t>https://dd3ka9h4chfr8.cloudfront.net/image/725136000567/image_4r2fh3fr2h3oteqigha8fss544/-FJPG/232834-010_DET_7.jpg</t>
  </si>
  <si>
    <t>https://dd3ka9h4chfr8.cloudfront.net/image/725136000567/image_9j8dbi18193p1d2h7do8fuj876/-FJPG/232834-010_DET_8.jpg</t>
  </si>
  <si>
    <t>232834-011</t>
  </si>
  <si>
    <t>https://dd3ka9h4chfr8.cloudfront.net/image/725136000567/image_137ge8cj3h2olddr56mt5vk679/-S150x150-FJPG/232834-011_PRM_1.jpg</t>
  </si>
  <si>
    <t>https://dd3ka9h4chfr8.cloudfront.net/image/725136000567/image_lfesu7md4t1836ftfdtq7p073l/-FJPG/232834-011_FRT_1.jpg</t>
  </si>
  <si>
    <t>https://dd3ka9h4chfr8.cloudfront.net/image/725136000567/image_137ge8cj3h2olddr56mt5vk679/-FJPG/232834-011_PRM_1.jpg</t>
  </si>
  <si>
    <t>https://dd3ka9h4chfr8.cloudfront.net/image/725136000567/image_dbb299nb955sb8hk027n0uva2r/-FJPG/232834-011_SID_1.jpg</t>
  </si>
  <si>
    <t>https://dd3ka9h4chfr8.cloudfront.net/image/725136000567/image_l7g6un4pm121388lvc5lidlh0p/-FJPG/232834-011_ESS.tif</t>
  </si>
  <si>
    <t>https://dd3ka9h4chfr8.cloudfront.net/image/725136000567/image_vcecpbul290sp3sgeq3alth418/-FJPG/232834-011_DET_2.jpg</t>
  </si>
  <si>
    <t>https://dd3ka9h4chfr8.cloudfront.net/image/725136000567/image_t5ahqtutuh185cp6jrv9n2u24n/-FJPG/232834-011_BCK_1.jpg</t>
  </si>
  <si>
    <t>https://dd3ka9h4chfr8.cloudfront.net/image/725136000567/image_p6m0f7n12h2g548spfdrmhbh0r/-FJPG/232834-011_DET_1.jpg</t>
  </si>
  <si>
    <t>https://dd3ka9h4chfr8.cloudfront.net/image/725136000567/image_agsn8c44cl7fv8m752iqrj1059/-FJPG/232834-011_DET_3.jpg</t>
  </si>
  <si>
    <t>https://dd3ka9h4chfr8.cloudfront.net/image/725136000567/image_t9m7345i0h5ij2vsv70jh4ma79/-FJPG/232834-011_DET_4.jpg</t>
  </si>
  <si>
    <t>https://dd3ka9h4chfr8.cloudfront.net/image/725136000567/image_6jd81ohphh0qv4kqvkn37msa03/-FJPG/232834-011_DET_5.jpg</t>
  </si>
  <si>
    <t>https://dd3ka9h4chfr8.cloudfront.net/image/725136000567/image_8dkivopknd2kb5cdt8t7713522/-FJPG/232834-011_DET_6.jpg</t>
  </si>
  <si>
    <t>https://dd3ka9h4chfr8.cloudfront.net/image/725136000567/image_mbeu7s1la50ot814cjqoh50871/-FJPG/232834-011_DET_7.jpg</t>
  </si>
  <si>
    <t>https://dd3ka9h4chfr8.cloudfront.net/image/725136000567/image_fhc4p9hchp0dbbdolsat0hdc4u/-FJPG/232834-011_DET_8.jpg</t>
  </si>
  <si>
    <t>https://dd3ka9h4chfr8.cloudfront.net/image/725136000567/image_l9fi6sqgkt16n42p3ffk1eln5g/-FJPG/232834-011_DET_9.tif</t>
  </si>
  <si>
    <t>233091-001</t>
  </si>
  <si>
    <t>Millie 9 Drawer Dresser - Drifted Matte Black Veneer</t>
  </si>
  <si>
    <t>Drifted Matte Black Rubberwood</t>
  </si>
  <si>
    <t>Featuring nine spacious drawers with smooth fronts fixed with matching knobs, this drifted matte-black oak veneer dresser brings spacious storage to the room. This item has been modified to comply with the STURDY Act. See a full list of modified products and data changes in the â€œSTURDY Actâ€ file in the Downloads section below.</t>
  </si>
  <si>
    <t>https://dd3ka9h4chfr8.cloudfront.net/image/725136000567/image_qklpdpn6dd7gn17it4o67vlb27/-S150x150-FJPG/233091-001_PRM_1.jpg</t>
  </si>
  <si>
    <t>https://dd3ka9h4chfr8.cloudfront.net/image/725136000567/image_6bgqoajdnt7dban69156cpn77r/-FJPG/233091-001_FRT_1.jpg</t>
  </si>
  <si>
    <t>https://dd3ka9h4chfr8.cloudfront.net/image/725136000567/image_qklpdpn6dd7gn17it4o67vlb27/-FJPG/233091-001_PRM_1.jpg</t>
  </si>
  <si>
    <t>https://dd3ka9h4chfr8.cloudfront.net/image/725136000567/image_1b697qb1m51pd5aoanbtnuki77/-FJPG/233091-001_SID_1.jpg</t>
  </si>
  <si>
    <t>https://dd3ka9h4chfr8.cloudfront.net/image/725136000567/image_84lbrm6q2564h5o6mlgqulpl3o/-FJPG/233091-001_ESS_1.jpg</t>
  </si>
  <si>
    <t>https://dd3ka9h4chfr8.cloudfront.net/image/725136000567/image_kdo0uh3u3l2v9c3dhg7ri5pq2d/-FJPG/233091-001_DET_2.jpg</t>
  </si>
  <si>
    <t>https://dd3ka9h4chfr8.cloudfront.net/image/725136000567/image_ci1dsu5evl179bmu5onal4ig58/-FJPG/233091-001_BCK_1.jpg</t>
  </si>
  <si>
    <t>https://dd3ka9h4chfr8.cloudfront.net/image/725136000567/image_iok4on1kj97j37b6dlvecud53f/-FJPG/233091-001_DET_1.jpg</t>
  </si>
  <si>
    <t>https://dd3ka9h4chfr8.cloudfront.net/image/725136000567/image_srrdfd9mod253082u12n7c5v4f/-FJPG/233091-001_DET_3.jpg</t>
  </si>
  <si>
    <t>https://dd3ka9h4chfr8.cloudfront.net/image/725136000567/image_41tv9cbd0t6d3dk593sdu1cd39/-FJPG/233091-001_OPN_1.jpg</t>
  </si>
  <si>
    <t>https://dd3ka9h4chfr8.cloudfront.net/image/725136000567/image_q6innuark51cj757q2paqfo94a/-FJPG/233091-001_TOP_1.jpg</t>
  </si>
  <si>
    <t>https://dd3ka9h4chfr8.cloudfront.net/image/725136000567/image_qcodkom18p2k17n9t7sbqump0q/-FJPG/233091-001_DET_4.jpg</t>
  </si>
  <si>
    <t>https://dd3ka9h4chfr8.cloudfront.net/image/725136000567/image_kob0tdjomd4v37hisir6tc9l41/-FJPG/233091-001_DET_5.jpg</t>
  </si>
  <si>
    <t>https://dd3ka9h4chfr8.cloudfront.net/image/725136000567/image_1bp8gglfmh6h906dvfv0ma3i68/-FJPG/233091-001_DET_6.jpg</t>
  </si>
  <si>
    <t>https://dd3ka9h4chfr8.cloudfront.net/image/725136000567/image_94l0a7ppud7b73og8gksojkk5t/-FJPG/233091-001_DET_7.jpg</t>
  </si>
  <si>
    <t>https://dd3ka9h4chfr8.cloudfront.net/image/725136000567/image_h2rcmqphd53j31qcs2fa4j2i2c/-FJPG/233091-001_DET_8.jpg</t>
  </si>
  <si>
    <t>https://dd3ka9h4chfr8.cloudfront.net/image/725136000567/image_ispkh6krph5mt99ule01ol054m/-FJPG/233091-001_DET_9.jpg</t>
  </si>
  <si>
    <t>https://dd3ka9h4chfr8.cloudfront.net/image/725136000567/image_0l4dg9pvp5773bc987c54qtk6n/-FJPG/233091-001_DET_10.jpg</t>
  </si>
  <si>
    <t>9 Drawer Dresser</t>
  </si>
  <si>
    <t>25.12"</t>
  </si>
  <si>
    <t>233091-002</t>
  </si>
  <si>
    <t>Millie 9 Drawer Dresser - Light Bleach Oak Veneer</t>
  </si>
  <si>
    <t>Light Bleach Oak Veneer</t>
  </si>
  <si>
    <t>Light Bleach Rubberwood</t>
  </si>
  <si>
    <t>Featuring nine spacious drawers with smooth fronts fixed with matching knobs, this light oak veneer dresser brings spacious storage to the room. This item has been modified to comply with the STURDY Act. See a full list of modified products and data changes in the â€œSTURDY Actâ€ file in the Downloads section below.</t>
  </si>
  <si>
    <t>https://dd3ka9h4chfr8.cloudfront.net/image/725136000567/image_7s4klf6hod0g14fvib2usm9u7h/-S150x150-FJPG/233091-002_PRM_1.jpg</t>
  </si>
  <si>
    <t>https://dd3ka9h4chfr8.cloudfront.net/image/725136000567/image_nko3ahe3u92mhfdloecjntjq4m/-FJPG/233091-002_FRT_1.jpg</t>
  </si>
  <si>
    <t>https://dd3ka9h4chfr8.cloudfront.net/image/725136000567/image_7s4klf6hod0g14fvib2usm9u7h/-FJPG/233091-002_PRM_1.jpg</t>
  </si>
  <si>
    <t>https://dd3ka9h4chfr8.cloudfront.net/image/725136000567/image_evpdsfn3bp4kfbh8ltu8l0ll23/-FJPG/233091-002_SID_1.jpg</t>
  </si>
  <si>
    <t>https://dd3ka9h4chfr8.cloudfront.net/image/725136000567/image_in4c9bqssp5utb54e83jkct60p/-FJPG/233091-002_DET_2.jpg</t>
  </si>
  <si>
    <t>https://dd3ka9h4chfr8.cloudfront.net/image/725136000567/image_tn6m88knqp66b8c6asfabdp940/-FJPG/233091-002_BCK_1.jpg</t>
  </si>
  <si>
    <t>https://dd3ka9h4chfr8.cloudfront.net/image/725136000567/image_k63metocoh3fdafn0dogmqbt3n/-FJPG/233091-002_DET_1.jpg</t>
  </si>
  <si>
    <t>https://dd3ka9h4chfr8.cloudfront.net/image/725136000567/image_860dggn34d4pvfjjmnliqdlg16/-FJPG/233091-002_DET_3.jpg</t>
  </si>
  <si>
    <t>https://dd3ka9h4chfr8.cloudfront.net/image/725136000567/image_477s6o94i16g31rhv76f1dcq3p/-FJPG/233091-002_OPN_1.jpg</t>
  </si>
  <si>
    <t>https://dd3ka9h4chfr8.cloudfront.net/image/725136000567/image_tq6hqcdiep2il30itcpkva432v/-FJPG/233091-002_TOP_1.jpg</t>
  </si>
  <si>
    <t>https://dd3ka9h4chfr8.cloudfront.net/image/725136000567/image_d20l1pugv554h45k5au8bibv34/-FJPG/233091-002_DET_4.jpg</t>
  </si>
  <si>
    <t>https://dd3ka9h4chfr8.cloudfront.net/image/725136000567/image_b0ko7su9rh239bolq35cs37k2o/-FJPG/233091-002_DET_5.jpg</t>
  </si>
  <si>
    <t>https://dd3ka9h4chfr8.cloudfront.net/image/725136000567/image_dm6ipq5pu10l7fc2c9rbplr01k/-FJPG/233091-002_DET_6.jpg</t>
  </si>
  <si>
    <t>https://dd3ka9h4chfr8.cloudfront.net/image/725136000567/image_gq320mj0rl181e6jsvpa53750f/-FJPG/233091-002_DET_7.jpg</t>
  </si>
  <si>
    <t>https://dd3ka9h4chfr8.cloudfront.net/image/725136000567/image_k2k3ois9i158h8bsndf9fatu5m/-FJPG/233091-002_DET_8.jpg</t>
  </si>
  <si>
    <t>233092-001</t>
  </si>
  <si>
    <t>Millie 6 Drawer Dresser - Drifted Matte Black Veneer</t>
  </si>
  <si>
    <t>Featuring six spacious drawers with smooth fronts fixed with matching knobs, this drifted matte-black oak veneer dresser brings spacious storage to the room. This item has been modified to comply with the STURDY Act. See a full list of modified products and data changes in the â€œSTURDY Actâ€ file in the Downloads section below.</t>
  </si>
  <si>
    <t>https://dd3ka9h4chfr8.cloudfront.net/image/725136000567/image_hktu9p1oc55416cles5s3mme13/-S150x150-FJPG/233092-001_PRM_1.jpg</t>
  </si>
  <si>
    <t>https://dd3ka9h4chfr8.cloudfront.net/image/725136000567/image_i3l2k30dv97kvfqiv37k59jd7e/-FJPG/233092-001_FRT_1.jpg</t>
  </si>
  <si>
    <t>https://dd3ka9h4chfr8.cloudfront.net/image/725136000567/image_hktu9p1oc55416cles5s3mme13/-FJPG/233092-001_PRM_1.jpg</t>
  </si>
  <si>
    <t>https://dd3ka9h4chfr8.cloudfront.net/image/725136000567/image_d18272sk7t11h1ntfrcl5ph05p/-FJPG/233092-001_SID_1.jpg</t>
  </si>
  <si>
    <t>https://dd3ka9h4chfr8.cloudfront.net/image/725136000567/image_aqtvtrh569039bhggd6s0v7g0t/-FJPG/233092-001_ESS_1.jpg</t>
  </si>
  <si>
    <t>https://dd3ka9h4chfr8.cloudfront.net/image/725136000567/image_9rhoutt3hl2tr7cjm815mpl35e/-FJPG/233092-001_DET_2.jpg</t>
  </si>
  <si>
    <t>https://dd3ka9h4chfr8.cloudfront.net/image/725136000567/image_99uj0h3mh149n3iaq1mvitrb5q/-FJPG/233092-001_BCK_1.jpg</t>
  </si>
  <si>
    <t>https://dd3ka9h4chfr8.cloudfront.net/image/725136000567/image_k92b5ojq0d459ech7a2vc7fk5d/-FJPG/233092-001_DET_1.jpg</t>
  </si>
  <si>
    <t>https://dd3ka9h4chfr8.cloudfront.net/image/725136000567/image_94mdaflddl7c3cvsk8145afb14/-FJPG/233092-001_DET_3.jpg</t>
  </si>
  <si>
    <t>https://dd3ka9h4chfr8.cloudfront.net/image/725136000567/image_k3l8as086l29l4795b949he10d/-FJPG/233092-001_OPN_1.jpg</t>
  </si>
  <si>
    <t>https://dd3ka9h4chfr8.cloudfront.net/image/725136000567/image_29qfe4nqa179r1flqvimtj0g5v/-FJPG/233092-001_TOP_1.jpg</t>
  </si>
  <si>
    <t>https://dd3ka9h4chfr8.cloudfront.net/image/725136000567/image_pjpod63nph56pd90gqso20os2b/-FJPG/233092-001_DET_4.jpg</t>
  </si>
  <si>
    <t>https://dd3ka9h4chfr8.cloudfront.net/image/725136000567/image_0n3omgt3616i10q68gl295p25g/-FJPG/233092-001_DET_5.jpg</t>
  </si>
  <si>
    <t>https://dd3ka9h4chfr8.cloudfront.net/image/725136000567/image_nm1oill13l0a3d2cp78n5i2l2b/-FJPG/233092-001_DET_6.jpg</t>
  </si>
  <si>
    <t>https://dd3ka9h4chfr8.cloudfront.net/image/725136000567/image_thkn16j1lt2qjed68esavck169/-FJPG/233092-001_DET_7.jpg</t>
  </si>
  <si>
    <t>https://dd3ka9h4chfr8.cloudfront.net/image/725136000567/image_qompac5j313910avpb1n1ogu7i/-FJPG/233092-001_DET_8.jpg</t>
  </si>
  <si>
    <t>32.99"</t>
  </si>
  <si>
    <t>233092-002</t>
  </si>
  <si>
    <t>Millie 6 Drawer Dresser - Light Bleach Oak Veneer</t>
  </si>
  <si>
    <t>Featuring six spacious drawers with smooth fronts fixed with matching knobs, this light oak veneer dresser brings spacious storage to the room. This item has been modified to comply with the STURDY Act. See a full list of modified products and data changes in the â€œSTURDY Actâ€ file in the Downloads section below.</t>
  </si>
  <si>
    <t>https://dd3ka9h4chfr8.cloudfront.net/image/725136000567/image_o30lfaq0p16cv8p64cjj6krs67/-S150x150-FJPG/233092-002_PRM_1.jpg</t>
  </si>
  <si>
    <t>https://dd3ka9h4chfr8.cloudfront.net/image/725136000567/image_bfi2gk8r0d70ras2nioq7lh22n/-FJPG/233092-002_FRT_1.jpg</t>
  </si>
  <si>
    <t>https://dd3ka9h4chfr8.cloudfront.net/image/725136000567/image_o30lfaq0p16cv8p64cjj6krs67/-FJPG/233092-002_PRM_1.jpg</t>
  </si>
  <si>
    <t>https://dd3ka9h4chfr8.cloudfront.net/image/725136000567/image_apk788hoct4110v2a8sr7opa0l/-FJPG/233092-002_SID_1.jpg</t>
  </si>
  <si>
    <t>https://dd3ka9h4chfr8.cloudfront.net/image/725136000567/image_mk7v19hlrd7qdc7p66b2irmb1c/-FJPG/233092-002_DET_2.jpg</t>
  </si>
  <si>
    <t>https://dd3ka9h4chfr8.cloudfront.net/image/725136000567/image_7av16sasil6bf45lig4qeqlg7q/-FJPG/233092-002_BCK_1.jpg</t>
  </si>
  <si>
    <t>https://dd3ka9h4chfr8.cloudfront.net/image/725136000567/image_3h72nqtlep7215ukcu8q96tv2r/-FJPG/233092-002_DET_1.jpg</t>
  </si>
  <si>
    <t>https://dd3ka9h4chfr8.cloudfront.net/image/725136000567/image_6nu8h1ibml6qr7jk99p6t0k217/-FJPG/233092-002_DET_3.jpg</t>
  </si>
  <si>
    <t>https://dd3ka9h4chfr8.cloudfront.net/image/725136000567/image_o0tte6jc1p0m72vnmgdt088968/-FJPG/233092-002_OPN_1.jpg</t>
  </si>
  <si>
    <t>https://dd3ka9h4chfr8.cloudfront.net/image/725136000567/image_e3stv3k2vd26h23umcv77psr0t/-FJPG/233092-002_TOP_1.jpg</t>
  </si>
  <si>
    <t>https://dd3ka9h4chfr8.cloudfront.net/image/725136000567/image_d5m8okncd953ta806hq8m85j3k/-FJPG/233092-002_DET_4.jpg</t>
  </si>
  <si>
    <t>https://dd3ka9h4chfr8.cloudfront.net/image/725136000567/image_mb01o7303d2r52mmbd0546n43p/-FJPG/233092-002_DET_5.jpg</t>
  </si>
  <si>
    <t>https://dd3ka9h4chfr8.cloudfront.net/image/725136000567/image_dtobsdl3910up64ue2t29ues45/-FJPG/233092-002_DET_6.jpg</t>
  </si>
  <si>
    <t>https://dd3ka9h4chfr8.cloudfront.net/image/725136000567/image_bfo0svj0214of6obid1ht1141n/-FJPG/233092-002_DET_7.jpg</t>
  </si>
  <si>
    <t>https://dd3ka9h4chfr8.cloudfront.net/image/725136000567/image_pqkklet71p7b11tlekbjbrdq3n/-FJPG/233092-002_DET_8.jpg</t>
  </si>
  <si>
    <t>233093-002</t>
  </si>
  <si>
    <t>Millie Nightstand - Drifted Matte Black Veneer</t>
  </si>
  <si>
    <t>A black-finished oak veneer nightstand brings storage space to the bedside with two roomy drawers.</t>
  </si>
  <si>
    <t>https://dd3ka9h4chfr8.cloudfront.net/image/725136000567/image_gomgd09ss952b4c2iai9e7kd3a/-S150x150-FJPG/233093-001_PRM_1.jpg</t>
  </si>
  <si>
    <t>https://dd3ka9h4chfr8.cloudfront.net/image/725136000567/image_bqj301llp937r0bs21cc0kou73/-FJPG/233093-001_FRT_1.jpg</t>
  </si>
  <si>
    <t>https://dd3ka9h4chfr8.cloudfront.net/image/725136000567/image_1i1huibvp935j0c2m378atgv6s/-FJPG/233093-002_FRT_1.jpg</t>
  </si>
  <si>
    <t>https://dd3ka9h4chfr8.cloudfront.net/image/725136000567/image_gomgd09ss952b4c2iai9e7kd3a/-FJPG/233093-001_PRM_1.jpg</t>
  </si>
  <si>
    <t>https://dd3ka9h4chfr8.cloudfront.net/image/725136000567/image_7fu726ahjl1st3ml1n4qs4687m/-FJPG/233093-002_PRM_1.jpg</t>
  </si>
  <si>
    <t>https://dd3ka9h4chfr8.cloudfront.net/image/725136000567/image_902eli4jhh437fj8im1ukk3o2p/-FJPG/233093-002_SID_1.jpg</t>
  </si>
  <si>
    <t>https://dd3ka9h4chfr8.cloudfront.net/image/725136000567/image_7abs5799qd11b0fktserqbna0r/-FJPG/233093-001_SID_1.jpg</t>
  </si>
  <si>
    <t>https://dd3ka9h4chfr8.cloudfront.net/image/725136000567/image_d8j3r6m4f57ml8ame7h8h4u60i/-FJPG/233093-001_ESS_1.jpg</t>
  </si>
  <si>
    <t>https://dd3ka9h4chfr8.cloudfront.net/image/725136000567/image_ceipgu8q1d6d56smrjj6573k6b/-FJPG/233093-001_DET_2.jpg</t>
  </si>
  <si>
    <t>https://dd3ka9h4chfr8.cloudfront.net/image/725136000567/image_sp611rji2d0tt4k0uhf7ctg76s/-FJPG/233093-002_DET_2.jpg</t>
  </si>
  <si>
    <t>https://dd3ka9h4chfr8.cloudfront.net/image/725136000567/image_o1u3p8f6i155h1h01tg51jio7j/-FJPG/233093-001_BCK_1.jpg</t>
  </si>
  <si>
    <t>https://dd3ka9h4chfr8.cloudfront.net/image/725136000567/image_ndca25lkt50kpbk01klb8p394q/-FJPG/233093-002_BCK_1.jpg</t>
  </si>
  <si>
    <t>https://dd3ka9h4chfr8.cloudfront.net/image/725136000567/image_tbtd6har2h79vbrb6pcsrkb51m/-FJPG/233093-002_DET_1.jpg</t>
  </si>
  <si>
    <t>https://dd3ka9h4chfr8.cloudfront.net/image/725136000567/image_202bp4vv7p0at35fnmoof5190c/-FJPG/233093-001_DET_1.jpg</t>
  </si>
  <si>
    <t>https://dd3ka9h4chfr8.cloudfront.net/image/725136000567/image_ok7kpdbk6h6o99dmpk9n0qea1a/-FJPG/233093-001_DET_3.jpg</t>
  </si>
  <si>
    <t>https://dd3ka9h4chfr8.cloudfront.net/image/725136000567/image_amtlssepf573nelb2rak6lbu5h/-FJPG/233093-002_DET_3.jpg</t>
  </si>
  <si>
    <t>https://dd3ka9h4chfr8.cloudfront.net/image/725136000567/image_8vqh93vnj97f76mdci2d9kua56/-FJPG/233093-001_OPN_1.jpg</t>
  </si>
  <si>
    <t>https://dd3ka9h4chfr8.cloudfront.net/image/725136000567/image_3ond2kecr92q5el37qpa209010/-FJPG/233093-002_OPN_1.jpg</t>
  </si>
  <si>
    <t>https://dd3ka9h4chfr8.cloudfront.net/image/725136000567/image_fm7dueceol4td0umjpadvk515q/-FJPG/233093-002_TOP_1.jpg</t>
  </si>
  <si>
    <t>https://dd3ka9h4chfr8.cloudfront.net/image/725136000567/image_ej5e5semjh5bv0ovcul6camo0g/-FJPG/233093-002_DET_4.jpg</t>
  </si>
  <si>
    <t>https://dd3ka9h4chfr8.cloudfront.net/image/725136000567/image_hjtvosqnpd1t1agpn3p5qvv41p/-FJPG/233093-001_DET_4.jpg</t>
  </si>
  <si>
    <t>https://dd3ka9h4chfr8.cloudfront.net/image/725136000567/image_44lssbj9bl0ebavjrob75rsf3e/-FJPG/233093-002_DET_5.jpg</t>
  </si>
  <si>
    <t>https://dd3ka9h4chfr8.cloudfront.net/image/725136000567/image_f834v0hbnt2fvao5pf85q3c57i/-FJPG/233093-001_DET_5.jpg</t>
  </si>
  <si>
    <t>https://dd3ka9h4chfr8.cloudfront.net/image/725136000567/image_f14ho24shd2i158rlgcp4ee34b/-FJPG/233093-001_DET_6.jpg</t>
  </si>
  <si>
    <t>https://dd3ka9h4chfr8.cloudfront.net/image/725136000567/image_h7i5cec2rh3tb80nui2g0thp62/-FJPG/233093-002_DET_6.jpg</t>
  </si>
  <si>
    <t>https://dd3ka9h4chfr8.cloudfront.net/image/725136000567/image_f2tgae3uud4pp6dc469bp6t43h/-FJPG/233093-002_DET_7.jpg</t>
  </si>
  <si>
    <t>https://dd3ka9h4chfr8.cloudfront.net/image/725136000567/image_mnh26ljcmd1cp7mve0977d9949/-FJPG/233093-001_DET_7.jpg</t>
  </si>
  <si>
    <t>https://dd3ka9h4chfr8.cloudfront.net/image/725136000567/image_tb6pjp13fp49par01vt8kdur54/-FJPG/233093-001_DET_8.jpg</t>
  </si>
  <si>
    <t>https://dd3ka9h4chfr8.cloudfront.net/image/725136000567/image_09jqvcifs14o9a033f470ue651/-FJPG/233093-002_DET_8.jpg</t>
  </si>
  <si>
    <t>https://dd3ka9h4chfr8.cloudfront.net/image/725136000567/image_r1k4orqa5h33f7kgt5aqjvoq49/-FJPG/233093-002_DET_9.jpg</t>
  </si>
  <si>
    <t>26.18"</t>
  </si>
  <si>
    <t>233093-003</t>
  </si>
  <si>
    <t>Millie Nightstand - Light Bleach Oak Veneer</t>
  </si>
  <si>
    <t>A light-finished oak veneer nightstand brings storage space to the bedside with two roomy drawers.</t>
  </si>
  <si>
    <t>https://dd3ka9h4chfr8.cloudfront.net/image/725136000567/image_nk0sd12pod4b1fb7ck8f95c44l/-S150x150-FJPG/233093-003_PRM_1.jpg</t>
  </si>
  <si>
    <t>https://dd3ka9h4chfr8.cloudfront.net/image/725136000567/image_t4i2j1kk254ghc09cnso6q4j62/-FJPG/233093-003_FRT_1.jpg</t>
  </si>
  <si>
    <t>https://dd3ka9h4chfr8.cloudfront.net/image/725136000567/image_nk0sd12pod4b1fb7ck8f95c44l/-FJPG/233093-003_PRM_1.jpg</t>
  </si>
  <si>
    <t>https://dd3ka9h4chfr8.cloudfront.net/image/725136000567/image_ngmh0i20gp34d5iovl7vtrts00/-FJPG/233093-003_SID_1.jpg</t>
  </si>
  <si>
    <t>https://dd3ka9h4chfr8.cloudfront.net/image/725136000567/image_gnuf4kb0ih4ud5ertvqj3psu7e/-FJPG/233093-003_DET_2.jpg</t>
  </si>
  <si>
    <t>https://dd3ka9h4chfr8.cloudfront.net/image/725136000567/image_bdaimsegg962nekdjun9lmi065/-FJPG/233093-003_BCK_1.jpg</t>
  </si>
  <si>
    <t>https://dd3ka9h4chfr8.cloudfront.net/image/725136000567/image_gmqd5bdlv1223a8p8114rj6l7t/-FJPG/233093-003_DET_1.jpg</t>
  </si>
  <si>
    <t>https://dd3ka9h4chfr8.cloudfront.net/image/725136000567/image_0tjug8m3616bj8jtpvd0l2nn6u/-FJPG/233093-003_DET_3.jpg</t>
  </si>
  <si>
    <t>https://dd3ka9h4chfr8.cloudfront.net/image/725136000567/image_ce05edif6t12l07e65n929bp64/-FJPG/233093-003_OPN_1.jpg</t>
  </si>
  <si>
    <t>https://dd3ka9h4chfr8.cloudfront.net/image/725136000567/image_eqs1p7fg9l5e7e9ouvu1fqq706/-FJPG/233093-003_TOP_1.jpg</t>
  </si>
  <si>
    <t>https://dd3ka9h4chfr8.cloudfront.net/image/725136000567/image_al5hgulde93mtdf51vv9hsft0u/-FJPG/233093-003_DET_4.jpg</t>
  </si>
  <si>
    <t>https://dd3ka9h4chfr8.cloudfront.net/image/725136000567/image_u1n01icav177ra85277qak2s6j/-FJPG/233093-003_DET_5.jpg</t>
  </si>
  <si>
    <t>https://dd3ka9h4chfr8.cloudfront.net/image/725136000567/image_qe57o3gqmd0i1ecjggh38j1u5q/-FJPG/233093-003_DET_6.jpg</t>
  </si>
  <si>
    <t>https://dd3ka9h4chfr8.cloudfront.net/image/725136000567/image_2ca0obub750gv0ade4j75dgp61/-FJPG/233093-003_DET_7.jpg</t>
  </si>
  <si>
    <t>233278-001</t>
  </si>
  <si>
    <t>Fiona 6 Drawer Dresser - Black Raffia</t>
  </si>
  <si>
    <t>Callahan</t>
  </si>
  <si>
    <t>Black Raffia</t>
  </si>
  <si>
    <t>Russet Mahogany</t>
  </si>
  <si>
    <t>Light Antique Brass</t>
  </si>
  <si>
    <t>Woven black raffia offers a texture-driven take on bedroom storage. Antique brass-finished iron hardware adorns six spacious drawers, all supported by a solid mahogany base. This item has been modified to comply with the STURDY Act. See a full list of modified products and data changes in the â€œSTURDY Actâ€ file in the Downloads section below.</t>
  </si>
  <si>
    <t>https://dd3ka9h4chfr8.cloudfront.net/image/725136000567/image_9lnc55k2vl31h7ol459tfvda4s/-S150x150-FJPG/233278-001_PRM_1.jpg</t>
  </si>
  <si>
    <t>https://dd3ka9h4chfr8.cloudfront.net/image/725136000567/image_2felns4l415epbct8tr2c50g54/-FJPG/233278-001_FRT_1.jpg</t>
  </si>
  <si>
    <t>https://dd3ka9h4chfr8.cloudfront.net/image/725136000567/image_9lnc55k2vl31h7ol459tfvda4s/-FJPG/233278-001_PRM_1.jpg</t>
  </si>
  <si>
    <t>https://dd3ka9h4chfr8.cloudfront.net/image/725136000567/image_spe2u9soa14nd72irf6lfelb4c/-FJPG/233278-001_SID_1.jpg</t>
  </si>
  <si>
    <t>https://dd3ka9h4chfr8.cloudfront.net/image/725136000567/image_3brpcobo0l2ub97o3979bsg44m/-FJPG/233278-001_ESS_1.jpg</t>
  </si>
  <si>
    <t>https://dd3ka9h4chfr8.cloudfront.net/image/725136000567/image_skcv18ib6p2gf0sgnqui3uk95f/-FJPG/233278-001_DET_2.jpg</t>
  </si>
  <si>
    <t>https://dd3ka9h4chfr8.cloudfront.net/image/725136000567/image_fimmljh07t0gf2lli6anvolr3l/-FJPG/233278-001_BCK_1.jpg</t>
  </si>
  <si>
    <t>https://dd3ka9h4chfr8.cloudfront.net/image/725136000567/image_ngst7gui2p09pd4v0un0e8g86k/-FJPG/233278-001_DET_1.jpg</t>
  </si>
  <si>
    <t>https://dd3ka9h4chfr8.cloudfront.net/image/725136000567/image_54ln473fo907vaqevuc9maan5q/-FJPG/233278-001_DET_3.jpg</t>
  </si>
  <si>
    <t>https://dd3ka9h4chfr8.cloudfront.net/image/725136000567/image_oa8f21q4d148l9q6qjn3f0u83i/-FJPG/233278-001_OPN_1.jpg</t>
  </si>
  <si>
    <t>https://dd3ka9h4chfr8.cloudfront.net/image/725136000567/image_f1b7phbvsl4bd495hechej5v72/-FJPG/233278-001_DET_4.jpg</t>
  </si>
  <si>
    <t>https://dd3ka9h4chfr8.cloudfront.net/image/725136000567/image_69dkbj3eah1nn247olj0tddg2h/-FJPG/233278-001_DET_5.jpg</t>
  </si>
  <si>
    <t>https://dd3ka9h4chfr8.cloudfront.net/image/725136000567/image_4dhp170oap32l6t1frpie0dt68/-FJPG/233278-001_DET_6.jpg</t>
  </si>
  <si>
    <t>https://dd3ka9h4chfr8.cloudfront.net/image/725136000567/image_pcc5t8fdst181egag6po0re31l/-FJPG/233278-001_DET_7.jpg</t>
  </si>
  <si>
    <t>https://dd3ka9h4chfr8.cloudfront.net/image/725136000567/image_di6rs6dcol4pn2r43obh3oq861/-FJPG/233278-001_DET_8.jpg</t>
  </si>
  <si>
    <t>https://dd3ka9h4chfr8.cloudfront.net/image/725136000567/image_h839h3eint3q12pjpcvv803n1h/-FJPG/233278-001_DET_9.jpg</t>
  </si>
  <si>
    <t>https://dd3ka9h4chfr8.cloudfront.net/image/725136000567/image_77h50lum594s7fhbqd1n1esi2f/-FJPG/233278-001_ESS_2.jpg</t>
  </si>
  <si>
    <t>https://dd3ka9h4chfr8.cloudfront.net/image/725136000567/image_7hpqaaumfp7f98ju83p1o33j61/-FJPG/233278-001_ESS_3.jpg</t>
  </si>
  <si>
    <t>https://dd3ka9h4chfr8.cloudfront.net/image/725136000567/image_j6b6qqgnv56up0f7j8taj65815/-FJPG/233278-001_ESS_4.jpg</t>
  </si>
  <si>
    <t>https://dd3ka9h4chfr8.cloudfront.net/image/725136000567/image_cdlev0ahu130rebthp1lk1ne2a/-FJPG/233278-001_ESS_5.jpg</t>
  </si>
  <si>
    <t>Fiona</t>
  </si>
  <si>
    <t>3.39"</t>
  </si>
  <si>
    <t>27.87"</t>
  </si>
  <si>
    <t>233363-001</t>
  </si>
  <si>
    <t>Tomlin Outdoor End Table - Teak Root</t>
  </si>
  <si>
    <t>Teak Root</t>
  </si>
  <si>
    <t>A unique layering piece â€” indoors or out. Made from laminated teak root with miter joinery, a simply shaped end table offers organic vibes and plenty of natural movement. Tables will vary from piece to piece, reflective of natural materials. Joint expansion may grow visible over time. Cover or store indoors during inclement weather and when not in use.</t>
  </si>
  <si>
    <t>https://dd3ka9h4chfr8.cloudfront.net/image/725136000567/image_q14lutibjd0g52ibee242s7t1k/-S150x150-FJPG/233363-001_PRM_1.jpg</t>
  </si>
  <si>
    <t>https://dd3ka9h4chfr8.cloudfront.net/image/725136000567/image_l02pi0m1ch07n7ovdgbo4sck0d/-FJPG/233363-001_FRT_1.jpg</t>
  </si>
  <si>
    <t>https://dd3ka9h4chfr8.cloudfront.net/image/725136000567/image_q14lutibjd0g52ibee242s7t1k/-FJPG/233363-001_PRM_1.jpg</t>
  </si>
  <si>
    <t>https://dd3ka9h4chfr8.cloudfront.net/image/725136000567/image_7n4auu4val40r6ohn8r2bg7v4b/-FJPG/233363-001_SID_1.jpg</t>
  </si>
  <si>
    <t>https://dd3ka9h4chfr8.cloudfront.net/image/725136000567/image_vh4c9ibqkt2if30i8b63bfc438/-FJPG/233363-001_DET_2.jpg</t>
  </si>
  <si>
    <t>https://dd3ka9h4chfr8.cloudfront.net/image/725136000567/image_cg284du7ed5uj95smv7tjvef2o/-FJPG/233363-001_DET_1.jpg</t>
  </si>
  <si>
    <t>https://dd3ka9h4chfr8.cloudfront.net/image/725136000567/image_f3kvd2qe515jv62iepl0a27552/-FJPG/233363-001_DET_3.jpg</t>
  </si>
  <si>
    <t>https://dd3ka9h4chfr8.cloudfront.net/image/725136000567/image_9jujscoqnp4o996rtjn6k5b75l/-FJPG/233363-001_DET_4.jpg</t>
  </si>
  <si>
    <t>Tomlin</t>
  </si>
  <si>
    <t>233370-001</t>
  </si>
  <si>
    <t>Farrah Chaise Lounge - Merino Cotton</t>
  </si>
  <si>
    <t>Casual and sculpted, high-performance fabric and a pill-shaped chaise take this lounger to the next level.</t>
  </si>
  <si>
    <t>https://dd3ka9h4chfr8.cloudfront.net/image/725136000567/image_353v915jq50r17s3hohvqgde73/-S150x150-FJPG/233370-001_PRM_1.jpg</t>
  </si>
  <si>
    <t>https://dd3ka9h4chfr8.cloudfront.net/image/725136000567/image_5fbqqfhcul6ch8quqfrrovgu3g/-FJPG/233370-001_FRT_1.jpg</t>
  </si>
  <si>
    <t>https://dd3ka9h4chfr8.cloudfront.net/image/725136000567/image_353v915jq50r17s3hohvqgde73/-FJPG/233370-001_PRM_1.jpg</t>
  </si>
  <si>
    <t>https://dd3ka9h4chfr8.cloudfront.net/image/725136000567/image_0ve4jrqvnl6b52880he8nta51r/-FJPG/233370-001_SID_1.jpg</t>
  </si>
  <si>
    <t>https://dd3ka9h4chfr8.cloudfront.net/image/725136000567/image_vem117ltfd7ah07afd2ecovu0m/-FJPG/233370-001_ESS_1.jpg</t>
  </si>
  <si>
    <t>https://dd3ka9h4chfr8.cloudfront.net/image/725136000567/image_svmk9jup4p2fpeuij89d3rnf1i/-FJPG/233370-001_DET_2.jpg</t>
  </si>
  <si>
    <t>https://dd3ka9h4chfr8.cloudfront.net/image/725136000567/image_h501k7tt2h2t71tg2duc837h2p/-FJPG/233370-001_BCK_1.jpg</t>
  </si>
  <si>
    <t>https://dd3ka9h4chfr8.cloudfront.net/image/725136000567/image_d7sc0tv7qh7pf3rci55ub4rv39/-FJPG/233370-001_INF_1.jpg</t>
  </si>
  <si>
    <t>https://dd3ka9h4chfr8.cloudfront.net/image/725136000567/image_gnenpt37vh3jfbrad5boauu54u/-FJPG/233370-001_DET_1.jpg</t>
  </si>
  <si>
    <t>https://dd3ka9h4chfr8.cloudfront.net/image/725136000567/image_ab4k46ia2l0npfh3igi1mlia1t/-FJPG/233370-001_DET_3.jpg</t>
  </si>
  <si>
    <t>https://dd3ka9h4chfr8.cloudfront.net/image/725136000567/image_5gllvoilhd4ff6oltd1chg2e2n/-FJPG/233370-001_DET_4.jpg</t>
  </si>
  <si>
    <t>https://dd3ka9h4chfr8.cloudfront.net/image/725136000567/image_75r34ecq3p5p1a8d97vqkals1k/-FJPG/233370-001_DET_5.jpg</t>
  </si>
  <si>
    <t>https://dd3ka9h4chfr8.cloudfront.net/image/725136000567/image_90rbv3u29t34b4u7ghte40n929/-FJPG/233370-001_DET_6.jpg</t>
  </si>
  <si>
    <t>Farrah</t>
  </si>
  <si>
    <t>233370-006</t>
  </si>
  <si>
    <t>Farrah Chaise Lounge - Surrey Olive</t>
  </si>
  <si>
    <t>In a unique olive hue, a velvety blend of cotton and polyester covers this sculpted pill shape lounger, with a single pillow for added comfort.</t>
  </si>
  <si>
    <t>https://dd3ka9h4chfr8.cloudfront.net/image/725136000567/image_lv0u0c60u11gp7tdc34bfq9f2s/-S150x150-FJPG/233370-006_PRM_1.jpg</t>
  </si>
  <si>
    <t>https://dd3ka9h4chfr8.cloudfront.net/image/725136000567/image_hct2aeuv6p0bh2vpu1pbbkgn0s/-FJPG/233370-006_FRT_1.jpg</t>
  </si>
  <si>
    <t>https://dd3ka9h4chfr8.cloudfront.net/image/725136000567/image_lv0u0c60u11gp7tdc34bfq9f2s/-FJPG/233370-006_PRM_1.jpg</t>
  </si>
  <si>
    <t>https://dd3ka9h4chfr8.cloudfront.net/image/725136000567/image_eanj1i4bsp02tc2abpq96jft0u/-FJPG/233370-006_SID_1.jpg</t>
  </si>
  <si>
    <t>https://dd3ka9h4chfr8.cloudfront.net/image/725136000567/image_4sosa79cn54o55ufi1p1ov5d7m/-FJPG/233370-006_ESS_1.jpg</t>
  </si>
  <si>
    <t>https://dd3ka9h4chfr8.cloudfront.net/image/725136000567/image_e2eap6ooih6alcu4v912b7t43r/-FJPG/233370-006_DET_2.jpg</t>
  </si>
  <si>
    <t>https://dd3ka9h4chfr8.cloudfront.net/image/725136000567/image_k0r4nkhgnl48h276krifss786k/-FJPG/233370-006_BCK_1.jpg</t>
  </si>
  <si>
    <t>https://dd3ka9h4chfr8.cloudfront.net/image/725136000567/image_brf6a8f8ih3qtb9pgf5k6gb85k/-FJPG/233370-006_DET_1.jpg</t>
  </si>
  <si>
    <t>https://dd3ka9h4chfr8.cloudfront.net/image/725136000567/image_qloeqajisl365di5jqkg3kt31d/-FJPG/233370-006_DET_3.jpg</t>
  </si>
  <si>
    <t>https://dd3ka9h4chfr8.cloudfront.net/image/725136000567/image_58ikstv5o15i9auo23ot45tn60/-FJPG/233370-006_DET_4.jpg</t>
  </si>
  <si>
    <t>https://dd3ka9h4chfr8.cloudfront.net/image/725136000567/image_hrd37rvkht4r7egrkvf0ktu85u/-FJPG/233370-006_DET_5.jpg</t>
  </si>
  <si>
    <t>https://dd3ka9h4chfr8.cloudfront.net/image/725136000567/image_603tnsv5u126r3kdconi2ubt2s/-FJPG/233370-006_DET_6.jpg</t>
  </si>
  <si>
    <t>https://dd3ka9h4chfr8.cloudfront.net/image/725136000567/image_r46sj380g10916f283jhjeav5s/-FJPG/233370-006_DET_7.jpg</t>
  </si>
  <si>
    <t>https://dd3ka9h4chfr8.cloudfront.net/image/725136000567/image_q24s1au8o50qtcatagjbhl3p7e/-FJPG/233370-006_DET_8.jpg</t>
  </si>
  <si>
    <t>233370-009</t>
  </si>
  <si>
    <t>Farrah Chaise Lounge - Alcala Fawn</t>
  </si>
  <si>
    <t>https://dd3ka9h4chfr8.cloudfront.net/image/725136000567/image_75qludi2kl1q532drpf7uf3k1f/-S150x150-FJPG/233370-009_PRM_1.jpg</t>
  </si>
  <si>
    <t>https://dd3ka9h4chfr8.cloudfront.net/image/725136000567/image_5l3m9fv11d73d83lhfn9lv9d7v/-FJPG/233370-009_FRT_1.jpg</t>
  </si>
  <si>
    <t>https://dd3ka9h4chfr8.cloudfront.net/image/725136000567/image_75qludi2kl1q532drpf7uf3k1f/-FJPG/233370-009_PRM_1.jpg</t>
  </si>
  <si>
    <t>https://dd3ka9h4chfr8.cloudfront.net/image/725136000567/image_0dso07h1i14pjcfndpfru4bh6c/-FJPG/233370-009_SID_1.jpg</t>
  </si>
  <si>
    <t>https://dd3ka9h4chfr8.cloudfront.net/image/725136000567/image_2183fsvn993j3eb0dj0v73g019/-FJPG/233370-009_ESS_1.jpg</t>
  </si>
  <si>
    <t>https://dd3ka9h4chfr8.cloudfront.net/image/725136000567/image_83dvrbto8d2a1duivq05bj0m78/-FJPG/233370-009_ESS_1.jpg</t>
  </si>
  <si>
    <t>https://dd3ka9h4chfr8.cloudfront.net/image/725136000567/image_g6hlrnea1d6qrercnlhe0m344v/-FJPG/233370-009_DET_2.jpg</t>
  </si>
  <si>
    <t>https://dd3ka9h4chfr8.cloudfront.net/image/725136000567/image_v0l2npuob50kh6v8ljpk86aj59/-FJPG/233370-009_BCK_1.jpg</t>
  </si>
  <si>
    <t>https://dd3ka9h4chfr8.cloudfront.net/image/725136000567/image_as7dmbatst5up26p9tvps26q72/-FJPG/233370-009_DET_1.jpg</t>
  </si>
  <si>
    <t>https://dd3ka9h4chfr8.cloudfront.net/image/725136000567/image_i2a99047793911dsp96aikgs5j/-FJPG/233370-009_DET_3.jpg</t>
  </si>
  <si>
    <t>https://dd3ka9h4chfr8.cloudfront.net/image/725136000567/image_eh8533edf14t5crbh726qj5s73/-FJPG/233370-009_DET_4.jpg</t>
  </si>
  <si>
    <t>https://dd3ka9h4chfr8.cloudfront.net/image/725136000567/image_j8u6ov5b510dt76rj9lr08qr5u/-FJPG/233370-009_DET_5.jpg</t>
  </si>
  <si>
    <t>https://dd3ka9h4chfr8.cloudfront.net/image/725136000567/image_9g0jvc9ek55qb8ogpvgss93j2v/-FJPG/233370-009_DET_6.jpg</t>
  </si>
  <si>
    <t>233370-010</t>
  </si>
  <si>
    <t>Farrah Chaise Lounge - Ingram Ochre</t>
  </si>
  <si>
    <t>Ingram Ochre</t>
  </si>
  <si>
    <t>Velvety, burnt orange polyester covers this sculpted pill shape lounger, with a single pillow for added comfort.</t>
  </si>
  <si>
    <t>https://dd3ka9h4chfr8.cloudfront.net/image/725136000567/image_4htlrac1p110t7evm69prdqs7v/-S150x150-FJPG/233370-010_PRM_1.jpg</t>
  </si>
  <si>
    <t>https://dd3ka9h4chfr8.cloudfront.net/image/725136000567/image_krsl1ic34p1odckhkd4hanub03/-FJPG/233370-010_FRT_1.jpg</t>
  </si>
  <si>
    <t>https://dd3ka9h4chfr8.cloudfront.net/image/725136000567/image_4htlrac1p110t7evm69prdqs7v/-FJPG/233370-010_PRM_1.jpg</t>
  </si>
  <si>
    <t>https://dd3ka9h4chfr8.cloudfront.net/image/725136000567/image_eluirksp4d6o3ci11kbvts4n5t/-FJPG/233370-010_SID_1.jpg</t>
  </si>
  <si>
    <t>https://dd3ka9h4chfr8.cloudfront.net/image/725136000567/image_cr5e36ue0h0l79hg3p9526ov0s/-FJPG/233370-010_ESS.tif</t>
  </si>
  <si>
    <t>https://dd3ka9h4chfr8.cloudfront.net/image/725136000567/image_5g15ui4qv5065de6e9cqkl9m52/-FJPG/233370-010_DET_2.jpg</t>
  </si>
  <si>
    <t>https://dd3ka9h4chfr8.cloudfront.net/image/725136000567/image_hnbr69b5nd75n2gq6of0ggl972/-FJPG/233370-010_BCK_1.jpg</t>
  </si>
  <si>
    <t>https://dd3ka9h4chfr8.cloudfront.net/image/725136000567/image_16pi3olqq90l3ba3t4fa5boq7n/-FJPG/233370-010_DET_1.jpg</t>
  </si>
  <si>
    <t>https://dd3ka9h4chfr8.cloudfront.net/image/725136000567/image_49p76qi7jp5ih572kd84hu0d0f/-FJPG/233370-010_DET_3.jpg</t>
  </si>
  <si>
    <t>https://dd3ka9h4chfr8.cloudfront.net/image/725136000567/image_i1g13cus7p3jh4nmc0kjrjb23u/-FJPG/233370-010_TOP_1.jpg</t>
  </si>
  <si>
    <t>https://dd3ka9h4chfr8.cloudfront.net/image/725136000567/image_pqg3nb51vh5a54h77ag7fs7922/-FJPG/233370-010_DET_4.jpg</t>
  </si>
  <si>
    <t>https://dd3ka9h4chfr8.cloudfront.net/image/725136000567/image_503cg348012bv4qffij87sqa5n/-FJPG/233370-010_DET_5.jpg</t>
  </si>
  <si>
    <t>https://dd3ka9h4chfr8.cloudfront.net/image/725136000567/image_cbmkfdn5ih2gh4ijaafo2gj40c/-FJPG/233370-010_DET_6.jpg</t>
  </si>
  <si>
    <t>https://dd3ka9h4chfr8.cloudfront.net/image/725136000567/image_5j4dpjg9rh42bd49l6dauf3r25/-FJPG/233370-010_DET_7.jpg</t>
  </si>
  <si>
    <t>https://dd3ka9h4chfr8.cloudfront.net/image/725136000567/image_7a51bq2d053bp97itjs97r467m/-FJPG/233370-010_DET_8.jpg</t>
  </si>
  <si>
    <t>https://dd3ka9h4chfr8.cloudfront.net/image/725136000567/image_637ge2mk5t4u531ri72gcfsq37/-FJPG/233370-010_DET_9.tif</t>
  </si>
  <si>
    <t>233422-001</t>
  </si>
  <si>
    <t>Keane Console Table - Reclaimed Natural Elm</t>
  </si>
  <si>
    <t>Reclaimed Natural Elm</t>
  </si>
  <si>
    <t>Natural Elm Veneer</t>
  </si>
  <si>
    <t>Reclaimed Resawn Elm Veneer</t>
  </si>
  <si>
    <t>A study in shape. Handcrafted from solid reclaimed elm with visible knots and graining, chunky arched legs support this clean-styled console.</t>
  </si>
  <si>
    <t>https://dd3ka9h4chfr8.cloudfront.net/image/725136000567/image_6qmg96tpll1ip2p01n8qbi5a2a/-S150x150-FJPG/233422-001_PRM_1.JPG</t>
  </si>
  <si>
    <t>https://dd3ka9h4chfr8.cloudfront.net/image/725136000567/image_irij6h8en55nr71fhlrrv5ak2t/-FJPG/233422-001_FRT_1.jpg</t>
  </si>
  <si>
    <t>https://dd3ka9h4chfr8.cloudfront.net/image/725136000567/image_pibtuo7ult12b73e58gubv2j4a/-FJPG/233422-001_FRT_1.JPG</t>
  </si>
  <si>
    <t>https://dd3ka9h4chfr8.cloudfront.net/image/725136000567/image_6qmg96tpll1ip2p01n8qbi5a2a/-FJPG/233422-001_PRM_1.JPG</t>
  </si>
  <si>
    <t>https://dd3ka9h4chfr8.cloudfront.net/image/725136000567/image_d3kml0qshl16lam6fe50c8ii2t/-FJPG/233422-001_PRM_1.jpg</t>
  </si>
  <si>
    <t>https://dd3ka9h4chfr8.cloudfront.net/image/725136000567/image_41g1j4m9d55k3cc7j543agk17n/-FJPG/233422-001_SID_1.jpg</t>
  </si>
  <si>
    <t>https://dd3ka9h4chfr8.cloudfront.net/image/725136000567/image_j2gli6cgit381cont5i9call5p/-FJPG/233422-001_SID_1.JPG</t>
  </si>
  <si>
    <t>https://dd3ka9h4chfr8.cloudfront.net/image/725136000567/image_upoo22ilqp6ancvetnsrj2el1a/-FJPG/233422-001_ESS.tif</t>
  </si>
  <si>
    <t>https://dd3ka9h4chfr8.cloudfront.net/image/725136000567/image_56b3bdp63t03rc7jsvbsr6e142/-FJPG/233422-001_DET_2.JPG</t>
  </si>
  <si>
    <t>https://dd3ka9h4chfr8.cloudfront.net/image/725136000567/image_3b0ht3nmid13jf6dh2ajmc1832/-FJPG/233422-001_DET_2.jpg</t>
  </si>
  <si>
    <t>https://dd3ka9h4chfr8.cloudfront.net/image/725136000567/image_je84nal0sp16paij6m49vola57/-FJPG/233422-001_DET_1.jpg</t>
  </si>
  <si>
    <t>https://dd3ka9h4chfr8.cloudfront.net/image/725136000567/image_r7htch2iqp4jv0u05qvtfheg1v/-FJPG/233422-001_DET_1.JPG</t>
  </si>
  <si>
    <t>https://dd3ka9h4chfr8.cloudfront.net/image/725136000567/image_8g1ntuokj11hn3ttst1jqngr7q/-FJPG/233422-001_DET_3.jpg</t>
  </si>
  <si>
    <t>https://dd3ka9h4chfr8.cloudfront.net/image/725136000567/image_mcbd7dco1p3ad0kpio351j3809/-FJPG/233422-001_DET_3.JPG</t>
  </si>
  <si>
    <t>https://dd3ka9h4chfr8.cloudfront.net/image/725136000567/image_8efdtmkcl5195bb8u34ro61q3n/-FJPG/233422-001_DET_4.JPG</t>
  </si>
  <si>
    <t>https://dd3ka9h4chfr8.cloudfront.net/image/725136000567/image_gvfeqrac251f123m5luecbpi24/-FJPG/233422-001_DET_5.JPG</t>
  </si>
  <si>
    <t>https://dd3ka9h4chfr8.cloudfront.net/image/725136000567/image_tfcllq0dtd429eadrhp0phsj3i/-FJPG/233422-001_DET_6.JPG</t>
  </si>
  <si>
    <t>Keane</t>
  </si>
  <si>
    <t>43.98"</t>
  </si>
  <si>
    <t>233422-002</t>
  </si>
  <si>
    <t>Keane Console Table - Reclaimed Black Elm</t>
  </si>
  <si>
    <t>Reclaimed Black Elm</t>
  </si>
  <si>
    <t>Black Elm Veneer</t>
  </si>
  <si>
    <t>https://dd3ka9h4chfr8.cloudfront.net/image/725136000567/image_uju69lv0d13rv4eqac5m085g2j/-S150x150-FJPG/233422-002_PRM_1.jpg</t>
  </si>
  <si>
    <t>https://dd3ka9h4chfr8.cloudfront.net/image/725136000567/image_u8h4ada7gl4npbnvl44b88sl66/-FJPG/233422-002_FRT_1.JPG</t>
  </si>
  <si>
    <t>https://dd3ka9h4chfr8.cloudfront.net/image/725136000567/image_2717o9uu3p4mtak6uf4t7ghh7f/-FJPG/233422-002_FRT_1.jpg</t>
  </si>
  <si>
    <t>https://dd3ka9h4chfr8.cloudfront.net/image/725136000567/image_uju69lv0d13rv4eqac5m085g2j/-FJPG/233422-002_PRM_1.jpg</t>
  </si>
  <si>
    <t>https://dd3ka9h4chfr8.cloudfront.net/image/725136000567/image_r22np1hdep37l9oum3pgt0jb6g/-FJPG/233422-002_PRM_1.JPG</t>
  </si>
  <si>
    <t>https://dd3ka9h4chfr8.cloudfront.net/image/725136000567/image_kkpq5ktlap6ev6md6fsjcdf24f/-FJPG/233422-002_SID_1.JPG</t>
  </si>
  <si>
    <t>https://dd3ka9h4chfr8.cloudfront.net/image/725136000567/image_1a4im802ll7il7u76nvp4et125/-FJPG/233422-002_SID_1.jpg</t>
  </si>
  <si>
    <t>https://dd3ka9h4chfr8.cloudfront.net/image/725136000567/image_6iof9k924h0n94ad4tmcmgfb58/-FJPG/233422-002_ESS_1.jpg</t>
  </si>
  <si>
    <t>https://dd3ka9h4chfr8.cloudfront.net/image/725136000567/image_g7soicsv7t7il8bb3l8alf0t7e/-FJPG/233422-002_DET_2.jpg</t>
  </si>
  <si>
    <t>https://dd3ka9h4chfr8.cloudfront.net/image/725136000567/image_mipdq4d3cp4u30ndbi86fikt7g/-FJPG/233422-002_DET_2.JPG</t>
  </si>
  <si>
    <t>https://dd3ka9h4chfr8.cloudfront.net/image/725136000567/image_rp5pkkb77967r9l4cdvca5ml5i/-FJPG/233422-002_DET_1.JPG</t>
  </si>
  <si>
    <t>https://dd3ka9h4chfr8.cloudfront.net/image/725136000567/image_d6dd33mach45vesgstbse7f03r/-FJPG/233422-002_DET_1.jpg</t>
  </si>
  <si>
    <t>https://dd3ka9h4chfr8.cloudfront.net/image/725136000567/image_1nv85gq2ed3gbdo81f2h5pkf4s/-FJPG/233422-002_DET_3.JPG</t>
  </si>
  <si>
    <t>https://dd3ka9h4chfr8.cloudfront.net/image/725136000567/image_glh9efsqn95d9cihn839sn9s5d/-FJPG/233422-002_DET_3.jpg</t>
  </si>
  <si>
    <t>https://dd3ka9h4chfr8.cloudfront.net/image/725136000567/image_iia631sn1t3l7fflbtq1uiqq6b/-FJPG/233422-002_DET_4.jpg</t>
  </si>
  <si>
    <t>https://dd3ka9h4chfr8.cloudfront.net/image/725136000567/image_qt4sntqgfh40l47as7ph6ng54c/-FJPG/233422-002_DET_4.JPG</t>
  </si>
  <si>
    <t>https://dd3ka9h4chfr8.cloudfront.net/image/725136000567/image_un0blginfd5rn3ju0ltrkgcv2q/-FJPG/233422-002_DET_5.jpg</t>
  </si>
  <si>
    <t>https://dd3ka9h4chfr8.cloudfront.net/image/725136000567/image_qjlu9bu8fd09l82j0ee931h01v/-FJPG/233422-002_DET_5.JPG</t>
  </si>
  <si>
    <t>https://dd3ka9h4chfr8.cloudfront.net/image/725136000567/image_99b22ckjop0tb2md15e0lurn2p/-FJPG/233422-002_DET_6.JPG</t>
  </si>
  <si>
    <t>233437-001</t>
  </si>
  <si>
    <t>Fiona Nightstand - Black Raffia</t>
  </si>
  <si>
    <t>Woven black raffia offers a texture-driven take on bedside storage. Antique brass-finished iron hardware adorns dual drawers supported by a solid mahogany base.</t>
  </si>
  <si>
    <t>https://dd3ka9h4chfr8.cloudfront.net/image/725136000567/image_s8qlbcq7m50vb5cl92si9ps648/-S150x150-FJPG/233437-001_PRM_1.jpg</t>
  </si>
  <si>
    <t>https://dd3ka9h4chfr8.cloudfront.net/image/725136000567/image_sat9e1r46l1nt70n2o0f8m0j1f/-FJPG/233437-001_FRT_1.jpg</t>
  </si>
  <si>
    <t>https://dd3ka9h4chfr8.cloudfront.net/image/725136000567/image_s8qlbcq7m50vb5cl92si9ps648/-FJPG/233437-001_PRM_1.jpg</t>
  </si>
  <si>
    <t>https://dd3ka9h4chfr8.cloudfront.net/image/725136000567/image_sn3n56ecth761frhqauois8f40/-FJPG/233437-001_SID_1.jpg</t>
  </si>
  <si>
    <t>https://dd3ka9h4chfr8.cloudfront.net/image/725136000567/image_39i01q0ort5mr0jk9hi2njls2u/-FJPG/233437-001_ESS_1.jpg</t>
  </si>
  <si>
    <t>https://dd3ka9h4chfr8.cloudfront.net/image/725136000567/image_ogssmqn54d7it8s33geen22g5q/-FJPG/233437-001_DET_2.jpg</t>
  </si>
  <si>
    <t>https://dd3ka9h4chfr8.cloudfront.net/image/725136000567/image_csup3eqgqd56f6g48b3tqr9r2o/-FJPG/233437-001_BCK_1.jpg</t>
  </si>
  <si>
    <t>https://dd3ka9h4chfr8.cloudfront.net/image/725136000567/image_lkd7qfg1k14mf19da87kafiv3b/-FJPG/233437-001_DET_1.jpg</t>
  </si>
  <si>
    <t>https://dd3ka9h4chfr8.cloudfront.net/image/725136000567/image_o5dm1pcnfl6ml5u3kq3h0n5c0t/-FJPG/233437-001_DET_3.jpg</t>
  </si>
  <si>
    <t>https://dd3ka9h4chfr8.cloudfront.net/image/725136000567/image_covijcm5tl2or7q8aikcj1c112/-FJPG/233437-001_OPN_1.jpg</t>
  </si>
  <si>
    <t>https://dd3ka9h4chfr8.cloudfront.net/image/725136000567/image_hcvrohr8ud04j5ar32s7aq001s/-FJPG/233437-001_DET_4.jpg</t>
  </si>
  <si>
    <t>https://dd3ka9h4chfr8.cloudfront.net/image/725136000567/image_j29fpsc2p17e9bg4j5akua207n/-FJPG/233437-001_DET_5.jpg</t>
  </si>
  <si>
    <t>https://dd3ka9h4chfr8.cloudfront.net/image/725136000567/image_joj4s8ltq9551308rvelv4a919/-FJPG/233437-001_DET_6.jpg</t>
  </si>
  <si>
    <t>https://dd3ka9h4chfr8.cloudfront.net/image/725136000567/image_irhdnj24ll01pbavm8i6odip37/-FJPG/233437-001_DET_7.jpg</t>
  </si>
  <si>
    <t>https://dd3ka9h4chfr8.cloudfront.net/image/725136000567/image_rqknqn0v9h7rhdhm5qieuef50l/-FJPG/233437-001_DET_8.jpg</t>
  </si>
  <si>
    <t>4.01"</t>
  </si>
  <si>
    <t>233437-002</t>
  </si>
  <si>
    <t>Fiona Nightstand - Ivory Painted Raffia</t>
  </si>
  <si>
    <t>Ivory Painted Raffia</t>
  </si>
  <si>
    <t>https://dd3ka9h4chfr8.cloudfront.net/image/725136000567/image_rmenl2o6eh6hn0r39uah683244/-S150x150-FJPG/233437-002_PRM_1.jpg</t>
  </si>
  <si>
    <t>https://dd3ka9h4chfr8.cloudfront.net/image/725136000567/image_43teafhv693jn442bfguo3834r/-FJPG/233437-002_FRT_1.jpg</t>
  </si>
  <si>
    <t>https://dd3ka9h4chfr8.cloudfront.net/image/725136000567/image_rmenl2o6eh6hn0r39uah683244/-FJPG/233437-002_PRM_1.jpg</t>
  </si>
  <si>
    <t>https://dd3ka9h4chfr8.cloudfront.net/image/725136000567/image_026uvspd9t0u15c9nans0tek2r/-FJPG/233437-002_SID_1.jpg</t>
  </si>
  <si>
    <t>https://dd3ka9h4chfr8.cloudfront.net/image/725136000567/image_2ag13h7pm50uf4g4oobdnl6s21/-FJPG/233437-002_DET_2.jpg</t>
  </si>
  <si>
    <t>https://dd3ka9h4chfr8.cloudfront.net/image/725136000567/image_8hmtkfv3ot2dn9v5jttkc3ii65/-FJPG/233437-002_BCK_1.jpg</t>
  </si>
  <si>
    <t>https://dd3ka9h4chfr8.cloudfront.net/image/725136000567/image_0uubhc0r851hr5kpktllsbi91m/-FJPG/233437-002_DET_1.jpg</t>
  </si>
  <si>
    <t>https://dd3ka9h4chfr8.cloudfront.net/image/725136000567/image_nf2d0flped5urbqmrjr12npr4n/-FJPG/233437-002_DET_3.jpg</t>
  </si>
  <si>
    <t>https://dd3ka9h4chfr8.cloudfront.net/image/725136000567/image_gdoij7a95d5r15f80o4j9npf5n/-FJPG/233437-002_OPN_1.jpg</t>
  </si>
  <si>
    <t>https://dd3ka9h4chfr8.cloudfront.net/image/725136000567/image_gdj4k41nmh43357rtb24619054/-FJPG/233437-002_DET_4.jpg</t>
  </si>
  <si>
    <t>https://dd3ka9h4chfr8.cloudfront.net/image/725136000567/image_ombv3ehnk90gd81pjglte3go14/-FJPG/233437-002_DET_5.jpg</t>
  </si>
  <si>
    <t>https://dd3ka9h4chfr8.cloudfront.net/image/725136000567/image_4lllbcrn29791crvbsrto7mk1p/-FJPG/233437-002_DET_6.jpg</t>
  </si>
  <si>
    <t>https://dd3ka9h4chfr8.cloudfront.net/image/725136000567/image_dqcrnorqbh58hdgcp5kal6qg02/-FJPG/233437-002_DET_7.jpg</t>
  </si>
  <si>
    <t>https://dd3ka9h4chfr8.cloudfront.net/image/725136000567/image_c0kgdp88c14d73agldkled7j1c/-FJPG/233437-002_OPN_2.jpg</t>
  </si>
  <si>
    <t>233438-001</t>
  </si>
  <si>
    <t>Fiona Desk - Black Raffia</t>
  </si>
  <si>
    <t>Solid mahogany and black sugar palm fuse for a complementary material mix. Three drawers keep frequently used desk items within reach.</t>
  </si>
  <si>
    <t>https://dd3ka9h4chfr8.cloudfront.net/image/725136000567/image_mp4p10qktd26p8jfl4jbsgej2f/-S150x150-FJPG/233438-001_PRM_1.jpg</t>
  </si>
  <si>
    <t>https://dd3ka9h4chfr8.cloudfront.net/image/725136000567/image_prj2fkqmvh0bb81g0fnmu46l0c/-FJPG/233438-001_FRT_1.jpg</t>
  </si>
  <si>
    <t>https://dd3ka9h4chfr8.cloudfront.net/image/725136000567/image_mp4p10qktd26p8jfl4jbsgej2f/-FJPG/233438-001_PRM_1.jpg</t>
  </si>
  <si>
    <t>https://dd3ka9h4chfr8.cloudfront.net/image/725136000567/image_u4imuvvqap2tfbji6hinj2946l/-FJPG/233438-001_SID_1.jpg</t>
  </si>
  <si>
    <t>https://dd3ka9h4chfr8.cloudfront.net/image/725136000567/image_f33f6v56e5047frd66t8nfc92e/-FJPG/233438-001_ESS_1.jpg</t>
  </si>
  <si>
    <t>https://dd3ka9h4chfr8.cloudfront.net/image/725136000567/image_uhkf6t033h48bcvl2hnrgpl30e/-FJPG/233438-001_DET_2.jpg</t>
  </si>
  <si>
    <t>https://dd3ka9h4chfr8.cloudfront.net/image/725136000567/image_nq8egckflh7s71b9scak30u03b/-FJPG/233438-001_BCK_1.jpg</t>
  </si>
  <si>
    <t>https://dd3ka9h4chfr8.cloudfront.net/image/725136000567/image_s6p67r75h575t038t6s2ge6s64/-FJPG/233438-001_DET_1.jpg</t>
  </si>
  <si>
    <t>https://dd3ka9h4chfr8.cloudfront.net/image/725136000567/image_2g5vgsutrl3n3dpsr8o4am710q/-FJPG/233438-001_DET_3.jpg</t>
  </si>
  <si>
    <t>https://dd3ka9h4chfr8.cloudfront.net/image/725136000567/image_v4vs30pu2d60r9qr16oin3rl74/-FJPG/233438-001_OPN_1.jpg</t>
  </si>
  <si>
    <t>https://dd3ka9h4chfr8.cloudfront.net/image/725136000567/image_jc0uh2ih2p44ddmdrl95dudl6g/-FJPG/233438-001_DET_4.jpg</t>
  </si>
  <si>
    <t>https://dd3ka9h4chfr8.cloudfront.net/image/725136000567/image_ocqjrd5g8l6h3c8s8cg915ir6h/-FJPG/233438-001_DET_6.jpg</t>
  </si>
  <si>
    <t>https://dd3ka9h4chfr8.cloudfront.net/image/725136000567/image_er65cq64a552378243bl958j3m/-FJPG/233438-001_DET_7.jpg</t>
  </si>
  <si>
    <t>https://dd3ka9h4chfr8.cloudfront.net/image/725136000567/image_d4mkjd7g7t51ja4t5vo2af8s7o/-FJPG/233438-001_DET_8.jpg</t>
  </si>
  <si>
    <t>https://dd3ka9h4chfr8.cloudfront.net/image/725136000567/image_vicj9ph56p22fbp319gr0bln6j/-FJPG/233438-001_DET_9.jpg</t>
  </si>
  <si>
    <t>52.00"</t>
  </si>
  <si>
    <t>23.33"</t>
  </si>
  <si>
    <t>233546-002</t>
  </si>
  <si>
    <t>Gaines Media Console - Aged Light Pine</t>
  </si>
  <si>
    <t>Aged Light Pine</t>
  </si>
  <si>
    <t>A simply shaped media console that's grand in scale. Light waxed pine finished with a distressed look and accented with distressed copper hardware.</t>
  </si>
  <si>
    <t>https://dd3ka9h4chfr8.cloudfront.net/image/725136000567/image_4b0a58uf8l2m35nj7bactakf4t/-S150x150-FJPG/233546-002_PRM_1.jpg</t>
  </si>
  <si>
    <t>https://dd3ka9h4chfr8.cloudfront.net/image/725136000567/image_nipebcvjcp1cr9rl9djn12qb10/-FJPG/233546-002_FRT_1.jpg</t>
  </si>
  <si>
    <t>https://dd3ka9h4chfr8.cloudfront.net/image/725136000567/image_4b0a58uf8l2m35nj7bactakf4t/-FJPG/233546-002_PRM_1.jpg</t>
  </si>
  <si>
    <t>https://dd3ka9h4chfr8.cloudfront.net/image/725136000567/image_9ruc804kv562rc3osvre7caa3e/-FJPG/233546-002_SID_1.jpg</t>
  </si>
  <si>
    <t>https://dd3ka9h4chfr8.cloudfront.net/image/725136000567/image_oqrl8h1cq17q19hsbg2bu2vh7h/-FJPG/233546-002_ESS_1.jpg</t>
  </si>
  <si>
    <t>https://dd3ka9h4chfr8.cloudfront.net/image/725136000567/image_031vov31457d900t7hft58od6a/-FJPG/233546-002_DET_2.jpg</t>
  </si>
  <si>
    <t>https://dd3ka9h4chfr8.cloudfront.net/image/725136000567/image_ccar6nl19l7q7dcsaukp4eq51g/-FJPG/233546-002_BCK_1.jpg</t>
  </si>
  <si>
    <t>https://dd3ka9h4chfr8.cloudfront.net/image/725136000567/image_r0m4m5ir491v35sjfomuq5d875/-FJPG/233546-002_DET_1.jpg</t>
  </si>
  <si>
    <t>https://dd3ka9h4chfr8.cloudfront.net/image/725136000567/image_pi8b4rim3l5rjfbrvo3o8g4l0d/-FJPG/233546-002_DET_3.jpg</t>
  </si>
  <si>
    <t>https://dd3ka9h4chfr8.cloudfront.net/image/725136000567/image_053alff2ql32t03dk0sg8qao4v/-FJPG/233546-002_OPN_1.jpg</t>
  </si>
  <si>
    <t>https://dd3ka9h4chfr8.cloudfront.net/image/725136000567/image_cf97dpdfo91qdef0vd6fmlvn0l/-FJPG/233546-002_DET_4.jpg</t>
  </si>
  <si>
    <t>https://dd3ka9h4chfr8.cloudfront.net/image/725136000567/image_fhb1vl5u815iv64vuclfaqmc15/-FJPG/233546-002_DET_5.jpg</t>
  </si>
  <si>
    <t>https://dd3ka9h4chfr8.cloudfront.net/image/725136000567/image_516p97g5mt7111gq6b37nti264/-FJPG/233546-002_DET_6.jpg</t>
  </si>
  <si>
    <t>https://dd3ka9h4chfr8.cloudfront.net/image/725136000567/image_i60ulr94kd7bjfsc3vl7ijeo29/-FJPG/233546-002_DET_7.jpg</t>
  </si>
  <si>
    <t>https://dd3ka9h4chfr8.cloudfront.net/image/725136000567/image_o6hop0tag932hakiqk2ecv6v1f/-FJPG/233546-002_DET_8.jpg</t>
  </si>
  <si>
    <t>https://dd3ka9h4chfr8.cloudfront.net/image/725136000567/image_qrri38eduh5cl6e2rfgbpk2t4d/-FJPG/233546-002_DET_9.jpg</t>
  </si>
  <si>
    <t>https://dd3ka9h4chfr8.cloudfront.net/image/725136000567/image_k2rfm2d1id6cn1gue59073g83o/-FJPG/233546-002_ROM_1.jpg</t>
  </si>
  <si>
    <t>https://dd3ka9h4chfr8.cloudfront.net/image/725136000567/image_usj288ngpt1id96mco42pr037k/-FJPG/233546-002_OPN_2.jpg</t>
  </si>
  <si>
    <t>Regular Box</t>
  </si>
  <si>
    <t>21.54"</t>
  </si>
  <si>
    <t>Gaines</t>
  </si>
  <si>
    <t>21.38"</t>
  </si>
  <si>
    <t>20.91"</t>
  </si>
  <si>
    <t>233555-001</t>
  </si>
  <si>
    <t>Brisa Round Dining Table 55" - Dune Onyx</t>
  </si>
  <si>
    <t>Dune Onyx</t>
  </si>
  <si>
    <t>Grey Tobacco Oak</t>
  </si>
  <si>
    <t>Onyx</t>
  </si>
  <si>
    <t>A geometric solid oak base supports an onyx tabletop for an earthy, transitional look. Each tabletop is unique with differences in tone, including varied shades and amounts of grey, clear and yellow, plus linear graining reflective of natural materials.</t>
  </si>
  <si>
    <t>https://dd3ka9h4chfr8.cloudfront.net/image/725136000567/image_j5s8mgbpm17bl6ulofnsepj42l/-S150x150-FJPG/233555-001_PRM_1.jpg</t>
  </si>
  <si>
    <t>https://dd3ka9h4chfr8.cloudfront.net/image/725136000567/image_q058eemh9t14376t3krheu0u7g/-FJPG/233555-001_FRT_1.jpg</t>
  </si>
  <si>
    <t>https://dd3ka9h4chfr8.cloudfront.net/image/725136000567/image_j5s8mgbpm17bl6ulofnsepj42l/-FJPG/233555-001_PRM_1.jpg</t>
  </si>
  <si>
    <t>https://dd3ka9h4chfr8.cloudfront.net/image/725136000567/image_7ubjjrbbcp0al7inhr3jq81508/-FJPG/231882-007_ESS_1.jpg</t>
  </si>
  <si>
    <t>https://dd3ka9h4chfr8.cloudfront.net/image/725136000567/image_47bg9mo6bd2s92cvddn1o8ta12/-FJPG/233555-001_ESS_1.jpg</t>
  </si>
  <si>
    <t>https://dd3ka9h4chfr8.cloudfront.net/image/725136000567/image_ev8cc2bgel7h7ddilci935fp7t/-FJPG/233555-001_DET_2.jpg</t>
  </si>
  <si>
    <t>https://dd3ka9h4chfr8.cloudfront.net/image/725136000567/image_149728n5al4u945d0gc1mb3s78/-FJPG/233555-001_DET_1.jpg</t>
  </si>
  <si>
    <t>https://dd3ka9h4chfr8.cloudfront.net/image/725136000567/image_t7l02mgmal5c155j0k0dnfmt78/-FJPG/233555-001_DET_3.jpg</t>
  </si>
  <si>
    <t>https://dd3ka9h4chfr8.cloudfront.net/image/725136000567/image_mtfffb3t9532ldibv75ftoej6p/-FJPG/233555-001_DET_4.jpg</t>
  </si>
  <si>
    <t>https://dd3ka9h4chfr8.cloudfront.net/image/725136000567/image_mmc8748ilt4kl8eea5ntggvr1d/-FJPG/233555-001_DET_5.jpg</t>
  </si>
  <si>
    <t>https://dd3ka9h4chfr8.cloudfront.net/image/725136000567/image_88mmpf7t25165afba9gc8tk514/-FJPG/233555-001_DET_6.jpg</t>
  </si>
  <si>
    <t>https://dd3ka9h4chfr8.cloudfront.net/image/725136000567/image_v1r78qhf4h4050jr8cf345lp4v/-FJPG/233555-001_DET_7.jpg</t>
  </si>
  <si>
    <t>https://dd3ka9h4chfr8.cloudfront.net/image/725136000567/image_1thh4s5l250pra77k4eq18h847/-FJPG/233555-001_DET_8.jpg</t>
  </si>
  <si>
    <t>https://dd3ka9h4chfr8.cloudfront.net/image/725136000567/image_fcgkgt3svl1av5r1ng6evlbs3c/-FJPG/FHMPRJ-007_SCENE_3_V1.tif</t>
  </si>
  <si>
    <t>Brisa</t>
  </si>
  <si>
    <t>233749-001</t>
  </si>
  <si>
    <t>Markia Desk - Aged Oak Veneer</t>
  </si>
  <si>
    <t>Aged Oak Veneer</t>
  </si>
  <si>
    <t>An elegant writing desk of aged oak features turned, cylindrical legs reflective of European antique inspiration.</t>
  </si>
  <si>
    <t>https://dd3ka9h4chfr8.cloudfront.net/image/725136000567/image_0qqraf01hp5pnbjt9j915cc70t/-S150x150-FJPG/233749-001_PRM_1.jpg</t>
  </si>
  <si>
    <t>https://dd3ka9h4chfr8.cloudfront.net/image/725136000567/image_b03tc027h13091e1se6qbi0b3r/-FJPG/233749-001_FRT_1.jpg</t>
  </si>
  <si>
    <t>https://dd3ka9h4chfr8.cloudfront.net/image/725136000567/image_0qqraf01hp5pnbjt9j915cc70t/-FJPG/233749-001_PRM_1.jpg</t>
  </si>
  <si>
    <t>https://dd3ka9h4chfr8.cloudfront.net/image/725136000567/image_elf6hlpbl52g74b24m3c8drp1h/-FJPG/233749-001_SID_1.jpg</t>
  </si>
  <si>
    <t>https://dd3ka9h4chfr8.cloudfront.net/image/725136000567/image_k2p2o91aq13cv19vrbc8krph3v/-FJPG/233749-001_ESS_1.tif</t>
  </si>
  <si>
    <t>https://dd3ka9h4chfr8.cloudfront.net/image/725136000567/image_gdkj09jr6t3un78hqhn39thh31/-FJPG/233749-001_DET_2.jpg</t>
  </si>
  <si>
    <t>https://dd3ka9h4chfr8.cloudfront.net/image/725136000567/image_sk1qd8bd1h4gj7emr2ubklpp13/-FJPG/233749-001_DET_2.tif</t>
  </si>
  <si>
    <t>https://dd3ka9h4chfr8.cloudfront.net/image/725136000567/image_drblcimdg553n90dkf6lkiec4n/-FJPG/233749-001_BCK_1.jpg</t>
  </si>
  <si>
    <t>https://dd3ka9h4chfr8.cloudfront.net/image/725136000567/image_267qmj5ovd1rb2426bg3p4pb1e/-FJPG/233749-001_DET_1.jpg</t>
  </si>
  <si>
    <t>https://dd3ka9h4chfr8.cloudfront.net/image/725136000567/image_c1qnm3otll7a116gipdk37vi47/-FJPG/233749-001_DET_3.jpg</t>
  </si>
  <si>
    <t>https://dd3ka9h4chfr8.cloudfront.net/image/725136000567/image_vshjmffqnp3gv3561l4gsg700u/-FJPG/233749-001_OPN_1.jpg</t>
  </si>
  <si>
    <t>https://dd3ka9h4chfr8.cloudfront.net/image/725136000567/image_jsvbpvde3h3in7jt7ccegpil2l/-FJPG/233749-001_DET_4.jpg</t>
  </si>
  <si>
    <t>https://dd3ka9h4chfr8.cloudfront.net/image/725136000567/image_87erihrcqd4p144tt7o7aigv06/-FJPG/233749-001_DET_5.jpg</t>
  </si>
  <si>
    <t>https://dd3ka9h4chfr8.cloudfront.net/image/725136000567/image_777u6a5jq90ipfpi5c4p47vi6d/-FJPG/233749-001_DET_6.jpg</t>
  </si>
  <si>
    <t>https://dd3ka9h4chfr8.cloudfront.net/image/725136000567/image_elkv4n1p8l155drokgbv8v1b5m/-FJPG/233749-001_DET_7.jpg</t>
  </si>
  <si>
    <t>https://dd3ka9h4chfr8.cloudfront.net/image/725136000567/image_kqalb8kak13qhb9usi8oklbq4a/-FJPG/233749-001_DET_8.jpg</t>
  </si>
  <si>
    <t>https://dd3ka9h4chfr8.cloudfront.net/image/725136000567/image_fjno9ai8v1529890r6gjdkbv51/-FJPG/233749-001_DET_9.jpg</t>
  </si>
  <si>
    <t>7.24"</t>
  </si>
  <si>
    <t>59.65"</t>
  </si>
  <si>
    <t>22.74"</t>
  </si>
  <si>
    <t>233799-001</t>
  </si>
  <si>
    <t>Tomlin Outdoor Bunching Table - Teak Root</t>
  </si>
  <si>
    <t>Outdoor Coffee Tables</t>
  </si>
  <si>
    <t>A unique layering piece â€” indoors or out. Made from laminated teak root with miter joinery, a simply shaped bunching table offers organic vibes and plenty of natural movement. Reflective or natural materials, tables will vary from piece to piece. Joint expansion may grow visible over time. Cover or store indoors during inclement weather and when not in use.</t>
  </si>
  <si>
    <t>https://dd3ka9h4chfr8.cloudfront.net/image/725136000567/image_vnj8u2gpi10stbostg7uvd642t/-S150x150-FJPG/233799-001_PRM_1.jpg</t>
  </si>
  <si>
    <t>https://dd3ka9h4chfr8.cloudfront.net/image/725136000567/image_j8o4t2mt2t6mddhh30ini2e81f/-FJPG/233799-001_FRT_1.jpg</t>
  </si>
  <si>
    <t>https://dd3ka9h4chfr8.cloudfront.net/image/725136000567/image_vnj8u2gpi10stbostg7uvd642t/-FJPG/233799-001_PRM_1.jpg</t>
  </si>
  <si>
    <t>https://dd3ka9h4chfr8.cloudfront.net/image/725136000567/image_8obngvm2q154556h0g84v9fh20/-FJPG/233799-001_SID_1.jpg</t>
  </si>
  <si>
    <t>https://dd3ka9h4chfr8.cloudfront.net/image/725136000567/image_85g2bsc7p51n72t2duno2f5e0b/-FJPG/233799-001_ESS_1.jpg</t>
  </si>
  <si>
    <t>https://dd3ka9h4chfr8.cloudfront.net/image/725136000567/image_1qmgp1pv6d7434aibqb7mlbk6e/-FJPG/233799-001_DET_2.jpg</t>
  </si>
  <si>
    <t>https://dd3ka9h4chfr8.cloudfront.net/image/725136000567/image_ecfo8aiu7p78f4ti3omka0as7i/-FJPG/233799-001_DET_1.jpg</t>
  </si>
  <si>
    <t>https://dd3ka9h4chfr8.cloudfront.net/image/725136000567/image_ihlvvjo12p2ojd9qdqukukqd33/-FJPG/233799-001_DET_3.jpg</t>
  </si>
  <si>
    <t>https://dd3ka9h4chfr8.cloudfront.net/image/725136000567/image_nj8crter7l5ud7rrm9rsbgj57e/-FJPG/233799-001_TOP_1.jpg</t>
  </si>
  <si>
    <t>https://dd3ka9h4chfr8.cloudfront.net/image/725136000567/image_7f6ae0vk0130t32cvhtqghvi0n/-FJPG/233799-001_DET_4.jpg</t>
  </si>
  <si>
    <t>233821-001</t>
  </si>
  <si>
    <t>Wycliffe Chair - Vintage Soft Camel</t>
  </si>
  <si>
    <t>Vintage Soft Camel</t>
  </si>
  <si>
    <t>A statement seat all its own. This regal Parisian club chair is honored with a profound scooped back and rolled arms in classic, lived in tan top-grain leather.</t>
  </si>
  <si>
    <t>https://dd3ka9h4chfr8.cloudfront.net/image/725136000567/image_ulksjj1hn10u52ud3v6rs4kb10/-S150x150-FJPG/233821-001_PRM_1.jpg</t>
  </si>
  <si>
    <t>https://dd3ka9h4chfr8.cloudfront.net/image/725136000567/image_q0gujak2ed66919nte9res8h5q/-FJPG/233821-001_FRT_1.jpg</t>
  </si>
  <si>
    <t>https://dd3ka9h4chfr8.cloudfront.net/image/725136000567/image_ulksjj1hn10u52ud3v6rs4kb10/-FJPG/233821-001_PRM_1.jpg</t>
  </si>
  <si>
    <t>https://dd3ka9h4chfr8.cloudfront.net/image/725136000567/image_qig969roop2jv2fk91kna32t56/-FJPG/233821-001_SID_1.jpg</t>
  </si>
  <si>
    <t>https://dd3ka9h4chfr8.cloudfront.net/image/725136000567/image_4hhk5i66r14mb7es5hm90pu31t/-FJPG/233821-001_ESS_1.jpg</t>
  </si>
  <si>
    <t>https://dd3ka9h4chfr8.cloudfront.net/image/725136000567/image_blmm973jf53j99k1h9hruvpd6t/-FJPG/233821-001_DET_2.jpg</t>
  </si>
  <si>
    <t>https://dd3ka9h4chfr8.cloudfront.net/image/725136000567/image_vfrkt2f7ut4oh02ei4274mke5d/-FJPG/233821-001_BCK_1.jpg</t>
  </si>
  <si>
    <t>https://dd3ka9h4chfr8.cloudfront.net/image/725136000567/image_rki6u85bvl411fflqesuvepj7m/-FJPG/233821-001_DET_1.jpg</t>
  </si>
  <si>
    <t>https://dd3ka9h4chfr8.cloudfront.net/image/725136000567/image_3u77jj9hat3v1eco17vrhdvu3p/-FJPG/233821-001_DET_3.jpg</t>
  </si>
  <si>
    <t>https://dd3ka9h4chfr8.cloudfront.net/image/725136000567/image_714grvn8qd2gd9dbgt8o5o9e08/-FJPG/233821-001_DET_4.jpg</t>
  </si>
  <si>
    <t>https://dd3ka9h4chfr8.cloudfront.net/image/725136000567/image_5e75hp28h15hp9dulvivtqh27d/-FJPG/233821-001_DET_5.jpg</t>
  </si>
  <si>
    <t>https://dd3ka9h4chfr8.cloudfront.net/image/725136000567/image_8h6dkmvc651cde7eubeeh37p0k/-FJPG/233821-001_DET_6.jpg</t>
  </si>
  <si>
    <t>20.08"</t>
  </si>
  <si>
    <t>Wycliffe</t>
  </si>
  <si>
    <t>92% Polyurethane Foam, 8% Fiber</t>
  </si>
  <si>
    <t>233821-002</t>
  </si>
  <si>
    <t>Wycliffe Chair - Harben Ivory</t>
  </si>
  <si>
    <t>Harben Ivory</t>
  </si>
  <si>
    <t>A statement seat all its own. This regal Parisian club chair is honored with a profound scooped back and rolled arms in cozy boucle.</t>
  </si>
  <si>
    <t>https://dd3ka9h4chfr8.cloudfront.net/image/725136000567/image_oubur02dul74770b8e6ak3mg3o/-S150x150-FJPG/233821-002_PRM_1.jpg</t>
  </si>
  <si>
    <t>https://dd3ka9h4chfr8.cloudfront.net/image/725136000567/image_4954dd646h38f0jcln5gsakm6e/-FJPG/233821-002_FRT_1.jpg</t>
  </si>
  <si>
    <t>https://dd3ka9h4chfr8.cloudfront.net/image/725136000567/image_oubur02dul74770b8e6ak3mg3o/-FJPG/233821-002_PRM_1.jpg</t>
  </si>
  <si>
    <t>https://dd3ka9h4chfr8.cloudfront.net/image/725136000567/image_dsbb00ka1h6ut0b38m7c0mdt6s/-FJPG/233821-002_SID_1.jpg</t>
  </si>
  <si>
    <t>https://dd3ka9h4chfr8.cloudfront.net/image/725136000567/image_r5ee0hsr7t4fh6ots9i6s8q37r/-FJPG/233821-002_ESS_1.jpg</t>
  </si>
  <si>
    <t>https://dd3ka9h4chfr8.cloudfront.net/image/725136000567/image_r9vu05bcgh41vcof9ff45sic68/-FJPG/233821-002_DET_2.jpg</t>
  </si>
  <si>
    <t>https://dd3ka9h4chfr8.cloudfront.net/image/725136000567/image_df04irb7vt4r11i36k9hl7ru7r/-FJPG/233821-002_BCK_1.jpg</t>
  </si>
  <si>
    <t>https://dd3ka9h4chfr8.cloudfront.net/image/725136000567/image_mhm522bb0h1r59fpknkeju4t7r/-FJPG/233821-002_DET_1.jpg</t>
  </si>
  <si>
    <t>https://dd3ka9h4chfr8.cloudfront.net/image/725136000567/image_0lcibksk6d2gb6dr2e15p1366e/-FJPG/233821-002_DET_3.jpg</t>
  </si>
  <si>
    <t>https://dd3ka9h4chfr8.cloudfront.net/image/725136000567/image_2ecsu4om413avae1lrk9vpml5u/-FJPG/233821-002_DET_4.jpg</t>
  </si>
  <si>
    <t>https://dd3ka9h4chfr8.cloudfront.net/image/725136000567/image_0bcje2a1h911tb9hmggdp48f7t/-FJPG/233821-002_DET_5.jpg</t>
  </si>
  <si>
    <t>https://dd3ka9h4chfr8.cloudfront.net/image/725136000567/image_33j522o9bp3mtbmd15ad3d4r6p/-FJPG/233821-002_DET_6.jpg</t>
  </si>
  <si>
    <t>233904-005</t>
  </si>
  <si>
    <t>Etro Sideboard - Tawny Pine</t>
  </si>
  <si>
    <t>Tawny Pine</t>
  </si>
  <si>
    <t>Natural Leather</t>
  </si>
  <si>
    <t>Inspired by retro European design, a character-rich media sideboard is made from solid pine, with mortise and tenon joinery spanning its sides. Door pulls of top-grain leather add a textural finishing touch, while three rear cutouts keep cords out of sight.</t>
  </si>
  <si>
    <t>https://dd3ka9h4chfr8.cloudfront.net/image/725136000567/image_qrpm42nn0l26l3t3u4a9k4v224/-S150x150-FJPG/233904-002_PRM_1.jpg</t>
  </si>
  <si>
    <t>https://dd3ka9h4chfr8.cloudfront.net/image/725136000567/image_pt8duqut290dlf9i5agua6mf23/-FJPG/233904-002_FRT_1.jpg</t>
  </si>
  <si>
    <t>https://dd3ka9h4chfr8.cloudfront.net/image/725136000567/image_qrpm42nn0l26l3t3u4a9k4v224/-FJPG/233904-002_PRM_1.jpg</t>
  </si>
  <si>
    <t>https://dd3ka9h4chfr8.cloudfront.net/image/725136000567/image_47l6qdkbh96hl04dlntmpd8u13/-FJPG/233904-002_SID_1.jpg</t>
  </si>
  <si>
    <t>https://dd3ka9h4chfr8.cloudfront.net/image/725136000567/image_89vf0fik2d0et3ql7b3efrhq48/-FJPG/233904-002_ESS_1.jpg</t>
  </si>
  <si>
    <t>https://dd3ka9h4chfr8.cloudfront.net/image/725136000567/image_v4tqbgtbvt4unaqk2u94u4er4k/-FJPG/233904-002_DET_2.jpg</t>
  </si>
  <si>
    <t>https://dd3ka9h4chfr8.cloudfront.net/image/725136000567/image_7i3hc0qgr55jrctp8ofc4ip571/-FJPG/233904-002_BCK_1.jpg</t>
  </si>
  <si>
    <t>https://dd3ka9h4chfr8.cloudfront.net/image/725136000567/image_q5donf2jc14c55qpkif4jrkh18/-FJPG/233904-002_DET_1.jpg</t>
  </si>
  <si>
    <t>https://dd3ka9h4chfr8.cloudfront.net/image/725136000567/image_0cib8ea4493evatjvhhf14k54d/-FJPG/233904-002_DET_3.jpg</t>
  </si>
  <si>
    <t>https://dd3ka9h4chfr8.cloudfront.net/image/725136000567/image_qe52uolicd1319df1dm7s5tc67/-FJPG/233904-002_OPN_1.jpg</t>
  </si>
  <si>
    <t>https://dd3ka9h4chfr8.cloudfront.net/image/725136000567/image_oh91fbar1d6gl5c15aq02fov1p/-FJPG/233904-002_DET_4.jpg</t>
  </si>
  <si>
    <t>https://dd3ka9h4chfr8.cloudfront.net/image/725136000567/image_0u12u7661t5j17rhu7bg05pl70/-FJPG/233904-002_DET_5.jpg</t>
  </si>
  <si>
    <t>https://dd3ka9h4chfr8.cloudfront.net/image/725136000567/image_b3q6ub79e13u303sq79q1cum01/-FJPG/233904-002_DET_6.jpg</t>
  </si>
  <si>
    <t>Etro</t>
  </si>
  <si>
    <t>233931-001</t>
  </si>
  <si>
    <t>Abaso Dining Table - Rustic Wormwood Oak</t>
  </si>
  <si>
    <t>Made from thick-cut oak veneer with a faux rustic finish made to emulate wormwood, this clean-lined dining table features chunky squared legs and dovetail joinery detailing. Seats 10 comfortably.</t>
  </si>
  <si>
    <t>https://dd3ka9h4chfr8.cloudfront.net/image/725136000567/image_1ri089la9p6mv9bcqs9m4iaf5v/-S150x150-FJPG/233931-001_PRM_1.jpg</t>
  </si>
  <si>
    <t>https://dd3ka9h4chfr8.cloudfront.net/image/725136000567/image_uso7ga7ioh2vl4r4vbvqeqev1l/-FJPG/233931-001_FRT_1.jpg</t>
  </si>
  <si>
    <t>https://dd3ka9h4chfr8.cloudfront.net/image/725136000567/image_1ri089la9p6mv9bcqs9m4iaf5v/-FJPG/233931-001_PRM_1.jpg</t>
  </si>
  <si>
    <t>https://dd3ka9h4chfr8.cloudfront.net/image/725136000567/image_m69f04vrud0tv66qfjbafmbf4u/-FJPG/233931-001_SID_1.jpg</t>
  </si>
  <si>
    <t>https://dd3ka9h4chfr8.cloudfront.net/image/725136000567/image_ppr5bedhmt7ll7atgkt29olj7a/-FJPG/233931-001_ESS_1.jpg</t>
  </si>
  <si>
    <t>https://dd3ka9h4chfr8.cloudfront.net/image/725136000567/image_j4pfhibvcd34rdtqg2hh5r8p1k/-FJPG/233931-001_DET_2.jpg</t>
  </si>
  <si>
    <t>https://dd3ka9h4chfr8.cloudfront.net/image/725136000567/image_k0shd0tse13l35op1l46aol079/-FJPG/233931-001_DET_1.jpg</t>
  </si>
  <si>
    <t>https://dd3ka9h4chfr8.cloudfront.net/image/725136000567/image_p3m0m1dfgd1mp7lg6s5t6coc3d/-FJPG/233931-001_DET_4.jpg</t>
  </si>
  <si>
    <t>https://dd3ka9h4chfr8.cloudfront.net/image/725136000567/image_uk8vm7apo11n7dmbj5194cdv1g/-FJPG/233931-001_DET_5.jpg</t>
  </si>
  <si>
    <t>https://dd3ka9h4chfr8.cloudfront.net/image/725136000567/image_gk3mitfomh4075e9m8ctu2ga3l/-FJPG/233931-001_DET_6.jpg</t>
  </si>
  <si>
    <t>26.88"</t>
  </si>
  <si>
    <t>92.75"</t>
  </si>
  <si>
    <t>233931-002</t>
  </si>
  <si>
    <t>Abaso Dining Table - Ebony Rustic Wormwood Oak</t>
  </si>
  <si>
    <t>Made from thick-cut oak veneer with a faux rustic finish made to emulate wormwood oak, this clean-lined dining table features chunky squared legs and dovetail joinery detailing. Seats 10 comfortably.</t>
  </si>
  <si>
    <t>https://dd3ka9h4chfr8.cloudfront.net/image/725136000567/image_ha2fedp0th1nh38ce1djf7gr5u/-S150x150-FJPG/233931-002_PRM_1.jpg</t>
  </si>
  <si>
    <t>https://dd3ka9h4chfr8.cloudfront.net/image/725136000567/image_j9kg9tjo696j996n8tjehpp34a/-FJPG/233931-002_FRT_1.jpg</t>
  </si>
  <si>
    <t>https://dd3ka9h4chfr8.cloudfront.net/image/725136000567/image_ha2fedp0th1nh38ce1djf7gr5u/-FJPG/233931-002_PRM_1.jpg</t>
  </si>
  <si>
    <t>https://dd3ka9h4chfr8.cloudfront.net/image/725136000567/image_nsflja49il645b2cf8pcn0vp6q/-FJPG/233931-002_SID_1.jpg</t>
  </si>
  <si>
    <t>https://dd3ka9h4chfr8.cloudfront.net/image/725136000567/image_7ocj5qajjd7i193qnu4pp9vn74/-FJPG/233931-002_ESS_1.jpg</t>
  </si>
  <si>
    <t>https://dd3ka9h4chfr8.cloudfront.net/image/725136000567/image_oom363pd114339joa63rfums2a/-FJPG/233931-002_DET_2.jpg</t>
  </si>
  <si>
    <t>https://dd3ka9h4chfr8.cloudfront.net/image/725136000567/image_j5quk463m55vrep98kgapf5d37/-FJPG/233931-002_DET_1.jpg</t>
  </si>
  <si>
    <t>https://dd3ka9h4chfr8.cloudfront.net/image/725136000567/image_n0cfj54kkl1hn1qimoftufn45i/-FJPG/233931-002_DET_4.jpg</t>
  </si>
  <si>
    <t>https://dd3ka9h4chfr8.cloudfront.net/image/725136000567/image_7ql55ive9t77ncqnbstfjc875o/-FJPG/233931-002_DET_5.jpg</t>
  </si>
  <si>
    <t>https://dd3ka9h4chfr8.cloudfront.net/image/725136000567/image_vk77lh3npl7lb6lfo2aq80d817/-FJPG/233931-002_DET_6.jpg</t>
  </si>
  <si>
    <t>234020-001</t>
  </si>
  <si>
    <t>Renaud Sideboard - Dark Toasted Oak</t>
  </si>
  <si>
    <t>Dark Toasted Oak</t>
  </si>
  <si>
    <t>Dark Toasted Oak Veneer</t>
  </si>
  <si>
    <t>Dark-toasted solid oak forms a beautifully simple sideboard, with round cutouts in place of hardware for a fun finishing touch.</t>
  </si>
  <si>
    <t>https://dd3ka9h4chfr8.cloudfront.net/image/725136000567/image_ptndbq4o716ffeehmh73ea777m/-S150x150-FJPG/234020-001_PRM_1.jpg</t>
  </si>
  <si>
    <t>https://dd3ka9h4chfr8.cloudfront.net/image/725136000567/image_aq354h8odl4dlc64p9o7qltq79/-FJPG/234020-001_FRT_1.jpg</t>
  </si>
  <si>
    <t>https://dd3ka9h4chfr8.cloudfront.net/image/725136000567/image_ptndbq4o716ffeehmh73ea777m/-FJPG/234020-001_PRM_1.jpg</t>
  </si>
  <si>
    <t>https://dd3ka9h4chfr8.cloudfront.net/image/725136000567/image_3i7uobc8694b5333h7hd370n6l/-FJPG/234020-001_SID_1.jpg</t>
  </si>
  <si>
    <t>https://dd3ka9h4chfr8.cloudfront.net/image/725136000567/image_a9fdek4rk17kn0uda1e0hm8a5d/-FJPG/234020-001_HOV_1.jpg</t>
  </si>
  <si>
    <t>https://dd3ka9h4chfr8.cloudfront.net/image/725136000567/image_74k6l56r410ch1aoi3reo2rp5b/-FJPG/234020-001_HALLOWEEN_ESS.jpg</t>
  </si>
  <si>
    <t>https://dd3ka9h4chfr8.cloudfront.net/image/725136000567/image_tjbl5kloo96evcr2mv0ojrf401/-FJPG/234020-001_DET_2.jpg</t>
  </si>
  <si>
    <t>https://dd3ka9h4chfr8.cloudfront.net/image/725136000567/image_k15dnpfpal38t7mk5umf0m8l1q/-FJPG/234020-001_BCK_1.jpg</t>
  </si>
  <si>
    <t>https://dd3ka9h4chfr8.cloudfront.net/image/725136000567/image_u9qnsrvs4t529b6fd54idai523/-FJPG/234020-001_DET_1.jpg</t>
  </si>
  <si>
    <t>https://dd3ka9h4chfr8.cloudfront.net/image/725136000567/image_4342l4pn5p5nj0q70l2m6ikd4p/-FJPG/234020-001_DET_3.jpg</t>
  </si>
  <si>
    <t>https://dd3ka9h4chfr8.cloudfront.net/image/725136000567/image_hourc9l6n95vt6batui6h77b0t/-FJPG/234020-001_DET_4.jpg</t>
  </si>
  <si>
    <t>https://dd3ka9h4chfr8.cloudfront.net/image/725136000567/image_6e38inr6oh17p3nj9d7j6nug2n/-FJPG/234020-001_DET_5.jpg</t>
  </si>
  <si>
    <t>https://dd3ka9h4chfr8.cloudfront.net/image/725136000567/image_vgt7ece33d4k37ltdt1ik0m21s/-FJPG/234020-001_DET_9.tif</t>
  </si>
  <si>
    <t>https://dd3ka9h4chfr8.cloudfront.net/image/725136000567/image_9p3d8if67p4o7e2go8uv736s63/-FJPG/234020-001_ESS.tif</t>
  </si>
  <si>
    <t>https://dd3ka9h4chfr8.cloudfront.net/image/725136000567/image_br14hncpdd5lb4pjjk0p6dog3o/-FJPG/234020-001_OPN_2.jpg</t>
  </si>
  <si>
    <t>11.61"</t>
  </si>
  <si>
    <t>32.40"</t>
  </si>
  <si>
    <t>Renaud</t>
  </si>
  <si>
    <t>234057-001</t>
  </si>
  <si>
    <t>Kipton 2-Piece Sectional - Gibson Mink</t>
  </si>
  <si>
    <t>Oslo</t>
  </si>
  <si>
    <t>Gibson Mink</t>
  </si>
  <si>
    <t>Sculpted and tailored, with a modern asymmetrical shape. Sectional is upholstered in a rich mink brown performance fabric. Performance fabrics are specially created to withstand spills, stains, high traffic and wear, ensuring long-term comfort and unmatched durability.</t>
  </si>
  <si>
    <t>https://dd3ka9h4chfr8.cloudfront.net/image/725136000567/image_g15eif8hjt5a9cf276814glo1m/-S150x150-FJPG/234057-001_PRM_1.jpg</t>
  </si>
  <si>
    <t>https://dd3ka9h4chfr8.cloudfront.net/image/725136000567/image_2g6u9kdlo10d1aquq1dbr7e77u/-FJPG/234057-001_FRT_1.jpg</t>
  </si>
  <si>
    <t>https://dd3ka9h4chfr8.cloudfront.net/image/725136000567/image_g15eif8hjt5a9cf276814glo1m/-FJPG/234057-001_PRM_1.jpg</t>
  </si>
  <si>
    <t>https://dd3ka9h4chfr8.cloudfront.net/image/725136000567/image_r48sol700d0q1b7eb50finv46j/-FJPG/234057-001_SID_1.jpg</t>
  </si>
  <si>
    <t>https://dd3ka9h4chfr8.cloudfront.net/image/725136000567/image_gst6lu572l73p1hhpieprqhh5v/-FJPG/234057-001_ESS_1.jpg</t>
  </si>
  <si>
    <t>https://dd3ka9h4chfr8.cloudfront.net/image/725136000567/image_1cehb8knhd01b91o2ugce7jo7b/-FJPG/234057-001_DET_2.jpg</t>
  </si>
  <si>
    <t>https://dd3ka9h4chfr8.cloudfront.net/image/725136000567/image_4iu5o9v1lt7t785tqi3ti9dm0t/-FJPG/234057-001_BCK_1.jpg</t>
  </si>
  <si>
    <t>https://dd3ka9h4chfr8.cloudfront.net/image/725136000567/image_8m1hj8og2l3r34uu46oqsdum0i/-FJPG/234057-001_DET_1.jpg</t>
  </si>
  <si>
    <t>https://dd3ka9h4chfr8.cloudfront.net/image/725136000567/image_ev46arus2l5rr8ubgadlqef43k/-FJPG/234057-001_DET_3.jpg</t>
  </si>
  <si>
    <t>https://dd3ka9h4chfr8.cloudfront.net/image/725136000567/image_c9atjdlot16uh1akcuklvlel0d/-FJPG/234057-001_DET_4.jpg</t>
  </si>
  <si>
    <t>https://dd3ka9h4chfr8.cloudfront.net/image/725136000567/image_kuag4jl2ih0ijfqdpc1n75nt0i/-FJPG/234057-001_DET_5.jpg</t>
  </si>
  <si>
    <t>https://dd3ka9h4chfr8.cloudfront.net/image/725136000567/image_edhotdcqhh7v525g1jhq1lpj19/-FJPG/234057-001_DET_6.jpg</t>
  </si>
  <si>
    <t>https://dd3ka9h4chfr8.cloudfront.net/image/725136000567/image_m783341q8t2vr186hbg2o2r26n/-FJPG/234057-001_DET_7.jpg</t>
  </si>
  <si>
    <t>https://dd3ka9h4chfr8.cloudfront.net/image/725136000567/image_e317e4oebt7979mik186jnud2n/-FJPG/234057-001_DET_8.jpg</t>
  </si>
  <si>
    <t>https://dd3ka9h4chfr8.cloudfront.net/image/725136000567/image_uf6ei1dlh11vh3gbjij8equq5o/-FJPG/234057-001_DET_9.jpg</t>
  </si>
  <si>
    <t>https://dd3ka9h4chfr8.cloudfront.net/image/725136000567/image_gjc7si82ed5fh8ajne2268c95d/-FJPG/234057-001_ESS_2.jpg</t>
  </si>
  <si>
    <t>98% Polyurethane Foam Pad, 2% Polyester Padding</t>
  </si>
  <si>
    <t>Kipton</t>
  </si>
  <si>
    <t>234062-003</t>
  </si>
  <si>
    <t>Malmo Sideboard - Aged Natural Oak</t>
  </si>
  <si>
    <t>Aged Natural Oak</t>
  </si>
  <si>
    <t>Aged Natural Oak Veneer</t>
  </si>
  <si>
    <t>A subdued statement piece with midcentury vibes. Aged natural oak doors conceal ample space, complete with shelving for dining storage and more.</t>
  </si>
  <si>
    <t>https://dd3ka9h4chfr8.cloudfront.net/image/725136000567/image_odrp38bkvp4n97l5rnnuie8n5c/-S150x150-FJPG/234062-003_PRM_1.jpg</t>
  </si>
  <si>
    <t>https://dd3ka9h4chfr8.cloudfront.net/image/725136000567/image_pei0eq28ol3jjbvsg3f9a1ie7c/-FJPG/234062-003_FRT_1.jpg</t>
  </si>
  <si>
    <t>https://dd3ka9h4chfr8.cloudfront.net/image/725136000567/image_odrp38bkvp4n97l5rnnuie8n5c/-FJPG/234062-003_PRM_1.jpg</t>
  </si>
  <si>
    <t>https://dd3ka9h4chfr8.cloudfront.net/image/725136000567/image_gg7000ajr15fj4gvq2j3349d6p/-FJPG/234062-003_SID_1.jpg</t>
  </si>
  <si>
    <t>https://dd3ka9h4chfr8.cloudfront.net/image/725136000567/image_lm25lmbsg1133epj6o5435jt7i/-FJPG/234062-003_DET_2.jpg</t>
  </si>
  <si>
    <t>https://dd3ka9h4chfr8.cloudfront.net/image/725136000567/image_ojfunr92kd4ddcip3iuiiulb7m/-FJPG/234062-003_BCK_1.jpg</t>
  </si>
  <si>
    <t>https://dd3ka9h4chfr8.cloudfront.net/image/725136000567/image_loq8ck1u4l4dva259rvdv4la7d/-FJPG/234062-003_DET_1.jpg</t>
  </si>
  <si>
    <t>https://dd3ka9h4chfr8.cloudfront.net/image/725136000567/image_4lb3s4l3mh2st3h39fd7ed325g/-FJPG/234062-003_DET_3.jpg</t>
  </si>
  <si>
    <t>https://dd3ka9h4chfr8.cloudfront.net/image/725136000567/image_s0ca18oe150d1eni7jt43mq107/-FJPG/234062-003_OPN_1.jpg</t>
  </si>
  <si>
    <t>https://dd3ka9h4chfr8.cloudfront.net/image/725136000567/image_8selh0ibrd3rb3aprdacshgu4g/-FJPG/234062-003_TOP_1.jpg</t>
  </si>
  <si>
    <t>https://dd3ka9h4chfr8.cloudfront.net/image/725136000567/image_bpmb1krrjl1c167lp5svnhga2p/-FJPG/234062-003_DET_4.jpg</t>
  </si>
  <si>
    <t>https://dd3ka9h4chfr8.cloudfront.net/image/725136000567/image_535p6hin597f3e1hssmrv11c16/-FJPG/234062-003_DET_5.jpg</t>
  </si>
  <si>
    <t>https://dd3ka9h4chfr8.cloudfront.net/image/725136000567/image_gdd8b5qh8d2rrajfnmr5570f3m/-FJPG/234062-003_DET_6.jpg</t>
  </si>
  <si>
    <t>https://dd3ka9h4chfr8.cloudfront.net/image/725136000567/image_utjv418pmh58ffth31h1mruf73/-FJPG/234062-003_DET_9.tif</t>
  </si>
  <si>
    <t>https://dd3ka9h4chfr8.cloudfront.net/image/725136000567/image_0ib5riiha56un0lm5assipv76e/-FJPG/234062-003_ESS.tif</t>
  </si>
  <si>
    <t>Malmo</t>
  </si>
  <si>
    <t>234067-001</t>
  </si>
  <si>
    <t>Augustine 3-Piece Sectional - Orly Natural</t>
  </si>
  <si>
    <t>A dramatically channeled sofa with textural grey upholstery offers a crisp, clean look inspired by modern menswear. This three-piece sectional is perfectly sized for smaller spaces.</t>
  </si>
  <si>
    <t>https://dd3ka9h4chfr8.cloudfront.net/image/725136000567/image_lome9gvggd0uhemfr93ngrnv5k/-S150x150-FJPG/234067-001_PRM_1.jpg</t>
  </si>
  <si>
    <t>https://dd3ka9h4chfr8.cloudfront.net/image/725136000567/image_atm8pd29rl6bv50lpm9i27da2l/-FJPG/234067-001_FRT_1.jpg</t>
  </si>
  <si>
    <t>https://dd3ka9h4chfr8.cloudfront.net/image/725136000567/image_lome9gvggd0uhemfr93ngrnv5k/-FJPG/234067-001_PRM_1.jpg</t>
  </si>
  <si>
    <t>https://dd3ka9h4chfr8.cloudfront.net/image/725136000567/image_fbksfpnk7p74b1lq578150966s/-FJPG/234067-001_SID_1.jpg</t>
  </si>
  <si>
    <t>https://dd3ka9h4chfr8.cloudfront.net/image/725136000567/image_ebr3jqh5ap7u3e1d8djlbms801/-FJPG/234067-001_ESS_1.jpg</t>
  </si>
  <si>
    <t>https://dd3ka9h4chfr8.cloudfront.net/image/725136000567/image_geqktm1qfh44p64539jr510h2f/-FJPG/234067-001_BCK_1.jpg</t>
  </si>
  <si>
    <t>https://dd3ka9h4chfr8.cloudfront.net/image/725136000567/image_afq7cr59u978p4vsn7tlp53n54/-FJPG/234067-001_TOP_1.jpg</t>
  </si>
  <si>
    <t>Alligator Clip</t>
  </si>
  <si>
    <t>234067-002</t>
  </si>
  <si>
    <t>Augustine 3-Piece Sectional - Dover Crescent</t>
  </si>
  <si>
    <t>A dramatically channeled sofa with white linen-blend upholstery offers a crisp, clean look and sumptuous sit. Three-piece L sectional, perfectly sized for smaller spaces.</t>
  </si>
  <si>
    <t>https://dd3ka9h4chfr8.cloudfront.net/image/725136000567/image_bmb0l5qpj52bb4abdn1bjcvs65/-S150x150-FJPG/234067-002_PRM_1.jpg</t>
  </si>
  <si>
    <t>https://dd3ka9h4chfr8.cloudfront.net/image/725136000567/image_civ2hnlc9h70t1lvunqptcuu65/-FJPG/234067-002_FRT_1.jpg</t>
  </si>
  <si>
    <t>https://dd3ka9h4chfr8.cloudfront.net/image/725136000567/image_bmb0l5qpj52bb4abdn1bjcvs65/-FJPG/234067-002_PRM_1.jpg</t>
  </si>
  <si>
    <t>https://dd3ka9h4chfr8.cloudfront.net/image/725136000567/image_josnse1ahh5gl0u7pok3id1i6q/-FJPG/234067-002_SID_1.jpg</t>
  </si>
  <si>
    <t>https://dd3ka9h4chfr8.cloudfront.net/image/725136000567/image_qi2skrb6g92lhfjqm3v3gfd33j/-FJPG/234067-002_ESS_1.jpg</t>
  </si>
  <si>
    <t>https://dd3ka9h4chfr8.cloudfront.net/image/725136000567/image_oqqmg72e1p22hcruqcjeecjv7p/-FJPG/234067-002_BCK_1.jpg</t>
  </si>
  <si>
    <t>https://dd3ka9h4chfr8.cloudfront.net/image/725136000567/image_m6h7bi1r9d0r75sp0h5agbjb72/-FJPG/234067-002_INF_1.jpg</t>
  </si>
  <si>
    <t>https://dd3ka9h4chfr8.cloudfront.net/image/725136000567/image_kofqu7i76l3kb6fcn60hfm2d2t/-FJPG/234067-002_TOP_1.jpg</t>
  </si>
  <si>
    <t>234067-003</t>
  </si>
  <si>
    <t>Augustine 3-Piece Sectional - Deacon Wolf</t>
  </si>
  <si>
    <t>A dramatically channeled sofa wrapped in dark top-grain leather creates a mature, clean look inspired by modern menswear. This three-piece sectional is perfectly sized for smaller spaces.</t>
  </si>
  <si>
    <t>https://dd3ka9h4chfr8.cloudfront.net/image/725136000567/image_n6jsvnfb0t6b17i2dqvtovtp01/-S150x150-FJPG/234067-003_PRM_1.jpg</t>
  </si>
  <si>
    <t>https://dd3ka9h4chfr8.cloudfront.net/image/725136000567/image_oe9sfom9353894df60fjfrr30d/-FJPG/234067-003_FRT_1.jpg</t>
  </si>
  <si>
    <t>https://dd3ka9h4chfr8.cloudfront.net/image/725136000567/image_n6jsvnfb0t6b17i2dqvtovtp01/-FJPG/234067-003_PRM_1.jpg</t>
  </si>
  <si>
    <t>https://dd3ka9h4chfr8.cloudfront.net/image/725136000567/image_adcnrfndnp5894u87pu7ud0h0g/-FJPG/234067-003_SID_1.jpg</t>
  </si>
  <si>
    <t>https://dd3ka9h4chfr8.cloudfront.net/image/725136000567/image_gv008rihvp45p59e78ba13265h/-FJPG/234067-003_ESS_1.jpg</t>
  </si>
  <si>
    <t>https://dd3ka9h4chfr8.cloudfront.net/image/725136000567/image_70in9hek4l15d33orl0609bn1a/-FJPG/234067-003_BCK_1.jpg</t>
  </si>
  <si>
    <t>https://dd3ka9h4chfr8.cloudfront.net/image/725136000567/image_j545j1bjhp2vv2ug9d55fvv54e/-FJPG/234067-003_TOP_1.jpg</t>
  </si>
  <si>
    <t>234067-004</t>
  </si>
  <si>
    <t>Augustine 3-Piece Sectional - Sapphire Navy</t>
  </si>
  <si>
    <t>Velvety poly-blend seating features heavy channeling and rich navy hue. Three-piece sectional, perfect for lounging and entertaining in smaller-scale spaces.</t>
  </si>
  <si>
    <t>https://dd3ka9h4chfr8.cloudfront.net/image/725136000567/image_mfj98o7t2t0nhen0lavoid5k21/-S150x150-FJPG/234067-004_PRM_1.jpeg</t>
  </si>
  <si>
    <t>https://dd3ka9h4chfr8.cloudfront.net/image/725136000567/image_8l4e2qm5kl2jj8tleljpegie5e/-FJPG/234067-004_FRT_1.jpeg</t>
  </si>
  <si>
    <t>https://dd3ka9h4chfr8.cloudfront.net/image/725136000567/image_j6vljf8q0p4k9d1qj5bkp8356i/-FJPG/234067-004_FRT_1.jpg</t>
  </si>
  <si>
    <t>https://dd3ka9h4chfr8.cloudfront.net/image/725136000567/image_mfj98o7t2t0nhen0lavoid5k21/-FJPG/234067-004_PRM_1.jpeg</t>
  </si>
  <si>
    <t>https://dd3ka9h4chfr8.cloudfront.net/image/725136000567/image_rqan2pfveh3j5abrkuajaq8h58/-FJPG/234067-004_PRM_1.jpg</t>
  </si>
  <si>
    <t>https://dd3ka9h4chfr8.cloudfront.net/image/725136000567/image_ur0pb1iatp2kjbd1lo9el9vl0t/-FJPG/234067-004_SID_1.jpeg</t>
  </si>
  <si>
    <t>https://dd3ka9h4chfr8.cloudfront.net/image/725136000567/image_ni6tc4gj5p7ef3ko4kq9ajh41a/-FJPG/234067-004_SID_1.jpg</t>
  </si>
  <si>
    <t>https://dd3ka9h4chfr8.cloudfront.net/image/725136000567/image_4mgb97rod92ad3ne6s6eglqi77/-FJPG/234067-004_ESS_1.jpg</t>
  </si>
  <si>
    <t>https://dd3ka9h4chfr8.cloudfront.net/image/725136000567/image_qgvaes5dsd1rj618vbnc5lar28/-FJPG/234067-004_BCK_1.jpg</t>
  </si>
  <si>
    <t>https://dd3ka9h4chfr8.cloudfront.net/image/725136000567/image_3cus1buqvp0irdcr26rvo3sa7c/-FJPG/234067-004_BCK_1.jpeg</t>
  </si>
  <si>
    <t>https://dd3ka9h4chfr8.cloudfront.net/image/725136000567/image_tscemi109h7sb0o4gfqa8c7p04/-FJPG/234067-004_TOP_1.jpg</t>
  </si>
  <si>
    <t>https://dd3ka9h4chfr8.cloudfront.net/image/725136000567/image_hodqp24hrl0qp88pgc22p7kr0f/-FJPG/234067-004_TOP_1.jpeg</t>
  </si>
  <si>
    <t>234067-005</t>
  </si>
  <si>
    <t>Augustine 3-Piece Sectional - Palermo Drift</t>
  </si>
  <si>
    <t>A dramatically channeled sofa wrapped in a tan top-grain leather creates a mature, clean look inspired by modern menswear. This three-piece sectional is perfectly sized for smaller spaces.</t>
  </si>
  <si>
    <t>https://dd3ka9h4chfr8.cloudfront.net/image/725136000567/image_bab2ps17s53c90tc5kuffu4e6r/-S150x150-FJPG/234067-005_PRM_1.jpg</t>
  </si>
  <si>
    <t>https://dd3ka9h4chfr8.cloudfront.net/image/725136000567/image_domojqkrgl5735kojdieamvc68/-FJPG/234067-005_FRT_1.jpg</t>
  </si>
  <si>
    <t>https://dd3ka9h4chfr8.cloudfront.net/image/725136000567/image_bab2ps17s53c90tc5kuffu4e6r/-FJPG/234067-005_PRM_1.jpg</t>
  </si>
  <si>
    <t>https://dd3ka9h4chfr8.cloudfront.net/image/725136000567/image_7gima1lvdt59rempt5v3hkpd0b/-FJPG/234067-005_SID_1.jpg</t>
  </si>
  <si>
    <t>https://dd3ka9h4chfr8.cloudfront.net/image/725136000567/image_soq8lva3kt02n7sfsfn81has67/-FJPG/234067-005_ESS_1.jpg</t>
  </si>
  <si>
    <t>https://dd3ka9h4chfr8.cloudfront.net/image/725136000567/image_9lqik2a9j133f3sqtdv3i3gm7r/-FJPG/234067-005_BCK_1.jpg</t>
  </si>
  <si>
    <t>https://dd3ka9h4chfr8.cloudfront.net/image/725136000567/image_e9uvp7c7dl50716n2pcoaqh57n/-FJPG/234067-005_TOP_1.jpg</t>
  </si>
  <si>
    <t>234067-006</t>
  </si>
  <si>
    <t>Augustine 3-Piece Sectional - Crypton Nomad Taupe</t>
  </si>
  <si>
    <t>https://dd3ka9h4chfr8.cloudfront.net/image/725136000567/image_s3lci2oid564d14j2sl131ga4q/-S150x150-FJPG/234067-006_PRM_1.JPG</t>
  </si>
  <si>
    <t>https://dd3ka9h4chfr8.cloudfront.net/image/725136000567/image_vvqg5ns1dp7cb4v4gdoaigdc6d/-FJPG/234067-006_FRT_1.JPG</t>
  </si>
  <si>
    <t>https://dd3ka9h4chfr8.cloudfront.net/image/725136000567/image_s3lci2oid564d14j2sl131ga4q/-FJPG/234067-006_PRM_1.JPG</t>
  </si>
  <si>
    <t>https://dd3ka9h4chfr8.cloudfront.net/image/725136000567/image_l36rcqo22t6o3103sb157h3c2t/-FJPG/234067-006_SID_1.JPG</t>
  </si>
  <si>
    <t>https://dd3ka9h4chfr8.cloudfront.net/image/725136000567/image_is44ttpvvh6ll55vl8ve0lhf20/-FJPG/234067-006_BCK_1.JPG</t>
  </si>
  <si>
    <t>https://dd3ka9h4chfr8.cloudfront.net/image/725136000567/image_3tamlq9bjp0n7a3l6tmphovd0d/-FJPG/234067-006_DET_1.JPG</t>
  </si>
  <si>
    <t>234089-001</t>
  </si>
  <si>
    <t>Macklin Sideboard - Light Mahogany Veneer</t>
  </si>
  <si>
    <t>https://dd3ka9h4chfr8.cloudfront.net/image/725136000567/image_t9fk6i5r9d2ht5bjj5potnvs4j/-S150x150-FJPG/234089-001_PRM_1.jpg</t>
  </si>
  <si>
    <t>https://dd3ka9h4chfr8.cloudfront.net/image/725136000567/image_blsj3tigo53cbaagnhh0pa4s4q/-FJPG/234089-001_FRT_1.jpg</t>
  </si>
  <si>
    <t>https://dd3ka9h4chfr8.cloudfront.net/image/725136000567/image_t9fk6i5r9d2ht5bjj5potnvs4j/-FJPG/234089-001_PRM_1.jpg</t>
  </si>
  <si>
    <t>https://dd3ka9h4chfr8.cloudfront.net/image/725136000567/image_l2p3u2bqa12en42vkd0a7p6r2f/-FJPG/234089-001_SID_1.jpg</t>
  </si>
  <si>
    <t>https://dd3ka9h4chfr8.cloudfront.net/image/725136000567/image_clorot1qtd7r1dgds62dlluj64/-FJPG/234089-001_ESS_1.jpg</t>
  </si>
  <si>
    <t>https://dd3ka9h4chfr8.cloudfront.net/image/725136000567/image_p28pf0jplh0ir53jv5sbfnhq0l/-FJPG/234089-001_DET_2.jpg</t>
  </si>
  <si>
    <t>https://dd3ka9h4chfr8.cloudfront.net/image/725136000567/image_8u1mvpbo012c133htbl0g90e33/-FJPG/234089-001_BCK_1.jpg</t>
  </si>
  <si>
    <t>https://dd3ka9h4chfr8.cloudfront.net/image/725136000567/image_m0e5u4idhp4l1c0oiouo1mvp19/-FJPG/234089-001_DET_1.jpg</t>
  </si>
  <si>
    <t>https://dd3ka9h4chfr8.cloudfront.net/image/725136000567/image_ebagvmss7p301fl99irb8s7h6t/-FJPG/234089-001_DET_3.jpg</t>
  </si>
  <si>
    <t>https://dd3ka9h4chfr8.cloudfront.net/image/725136000567/image_janu8n3t295g546bj70nk3sh2v/-FJPG/234089-001_OPN_1.jpg</t>
  </si>
  <si>
    <t>https://dd3ka9h4chfr8.cloudfront.net/image/725136000567/image_url4j0nggl0ptdhec7483eug1d/-FJPG/234089-001_DET_4.jpg</t>
  </si>
  <si>
    <t>https://dd3ka9h4chfr8.cloudfront.net/image/725136000567/image_5d6e5oq5qp0nn3iiaricmrka3o/-FJPG/234089-001_DET_5.jpg</t>
  </si>
  <si>
    <t>https://dd3ka9h4chfr8.cloudfront.net/image/725136000567/image_bao116p14532h7ibuvef8s1n4g/-FJPG/234089-001_DET_6.jpg</t>
  </si>
  <si>
    <t>https://dd3ka9h4chfr8.cloudfront.net/image/725136000567/image_nq0sd1ep9t0nl8nd3vm8jvf46l/-FJPG/234089-001_DET_7.jpg</t>
  </si>
  <si>
    <t>https://dd3ka9h4chfr8.cloudfront.net/image/725136000567/image_a8kcpjv41926rbesn7q9v3543r/-FJPG/234089-001_DET_8.jpg</t>
  </si>
  <si>
    <t>https://dd3ka9h4chfr8.cloudfront.net/image/725136000567/image_7pcaq351u525fdasr5cvsopf7e/-FJPG/234089-001_DET_9.jpg</t>
  </si>
  <si>
    <t>25.94"</t>
  </si>
  <si>
    <t>Door Scissor</t>
  </si>
  <si>
    <t>234206-001</t>
  </si>
  <si>
    <t>Arturo Media Console - Natural Walnut Veneer</t>
  </si>
  <si>
    <t>With clean lines and plenty of interior storage for media needs, made from walnut veneer with a natural finish. Rear cutout for cord management.</t>
  </si>
  <si>
    <t>https://dd3ka9h4chfr8.cloudfront.net/image/725136000567/image_eo33r1hls50djcl2vssmbrjk0h/-S150x150-FJPG/234206-001_PRM_1.jpg</t>
  </si>
  <si>
    <t>https://dd3ka9h4chfr8.cloudfront.net/image/725136000567/image_2vpind1d0l5cddajrbvlf9ff64/-FJPG/234206-001_FRT_1.jpg</t>
  </si>
  <si>
    <t>https://dd3ka9h4chfr8.cloudfront.net/image/725136000567/image_eo33r1hls50djcl2vssmbrjk0h/-FJPG/234206-001_PRM_1.jpg</t>
  </si>
  <si>
    <t>https://dd3ka9h4chfr8.cloudfront.net/image/725136000567/image_d53i4c1okt6ij4seou55vani7f/-FJPG/234206-001_SID_1.jpg</t>
  </si>
  <si>
    <t>https://dd3ka9h4chfr8.cloudfront.net/image/725136000567/image_dk36cf7eu96g34t822m5lvgd1m/-FJPG/234206-001_DET_2.jpg</t>
  </si>
  <si>
    <t>https://dd3ka9h4chfr8.cloudfront.net/image/725136000567/image_eh9tmmpokt0o926a2fc01oa90e/-FJPG/234206-001_BCK_1.jpg</t>
  </si>
  <si>
    <t>https://dd3ka9h4chfr8.cloudfront.net/image/725136000567/image_98kpjj92kp1fb3i1s8eas2oa0r/-FJPG/234206-001_DET_1.jpg</t>
  </si>
  <si>
    <t>https://dd3ka9h4chfr8.cloudfront.net/image/725136000567/image_sro66h8vrl0vp15p13411ana0o/-FJPG/234206-001_DET_3.jpg</t>
  </si>
  <si>
    <t>https://dd3ka9h4chfr8.cloudfront.net/image/725136000567/image_5ta92gq8g54i142kdttk13so5p/-FJPG/234206-001_OPN_1.jpg</t>
  </si>
  <si>
    <t>https://dd3ka9h4chfr8.cloudfront.net/image/725136000567/image_ovmr9koa9l0sbbbejh4pvshe5e/-FJPG/234206-001_TOP_1.jpg</t>
  </si>
  <si>
    <t>https://dd3ka9h4chfr8.cloudfront.net/image/725136000567/image_dbdob716550q75933cigp2ge2j/-FJPG/234206-001_DET_4.jpg</t>
  </si>
  <si>
    <t>https://dd3ka9h4chfr8.cloudfront.net/image/725136000567/image_ors6r2tvnl08b2398h6e3oe62e/-FJPG/234206-001_DET_5.jpg</t>
  </si>
  <si>
    <t>https://dd3ka9h4chfr8.cloudfront.net/image/725136000567/image_fcrh7ivqpp3e51t6pj31bc6q1h/-FJPG/234206-001_DET_6.jpg</t>
  </si>
  <si>
    <t>https://dd3ka9h4chfr8.cloudfront.net/image/725136000567/image_akhs1jtc8l453eogl7n4q2s40u/-FJPG/234206-001_DET_7.jpg</t>
  </si>
  <si>
    <t>37.87"</t>
  </si>
  <si>
    <t>6.71"</t>
  </si>
  <si>
    <t>17.20"</t>
  </si>
  <si>
    <t>234275-001</t>
  </si>
  <si>
    <t>Fawkes Rectangle Ottoman - Brunswick Pebble</t>
  </si>
  <si>
    <t>Brunswick Pebble</t>
  </si>
  <si>
    <t>89% Polyester</t>
  </si>
  <si>
    <t>11% Acrylic</t>
  </si>
  <si>
    <t>A uniquely modern statement piece inspired by the functional midcentury-style telephone bench, textural white-grey seating features a sliding tray of solid beechwood â€“ the perfect place for enjoying a favorite book or cocktail.</t>
  </si>
  <si>
    <t>https://dd3ka9h4chfr8.cloudfront.net/image/725136000567/image_mv99hns3qh0n95gh2knm9e2k4m/-S150x150-FJPG/234275-001_PRM_1.jpg</t>
  </si>
  <si>
    <t>https://dd3ka9h4chfr8.cloudfront.net/image/725136000567/image_it5a2dj0v11b9epn0slthqqv5h/-FJPG/234275-001_FRT_1.jpg</t>
  </si>
  <si>
    <t>https://dd3ka9h4chfr8.cloudfront.net/image/725136000567/image_mv99hns3qh0n95gh2knm9e2k4m/-FJPG/234275-001_PRM_1.jpg</t>
  </si>
  <si>
    <t>https://dd3ka9h4chfr8.cloudfront.net/image/725136000567/image_kc75cetmm548f7ge6rn5i4kr3a/-FJPG/234275-001_SID_1.jpg</t>
  </si>
  <si>
    <t>https://dd3ka9h4chfr8.cloudfront.net/image/725136000567/image_ei7fsr7as97c7fvu3vcjopeq1i/-FJPG/234275-001_ESS_1.jpg</t>
  </si>
  <si>
    <t>https://dd3ka9h4chfr8.cloudfront.net/image/725136000567/image_l2v68h540d4fpb1bpjj96dea7t/-FJPG/234275-001_DET_2.jpg</t>
  </si>
  <si>
    <t>https://dd3ka9h4chfr8.cloudfront.net/image/725136000567/image_qevju24vs15dn3an5h49sren2o/-FJPG/234275-001_DET_1.jpg</t>
  </si>
  <si>
    <t>https://dd3ka9h4chfr8.cloudfront.net/image/725136000567/image_5giokf09ip0n5fpg4hrl91pn7r/-FJPG/234275-001_DET_3.jpg</t>
  </si>
  <si>
    <t>https://dd3ka9h4chfr8.cloudfront.net/image/725136000567/image_5edh01lkt15nr3525umrh4er61/-FJPG/234275-001_DET_4.jpg</t>
  </si>
  <si>
    <t>https://dd3ka9h4chfr8.cloudfront.net/image/725136000567/image_nq93oice4p5o7blb1s3oef7864/-FJPG/234275-001_DET_5.jpg</t>
  </si>
  <si>
    <t>15.08"</t>
  </si>
  <si>
    <t>32.48"</t>
  </si>
  <si>
    <t>53.15"</t>
  </si>
  <si>
    <t>32.28"</t>
  </si>
  <si>
    <t>234303-004</t>
  </si>
  <si>
    <t>Sheffield Coffee Table - Charcoal Oak Veneer</t>
  </si>
  <si>
    <t>Made from thick, charcoal-finished oak, a rounded coffee table features four legs that pull through to the top, for an intriguing design detail.</t>
  </si>
  <si>
    <t>https://dd3ka9h4chfr8.cloudfront.net/image/725136000567/image_tj0sd5l3td3fb2gu2jusunoh2b/-S150x150-FJPG/234303-004_PRM_1.jpg</t>
  </si>
  <si>
    <t>https://dd3ka9h4chfr8.cloudfront.net/image/725136000567/image_kibsot7b0l0br63kamuev82o1v/-FJPG/234303-004_FRT_1.jpg</t>
  </si>
  <si>
    <t>https://dd3ka9h4chfr8.cloudfront.net/image/725136000567/image_tj0sd5l3td3fb2gu2jusunoh2b/-FJPG/234303-004_PRM_1.jpg</t>
  </si>
  <si>
    <t>https://dd3ka9h4chfr8.cloudfront.net/image/725136000567/image_p6l42co6vt7457vc3d7lcq7a50/-FJPG/234303-004_ESS_1.tif</t>
  </si>
  <si>
    <t>https://dd3ka9h4chfr8.cloudfront.net/image/725136000567/image_5r8u1rep1900j7jpp4ie24gf4q/-FJPG/234303-004_DET_2.jpg</t>
  </si>
  <si>
    <t>https://dd3ka9h4chfr8.cloudfront.net/image/725136000567/image_ac7knsvgnl2atc5eg9ebtt6u3p/-FJPG/234303-004_DET_1.jpg</t>
  </si>
  <si>
    <t>https://dd3ka9h4chfr8.cloudfront.net/image/725136000567/image_nobs07dhsd4sj7mig499h6am6b/-FJPG/234303-004_DET_3.jpg</t>
  </si>
  <si>
    <t>https://dd3ka9h4chfr8.cloudfront.net/image/725136000567/image_itp8973aq97ljdtajp5si7ps1l/-FJPG/234303-004_DET_4.jpg</t>
  </si>
  <si>
    <t>https://dd3ka9h4chfr8.cloudfront.net/image/725136000567/image_pm9grv9c0p16fcrtao3m512g4m/-FJPG/234303-004_DET_5.jpg</t>
  </si>
  <si>
    <t>https://dd3ka9h4chfr8.cloudfront.net/image/725136000567/image_71vhtaajb16rn97prufqfinh7p/-FJPG/234303-004_DET_6.jpg</t>
  </si>
  <si>
    <t>https://dd3ka9h4chfr8.cloudfront.net/image/725136000567/image_2pesv269gl28rb7ccfhb2iee7m/-FJPG/234303-004_DET_9.tif</t>
  </si>
  <si>
    <t>Sheffield</t>
  </si>
  <si>
    <t>21.81"</t>
  </si>
  <si>
    <t>14.84"</t>
  </si>
  <si>
    <t>234303-005</t>
  </si>
  <si>
    <t>Sheffield Coffee Table - Warm Natural Flat Oak Veneer</t>
  </si>
  <si>
    <t>Warm Natural Flat Oak Veneer</t>
  </si>
  <si>
    <t>Made from thick, natural oak, a rounded coffee table features four legs that pull through to the top, for an intriguing design detail.</t>
  </si>
  <si>
    <t>https://dd3ka9h4chfr8.cloudfront.net/image/725136000567/image_7n915cab814fl16e0pjrieuq5r/-S150x150-FJPG/234303-005_PRM_1.jpg</t>
  </si>
  <si>
    <t>https://dd3ka9h4chfr8.cloudfront.net/image/725136000567/image_l0poq734812rpaj66dhhesj75l/-FJPG/234303-005_FRT_1.jpg</t>
  </si>
  <si>
    <t>https://dd3ka9h4chfr8.cloudfront.net/image/725136000567/image_7n915cab814fl16e0pjrieuq5r/-FJPG/234303-005_PRM_1.jpg</t>
  </si>
  <si>
    <t>https://dd3ka9h4chfr8.cloudfront.net/image/725136000567/image_6f1aofekgp15h13trer4abt747/-FJPG/234303-005_ESS_1.tif</t>
  </si>
  <si>
    <t>https://dd3ka9h4chfr8.cloudfront.net/image/725136000567/image_tj7gmirbh97pb9ugebunp5gp53/-FJPG/234303-005_DET_2.jpg</t>
  </si>
  <si>
    <t>https://dd3ka9h4chfr8.cloudfront.net/image/725136000567/image_82pq7616hp7e9fekfascpjf66s/-FJPG/234303-005_DET_1.jpg</t>
  </si>
  <si>
    <t>https://dd3ka9h4chfr8.cloudfront.net/image/725136000567/image_fpnjdijdg117j5ko7ttt63vj4u/-FJPG/234303-005_DET_3.jpg</t>
  </si>
  <si>
    <t>https://dd3ka9h4chfr8.cloudfront.net/image/725136000567/image_p4toqiq3153i7arktslaohfk0m/-FJPG/234303-005_DET_4.jpg</t>
  </si>
  <si>
    <t>https://dd3ka9h4chfr8.cloudfront.net/image/725136000567/image_gqabmjdpdp0gne42vqd7r2ap4p/-FJPG/234303-005_DET_5.jpg</t>
  </si>
  <si>
    <t>https://dd3ka9h4chfr8.cloudfront.net/image/725136000567/image_bqc4admcf54ol6u64sqhaqa41n/-FJPG/234303-005_DET_9.tif</t>
  </si>
  <si>
    <t>https://dd3ka9h4chfr8.cloudfront.net/image/725136000567/image_ogm5ui9vv10u3avra94qamsd1e/-FJPG/234303-005_DET_10.tif</t>
  </si>
  <si>
    <t>234477-001</t>
  </si>
  <si>
    <t>Arturo 6 Drawer Dresser - Natural Walnut Veneer</t>
  </si>
  <si>
    <t>Inspired by campaign-style furniture of the 1800s â€” packable pieces first designed for traveling military use â€” a simply shaped dresser of natural walnut features a subtly inset top and rounded legs, finished with wooden hardware. This item has been modified to comply with the STURDY Act. See a full list of modified products and data changes in the â€œSTURDY Actâ€ file in the Downloads section below.</t>
  </si>
  <si>
    <t>https://dd3ka9h4chfr8.cloudfront.net/image/725136000567/image_fjbid8mect5qd3q1bag349qd2u/-S150x150-FJPG/234477-001_PRM_1.jpg</t>
  </si>
  <si>
    <t>https://dd3ka9h4chfr8.cloudfront.net/image/725136000567/image_97blriktt123h14l8sodhfvd1t/-FJPG/234477-001_FRT_1.jpg</t>
  </si>
  <si>
    <t>https://dd3ka9h4chfr8.cloudfront.net/image/725136000567/image_fjbid8mect5qd3q1bag349qd2u/-FJPG/234477-001_PRM_1.jpg</t>
  </si>
  <si>
    <t>https://dd3ka9h4chfr8.cloudfront.net/image/725136000567/image_bgf002f8vh3ub69d3569h2n35m/-FJPG/234477-001_SID_1.jpg</t>
  </si>
  <si>
    <t>https://dd3ka9h4chfr8.cloudfront.net/image/725136000567/image_d0o87rgn5119nbihb8g82t7c35/-FJPG/234477-001_ESS_1.jpg</t>
  </si>
  <si>
    <t>https://dd3ka9h4chfr8.cloudfront.net/image/725136000567/image_q7of52l5fl4r1e7eihhoigq95o/-FJPG/234477-001_DET_2.jpg</t>
  </si>
  <si>
    <t>https://dd3ka9h4chfr8.cloudfront.net/image/725136000567/image_amkkomsl9d0bnbsedijo5vnh3h/-FJPG/234477-001_BCK_1.jpg</t>
  </si>
  <si>
    <t>https://dd3ka9h4chfr8.cloudfront.net/image/725136000567/image_dau7j5t9j15sb7kr8oroemte7i/-FJPG/234477-001_DET_1.jpg</t>
  </si>
  <si>
    <t>https://dd3ka9h4chfr8.cloudfront.net/image/725136000567/image_v4mblba8sh02713ud1kblohv1k/-FJPG/234477-001_DET_3.jpg</t>
  </si>
  <si>
    <t>https://dd3ka9h4chfr8.cloudfront.net/image/725136000567/image_7u0nrhd1ep0ab1t1580vu1av4d/-FJPG/234477-001_OPN_1.jpg</t>
  </si>
  <si>
    <t>https://dd3ka9h4chfr8.cloudfront.net/image/725136000567/image_132lqm5qj13e7aufrt38me3l6q/-FJPG/234477-001_DET_4.jpg</t>
  </si>
  <si>
    <t>https://dd3ka9h4chfr8.cloudfront.net/image/725136000567/image_jf3kt4fjr501bcbuqrnpn0f805/-FJPG/234477-001_DET_5.jpg</t>
  </si>
  <si>
    <t>https://dd3ka9h4chfr8.cloudfront.net/image/725136000567/image_vujc4invnp3tv7qpc14rfevo0n/-FJPG/234477-001_DET_6.jpg</t>
  </si>
  <si>
    <t>https://dd3ka9h4chfr8.cloudfront.net/image/725136000567/image_kpaesksv7l6pd8sgqfp0cq5a2f/-FJPG/234477-001_DET_7.jpg</t>
  </si>
  <si>
    <t>https://dd3ka9h4chfr8.cloudfront.net/image/725136000567/image_ljdk3l1u357392tvrdnl27m97m/-FJPG/234477-001_DET_8.jpg</t>
  </si>
  <si>
    <t>https://dd3ka9h4chfr8.cloudfront.net/image/725136000567/image_p8otf55od95pf56h81a14shc57/-FJPG/234477-001_DET_9.jpg</t>
  </si>
  <si>
    <t>https://dd3ka9h4chfr8.cloudfront.net/image/725136000567/image_vm7j9rvr5h5bf54tamtr3khd6k/-FJPG/234477-001_DET_10.jpg</t>
  </si>
  <si>
    <t>6d Dresser</t>
  </si>
  <si>
    <t>234479-001</t>
  </si>
  <si>
    <t>Arturo 9 Drawer Dresser - Natural Walnut Veneer</t>
  </si>
  <si>
    <t>https://dd3ka9h4chfr8.cloudfront.net/image/725136000567/image_mkun5139817u16o42je1b7ld5o/-S150x150-FJPG/234479-001_PRM_1.jpg</t>
  </si>
  <si>
    <t>https://dd3ka9h4chfr8.cloudfront.net/image/725136000567/image_iobnf4g7c950v1hgersj7p5c3j/-FJPG/234479-001_FRT_1.jpg</t>
  </si>
  <si>
    <t>https://dd3ka9h4chfr8.cloudfront.net/image/725136000567/image_mkun5139817u16o42je1b7ld5o/-FJPG/234479-001_PRM_1.jpg</t>
  </si>
  <si>
    <t>https://dd3ka9h4chfr8.cloudfront.net/image/725136000567/image_cb61jheai96kd5eb8701un5i1f/-FJPG/234479-001_SID_1.jpg</t>
  </si>
  <si>
    <t>https://dd3ka9h4chfr8.cloudfront.net/image/725136000567/image_opb7d468ct1qb70amlp8l2nc07/-FJPG/234479-001_DET_2.jpg</t>
  </si>
  <si>
    <t>https://dd3ka9h4chfr8.cloudfront.net/image/725136000567/image_bqiq5e7af53pn2urcjc1jgua6q/-FJPG/234479-001_BCK_1.jpg</t>
  </si>
  <si>
    <t>https://dd3ka9h4chfr8.cloudfront.net/image/725136000567/image_tdlof45and26fdha85odhn6b5o/-FJPG/234479-001_DET_1.jpg</t>
  </si>
  <si>
    <t>https://dd3ka9h4chfr8.cloudfront.net/image/725136000567/image_mknpusual15hn360fehmnek62g/-FJPG/234479-001_DET_3.jpg</t>
  </si>
  <si>
    <t>https://dd3ka9h4chfr8.cloudfront.net/image/725136000567/image_vqgrgv04dt7cpfgqpmt139c61p/-FJPG/234479-001_OPN_1.jpg</t>
  </si>
  <si>
    <t>https://dd3ka9h4chfr8.cloudfront.net/image/725136000567/image_476db3fgah6ed609dhmkcbqf49/-FJPG/234479-001_TOP_1.jpg</t>
  </si>
  <si>
    <t>https://dd3ka9h4chfr8.cloudfront.net/image/725136000567/image_dniv16qmsh54jal9vc7fevqj2q/-FJPG/234479-001_DET_4.jpg</t>
  </si>
  <si>
    <t>https://dd3ka9h4chfr8.cloudfront.net/image/725136000567/image_mioj0tr2ot53b4hkbmq28gd97e/-FJPG/234479-001_DET_5.jpg</t>
  </si>
  <si>
    <t>https://dd3ka9h4chfr8.cloudfront.net/image/725136000567/image_42ajor05ah5u19126f59ribr0s/-FJPG/234479-001_DET_6.jpg</t>
  </si>
  <si>
    <t>https://dd3ka9h4chfr8.cloudfront.net/image/725136000567/image_4pf92bbv395bd3023pl03nvk6u/-FJPG/234479-001_DET_7.jpg</t>
  </si>
  <si>
    <t>9d Dresser</t>
  </si>
  <si>
    <t>8.35"</t>
  </si>
  <si>
    <t>5.16"</t>
  </si>
  <si>
    <t>25.01"</t>
  </si>
  <si>
    <t>25.41"</t>
  </si>
  <si>
    <t>234480-001</t>
  </si>
  <si>
    <t>Arturo Nightstand - Natural Walnut Veneer</t>
  </si>
  <si>
    <t>Inspired by campaign-style furniture of the 1800s â€” packable pieces first designed for traveling military use â€” a simply shaped nightstand of natural walnut features a subtly inset top and rounded legs, finished with wooden hardware.</t>
  </si>
  <si>
    <t>https://dd3ka9h4chfr8.cloudfront.net/image/725136000567/image_6oejcj2hu54jva5hq5ab797s0j/-S150x150-FJPG/234480-001_PRM_1.jpg</t>
  </si>
  <si>
    <t>https://dd3ka9h4chfr8.cloudfront.net/image/725136000567/image_g60fu2tia54kb9mm8ng83rij5v/-FJPG/234480-001_FRT_1.jpg</t>
  </si>
  <si>
    <t>https://dd3ka9h4chfr8.cloudfront.net/image/725136000567/image_6oejcj2hu54jva5hq5ab797s0j/-FJPG/234480-001_PRM_1.jpg</t>
  </si>
  <si>
    <t>https://dd3ka9h4chfr8.cloudfront.net/image/725136000567/image_q3rjm1rjlt6c3an25cpobjc94h/-FJPG/234480-001_SID_1.jpg</t>
  </si>
  <si>
    <t>https://dd3ka9h4chfr8.cloudfront.net/image/725136000567/image_g2b0hdjpg96pf6h4bvuir09a0p/-FJPG/234480-001_ESS_1.jpg</t>
  </si>
  <si>
    <t>https://dd3ka9h4chfr8.cloudfront.net/image/725136000567/image_rsoggrmta56h3d1a2aoj7ncr5a/-FJPG/234480-001_ESS_1.tif</t>
  </si>
  <si>
    <t>https://dd3ka9h4chfr8.cloudfront.net/image/725136000567/image_ailnj3462h4qt6veltbhqpve1l/-FJPG/234480-001_DET_2.jpg</t>
  </si>
  <si>
    <t>https://dd3ka9h4chfr8.cloudfront.net/image/725136000567/image_smot2qgmed03rc2sh0dmfkiv67/-FJPG/234480-001_BCK_1.jpg</t>
  </si>
  <si>
    <t>https://dd3ka9h4chfr8.cloudfront.net/image/725136000567/image_joo8gohr292bba2u4im3l8b94a/-FJPG/234480-001_DET_1.jpg</t>
  </si>
  <si>
    <t>https://dd3ka9h4chfr8.cloudfront.net/image/725136000567/image_rj5ri2q28l2cn2vd07pmhqss3q/-FJPG/234480-001_DET_3.jpg</t>
  </si>
  <si>
    <t>https://dd3ka9h4chfr8.cloudfront.net/image/725136000567/image_mm9au0e6ut4u71s7opop0ian32/-FJPG/234480-001_OPN_1.jpg</t>
  </si>
  <si>
    <t>https://dd3ka9h4chfr8.cloudfront.net/image/725136000567/image_fpfljdd91h7vddp0hcc7io3l0g/-FJPG/234480-001_DET_4.jpg</t>
  </si>
  <si>
    <t>https://dd3ka9h4chfr8.cloudfront.net/image/725136000567/image_st4a0d8af95tr2toclg8mra56a/-FJPG/234480-001_DET_5.jpg</t>
  </si>
  <si>
    <t>https://dd3ka9h4chfr8.cloudfront.net/image/725136000567/image_c3rcm2ie8t6d7951u8kscc4r5s/-FJPG/234480-001_DET_6.jpg</t>
  </si>
  <si>
    <t>https://dd3ka9h4chfr8.cloudfront.net/image/725136000567/image_igtt1qo1c5411ejcucd2etv64i/-FJPG/234480-001_DET_7.jpg</t>
  </si>
  <si>
    <t>https://dd3ka9h4chfr8.cloudfront.net/image/725136000567/image_21l1omt1o962fcc0oj6ernro6n/-FJPG/234480-001_DET_8.jpg</t>
  </si>
  <si>
    <t>https://dd3ka9h4chfr8.cloudfront.net/image/725136000567/image_8s3r166pf911j5c8m5ao446l3g/-FJPG/234480-001_ROM_1.jpg</t>
  </si>
  <si>
    <t>12.76"</t>
  </si>
  <si>
    <t>234693-001</t>
  </si>
  <si>
    <t>Kadon Chaise Lounge - Sheepskin Camel</t>
  </si>
  <si>
    <t>Simply classic. A high wing back pairs with softly rolled arms for a curvy look and supportive sit. Tan shearling-like upholstery invites you to kick back and relax.</t>
  </si>
  <si>
    <t>https://dd3ka9h4chfr8.cloudfront.net/image/725136000567/image_qfg0uatro54br2t03t4s3qa204/-S150x150-FJPG/234693-001_PRM_1.jpg</t>
  </si>
  <si>
    <t>https://dd3ka9h4chfr8.cloudfront.net/image/725136000567/image_2t5jtn2c5p5e3514u028teas58/-FJPG/234693-001_FRT_1.jpg</t>
  </si>
  <si>
    <t>https://dd3ka9h4chfr8.cloudfront.net/image/725136000567/image_qfg0uatro54br2t03t4s3qa204/-FJPG/234693-001_PRM_1.jpg</t>
  </si>
  <si>
    <t>https://dd3ka9h4chfr8.cloudfront.net/image/725136000567/image_6nlbr5jak5435d8q4atf1nca3k/-FJPG/234693-001_SID_1.jpg</t>
  </si>
  <si>
    <t>https://dd3ka9h4chfr8.cloudfront.net/image/725136000567/image_s35a4lrgrp4an9rr3cr4igps7u/-FJPG/234693-001_ESS_1.jpg</t>
  </si>
  <si>
    <t>https://dd3ka9h4chfr8.cloudfront.net/image/725136000567/image_briula4rj10n7215ekq34ttl73/-FJPG/234693-001_DET_2.jpg</t>
  </si>
  <si>
    <t>https://dd3ka9h4chfr8.cloudfront.net/image/725136000567/image_915nvmvpop0kd2ucfqr5jmhv6h/-FJPG/234693-001_BCK_1.jpg</t>
  </si>
  <si>
    <t>https://dd3ka9h4chfr8.cloudfront.net/image/725136000567/image_2bn8s6tm410j55rh4hkb682n6l/-FJPG/234693-001_DET_1.jpg</t>
  </si>
  <si>
    <t>https://dd3ka9h4chfr8.cloudfront.net/image/725136000567/image_ossfduap216fpcjm412f6jfk5b/-FJPG/234693-001_DET_3.jpg</t>
  </si>
  <si>
    <t>https://dd3ka9h4chfr8.cloudfront.net/image/725136000567/image_a04d3tgndl6alckb0k0bqqop3i/-FJPG/234693-001_DET_4.jpg</t>
  </si>
  <si>
    <t>https://dd3ka9h4chfr8.cloudfront.net/image/725136000567/image_pn0hsd61fp23b6c4hhrer5430b/-FJPG/234693-001_DET_5.jpg</t>
  </si>
  <si>
    <t>https://dd3ka9h4chfr8.cloudfront.net/image/725136000567/image_vlkinjflll1pr66fehg65e3b60/-FJPG/234693-001_DET_6.jpg</t>
  </si>
  <si>
    <t>Kadon</t>
  </si>
  <si>
    <t>234707-001</t>
  </si>
  <si>
    <t>Aidan Slipcover Bed - Brussels Natural</t>
  </si>
  <si>
    <t>Brussels Natural</t>
  </si>
  <si>
    <t>Crafted for comfort. A low, slipcovered bed features luxurious and sustainably made Belgian linen. Durable and soft to the touch, Libecoâ„¢-sourced linens and linen blends are artisan-made without toxic chemicals. Slipcovered styles are fully removable and machine-washable for easy care.</t>
  </si>
  <si>
    <t>https://dd3ka9h4chfr8.cloudfront.net/image/725136000567/image_5jvha7cv354db57oafkkkovf1m/-S150x150-FJPG/234707-001_PRM_1.jpg</t>
  </si>
  <si>
    <t>https://dd3ka9h4chfr8.cloudfront.net/image/725136000567/image_lhd9gc74r92j99anfpjehfhk39/-FJPG/234707-001_FRT_1.jpg</t>
  </si>
  <si>
    <t>https://dd3ka9h4chfr8.cloudfront.net/image/725136000567/image_5jvha7cv354db57oafkkkovf1m/-FJPG/234707-001_PRM_1.jpg</t>
  </si>
  <si>
    <t>https://dd3ka9h4chfr8.cloudfront.net/image/725136000567/image_936no20vhp5kn5sgt9porgs922/-FJPG/234707-001_SID_1.jpg</t>
  </si>
  <si>
    <t>https://dd3ka9h4chfr8.cloudfront.net/image/725136000567/image_qom9mn4aup6s3b0omfhnjpbm5m/-FJPG/234707-002_ESS_1.jpg</t>
  </si>
  <si>
    <t>https://dd3ka9h4chfr8.cloudfront.net/image/725136000567/image_l6p88spcep7glelauudoadh84u/-FJPG/234707-001_ESS_1.jpg</t>
  </si>
  <si>
    <t>https://dd3ka9h4chfr8.cloudfront.net/image/725136000567/image_7vgl35qn0947teuqdr4rmk302k/-FJPG/234707-001_DET_2.jpg</t>
  </si>
  <si>
    <t>https://dd3ka9h4chfr8.cloudfront.net/image/725136000567/image_9ivq0bfjop39b7ji663lk61n31/-FJPG/234707-001_BCK_1.jpg</t>
  </si>
  <si>
    <t>https://dd3ka9h4chfr8.cloudfront.net/image/725136000567/image_8uq157amb129bbvqf317e91i3h/-FJPG/234707-001_INF_1.jpg</t>
  </si>
  <si>
    <t>https://dd3ka9h4chfr8.cloudfront.net/image/725136000567/image_di0icrt83h4fh5jeohjgj9mo20/-FJPG/234707-001_DET_1.jpg</t>
  </si>
  <si>
    <t>https://dd3ka9h4chfr8.cloudfront.net/image/725136000567/image_ecve6lrji10j19r76n5goh5i0m/-FJPG/234707-001_DET_3.jpg</t>
  </si>
  <si>
    <t>https://dd3ka9h4chfr8.cloudfront.net/image/725136000567/image_g2uirtuuip2b1bg3qdm7q76e0u/-FJPG/234707-001_DET_4.jpg</t>
  </si>
  <si>
    <t>https://dd3ka9h4chfr8.cloudfront.net/image/725136000567/image_gqasroskph0d1calan68stm510/-FJPG/234707-001_DET_7.jpg</t>
  </si>
  <si>
    <t>Cover</t>
  </si>
  <si>
    <t>Side Rails, Center Rails &amp; Hardware</t>
  </si>
  <si>
    <t>Slipcover</t>
  </si>
  <si>
    <t>83.25"</t>
  </si>
  <si>
    <t>84.25"</t>
  </si>
  <si>
    <t>76.75"</t>
  </si>
  <si>
    <t>234707-002</t>
  </si>
  <si>
    <t>https://dd3ka9h4chfr8.cloudfront.net/image/725136000567/image_b7ht4efvcd46lcut0crf5jg32p/-S150x150-FJPG/234707-002_PRM_1.jpg</t>
  </si>
  <si>
    <t>https://dd3ka9h4chfr8.cloudfront.net/image/725136000567/image_liihcqu7o157l3f9vn7loltq4v/-FJPG/234707-002_FRT_1.jpg</t>
  </si>
  <si>
    <t>https://dd3ka9h4chfr8.cloudfront.net/image/725136000567/image_b7ht4efvcd46lcut0crf5jg32p/-FJPG/234707-002_PRM_1.jpg</t>
  </si>
  <si>
    <t>https://dd3ka9h4chfr8.cloudfront.net/image/725136000567/image_t80iaq699t1ht0naq05e89q81s/-FJPG/234707-002_SID_1.jpg</t>
  </si>
  <si>
    <t>https://dd3ka9h4chfr8.cloudfront.net/image/725136000567/image_4cmd5nesmt7ltdpgmfag5etd0v/-FJPG/234707-002_DET_2.jpg</t>
  </si>
  <si>
    <t>https://dd3ka9h4chfr8.cloudfront.net/image/725136000567/image_54ttogb1bd49n84la4q1aitv0n/-FJPG/234707-002_BCK_1.jpg</t>
  </si>
  <si>
    <t>https://dd3ka9h4chfr8.cloudfront.net/image/725136000567/image_pi5664snpt4il6614aqhp46n7t/-FJPG/234707-002_INF_1.jpg</t>
  </si>
  <si>
    <t>https://dd3ka9h4chfr8.cloudfront.net/image/725136000567/image_iaa9t1e1u14f351pf8jv58744i/-FJPG/234707-002_DET_1.jpg</t>
  </si>
  <si>
    <t>https://dd3ka9h4chfr8.cloudfront.net/image/725136000567/image_kjfani5hb96l3a4kv4a6d05e1f/-FJPG/234707-002_DET_3.jpg</t>
  </si>
  <si>
    <t>https://dd3ka9h4chfr8.cloudfront.net/image/725136000567/image_2aefti4knh1m120lhs6ksdqp6n/-FJPG/234707-002_DET_4.jpg</t>
  </si>
  <si>
    <t>https://dd3ka9h4chfr8.cloudfront.net/image/725136000567/image_5c8r99lok57n3bl9ooeru4kk4j/-FJPG/234707-002_ESS_2.jpg</t>
  </si>
  <si>
    <t>67.00"</t>
  </si>
  <si>
    <t>60.50"</t>
  </si>
  <si>
    <t>234707-009</t>
  </si>
  <si>
    <t>Aidan Slipcover Bed - Brussels Coffee</t>
  </si>
  <si>
    <t>Brussels Coffee</t>
  </si>
  <si>
    <t>https://dd3ka9h4chfr8.cloudfront.net/image/725136000567/image_79t28o2upt5q9d7dqujoudka02/-S150x150-FJPG/234707-009_PRM_1.jpg</t>
  </si>
  <si>
    <t>https://dd3ka9h4chfr8.cloudfront.net/image/725136000567/image_ejbb64f60p3bd3k75ag1mv9r1e/-FJPG/234707-009_FRT_1.jpg</t>
  </si>
  <si>
    <t>https://dd3ka9h4chfr8.cloudfront.net/image/725136000567/image_79t28o2upt5q9d7dqujoudka02/-FJPG/234707-009_PRM_1.jpg</t>
  </si>
  <si>
    <t>https://dd3ka9h4chfr8.cloudfront.net/image/725136000567/image_157t2hj8q14mv2bs45v8scv20t/-FJPG/234707-009_SID_1.jpg</t>
  </si>
  <si>
    <t>https://dd3ka9h4chfr8.cloudfront.net/image/725136000567/image_b58qcqhdn91vvcr024v1vn7k28/-FJPG/234707-009_ESS_1.jpg</t>
  </si>
  <si>
    <t>https://dd3ka9h4chfr8.cloudfront.net/image/725136000567/image_07sdi7hpp54ab5bg0bncdkf241/-FJPG/234707-009_DET_2.jpg</t>
  </si>
  <si>
    <t>https://dd3ka9h4chfr8.cloudfront.net/image/725136000567/image_4iv04rr0k5003d0e924ch78d0c/-FJPG/234707-009_BCK_1.jpg</t>
  </si>
  <si>
    <t>https://dd3ka9h4chfr8.cloudfront.net/image/725136000567/image_3arengpa2100pdr9ubjppv2l16/-FJPG/234707-009_INF_1.jpg</t>
  </si>
  <si>
    <t>https://dd3ka9h4chfr8.cloudfront.net/image/725136000567/image_0mu10s7ppd0l10iroeg4k3kf65/-FJPG/234707-009_DET_1.jpg</t>
  </si>
  <si>
    <t>https://dd3ka9h4chfr8.cloudfront.net/image/725136000567/image_mf3o73h58h6ul6hb6ovuunab3a/-FJPG/234707-009_DET_3.jpg</t>
  </si>
  <si>
    <t>https://dd3ka9h4chfr8.cloudfront.net/image/725136000567/image_s9llg8l8dd5699ssfn9ijmhn7o/-FJPG/234707-009_DET_4.jpg</t>
  </si>
  <si>
    <t>https://dd3ka9h4chfr8.cloudfront.net/image/725136000567/image_jqu3vtj6rp4fb9gs7s2aluub51/-FJPG/234707-009_DET_5.jpg</t>
  </si>
  <si>
    <t>https://dd3ka9h4chfr8.cloudfront.net/image/725136000567/image_2ld0kor4od1f15nrmsm2isj14o/-FJPG/234707-009_DET_6.jpg</t>
  </si>
  <si>
    <t>https://dd3ka9h4chfr8.cloudfront.net/image/725136000567/image_32p2cc9ktp1mje7ho91boao14g/-FJPG/234707-009_DET_7.jpg</t>
  </si>
  <si>
    <t>https://dd3ka9h4chfr8.cloudfront.net/image/725136000567/image_cfbc861e110mjcs1iricd2dc1n/-FJPG/234707-009_PRM_2.jpg</t>
  </si>
  <si>
    <t>https://dd3ka9h4chfr8.cloudfront.net/image/725136000567/image_pjj07i85113aj8mt0lrnpfe25t/-FJPG/234707-009_SID_2.jpg</t>
  </si>
  <si>
    <t>https://dd3ka9h4chfr8.cloudfront.net/image/725136000567/image_sl8nb3hdqp79n8rehdtbtr4h68/-FJPG/234707-009_FRT_2.jpg</t>
  </si>
  <si>
    <t>234707-010</t>
  </si>
  <si>
    <t>Crafted for comfort. A low, slipcovered bed features luxurious and sustainably made Belgian Linenâ„¢. Durable and soft to the touch, Libecoâ„¢-sourced linens and linen blends are artisan-made without toxic chemicals. Slipcovered styles are fully removable and machine-washable for easy care.</t>
  </si>
  <si>
    <t>https://dd3ka9h4chfr8.cloudfront.net/image/725136000567/image_cuopkeb0l943lf1cc3kqjr9u0v/-S150x150-FJPG/234707-010_PRM_1.jpg</t>
  </si>
  <si>
    <t>https://dd3ka9h4chfr8.cloudfront.net/image/725136000567/image_au7sn54d0p2j94dlhq79db0d57/-FJPG/234707-010_FRT_1.jpg</t>
  </si>
  <si>
    <t>https://dd3ka9h4chfr8.cloudfront.net/image/725136000567/image_cuopkeb0l943lf1cc3kqjr9u0v/-FJPG/234707-010_PRM_1.jpg</t>
  </si>
  <si>
    <t>https://dd3ka9h4chfr8.cloudfront.net/image/725136000567/image_8qqvaol8jt1cdels9il5bva90b/-FJPG/234707-010_SID_1.jpg</t>
  </si>
  <si>
    <t>https://dd3ka9h4chfr8.cloudfront.net/image/725136000567/image_ko6ufn93ft5nn509r3mcgr3e7p/-FJPG/234707-010_ESS.jpg</t>
  </si>
  <si>
    <t>https://dd3ka9h4chfr8.cloudfront.net/image/725136000567/image_0v10jkq56d39l84nlm1md9ns24/-FJPG/234707-010_ESS_1.jpg</t>
  </si>
  <si>
    <t>https://dd3ka9h4chfr8.cloudfront.net/image/725136000567/image_ds2lrp9h897t3aadm7hvmi8a5m/-FJPG/234707-010_DET_2.jpg</t>
  </si>
  <si>
    <t>https://dd3ka9h4chfr8.cloudfront.net/image/725136000567/image_b8fgtccndl4up2n1u5jqa59k52/-FJPG/234707-010_BCK_1.jpg</t>
  </si>
  <si>
    <t>https://dd3ka9h4chfr8.cloudfront.net/image/725136000567/image_oasu7dkpol3h35i81lmss1fr71/-FJPG/234707-010_INF_1.jpg</t>
  </si>
  <si>
    <t>https://dd3ka9h4chfr8.cloudfront.net/image/725136000567/image_58hml1u95l2j33gor1a9mdgs79/-FJPG/234707-010_DET_1.jpg</t>
  </si>
  <si>
    <t>https://dd3ka9h4chfr8.cloudfront.net/image/725136000567/image_qg4u9f6oi91spdhnd1oam4ia7m/-FJPG/234707-010_DET_3.jpg</t>
  </si>
  <si>
    <t>https://dd3ka9h4chfr8.cloudfront.net/image/725136000567/image_jqd29qcrcp2eheid80lr287070/-FJPG/234707-010_DET_4.jpg</t>
  </si>
  <si>
    <t>https://dd3ka9h4chfr8.cloudfront.net/image/725136000567/image_a0ug230is97vvfd3up9g92867r/-FJPG/234707-010_DET_5.jpg</t>
  </si>
  <si>
    <t>https://dd3ka9h4chfr8.cloudfront.net/image/725136000567/image_nln2nm5rj96ovdu3v4dgn9op1k/-FJPG/234707-010_DET_6.jpg</t>
  </si>
  <si>
    <t>https://dd3ka9h4chfr8.cloudfront.net/image/725136000567/image_jt9vugoqmt6s93vgq2at6gev3a/-FJPG/234707-010_DET_7.jpg</t>
  </si>
  <si>
    <t>https://dd3ka9h4chfr8.cloudfront.net/image/725136000567/image_oop4groj0d6pf1l49v64s8f02u/-FJPG/234707-010_FRT_2.jpg</t>
  </si>
  <si>
    <t>https://dd3ka9h4chfr8.cloudfront.net/image/725136000567/image_am3m2v0p3d5s52o4cko4ivg543/-FJPG/234707-010_PRM_2.jpg</t>
  </si>
  <si>
    <t>https://dd3ka9h4chfr8.cloudfront.net/image/725136000567/image_oo8m9g4r515hf9dv1t743jdu11/-FJPG/234707-010_SID_2.jpg</t>
  </si>
  <si>
    <t>234724-004</t>
  </si>
  <si>
    <t>Etro Media Console - Tawny Pine</t>
  </si>
  <si>
    <t>Inspired by retro European design, a character-rich media console is made from solid pine, with mortise and tenon joinery spanning its sides. Door pulls of top-grain leather add a textural finishing touch, while three rear cutouts keep cords out of sight.</t>
  </si>
  <si>
    <t>https://dd3ka9h4chfr8.cloudfront.net/image/725136000567/image_vthj9tjh456b16a8fbf1s29h58/-S150x150-FJPG/234724-002_PRM_1.jpg</t>
  </si>
  <si>
    <t>https://dd3ka9h4chfr8.cloudfront.net/image/725136000567/image_5bsg2jr6h90eb6u69mrt2hca4f/-FJPG/234724-002_FRT_1.jpg</t>
  </si>
  <si>
    <t>https://dd3ka9h4chfr8.cloudfront.net/image/725136000567/image_vthj9tjh456b16a8fbf1s29h58/-FJPG/234724-002_PRM_1.jpg</t>
  </si>
  <si>
    <t>https://dd3ka9h4chfr8.cloudfront.net/image/725136000567/image_b1kqp794hp6tt0tb28m6nqck14/-FJPG/234724-002_SID_1.jpg</t>
  </si>
  <si>
    <t>https://dd3ka9h4chfr8.cloudfront.net/image/725136000567/image_hg8r98gslt4sdfmoum3la4lf3n/-FJPG/234724-002_ESS.tif</t>
  </si>
  <si>
    <t>https://dd3ka9h4chfr8.cloudfront.net/image/725136000567/image_ga4f233bj51dbbmgvlaf95c621/-FJPG/234724-002_ESS_1.jpg</t>
  </si>
  <si>
    <t>https://dd3ka9h4chfr8.cloudfront.net/image/725136000567/image_fdnsmmj91p7vh6pvbeahuivl40/-FJPG/234724-002_DET_2.jpg</t>
  </si>
  <si>
    <t>https://dd3ka9h4chfr8.cloudfront.net/image/725136000567/image_fis5nfbd1t021ekje84a14o770/-FJPG/234724-002_BCK_1.jpg</t>
  </si>
  <si>
    <t>https://dd3ka9h4chfr8.cloudfront.net/image/725136000567/image_l6grjinrhh1bp58hm0ltkkrb28/-FJPG/234724-002_DET_1.jpg</t>
  </si>
  <si>
    <t>https://dd3ka9h4chfr8.cloudfront.net/image/725136000567/image_vv0d01jnap7jr2e48pv48c0602/-FJPG/234724-002_DET_3.jpg</t>
  </si>
  <si>
    <t>https://dd3ka9h4chfr8.cloudfront.net/image/725136000567/image_86l7bm11lh7jfb0bhnicvli52b/-FJPG/234724-002_OPN_1.jpg</t>
  </si>
  <si>
    <t>https://dd3ka9h4chfr8.cloudfront.net/image/725136000567/image_ier9j867pt7j1aid61p26c2543/-FJPG/234724-002_DET_4.jpg</t>
  </si>
  <si>
    <t>https://dd3ka9h4chfr8.cloudfront.net/image/725136000567/image_960hn7ddat0nje5uilhklodu5s/-FJPG/234724-002_DET_5.jpg</t>
  </si>
  <si>
    <t>https://dd3ka9h4chfr8.cloudfront.net/image/725136000567/image_ui1v63qpvh1m5cv3v878cauv62/-FJPG/234724-002_DET_6.jpg</t>
  </si>
  <si>
    <t>https://dd3ka9h4chfr8.cloudfront.net/image/725136000567/image_ej3uuhi7lp7tt2rmqpf2hdo964/-FJPG/234724-002_DET_7.jpg</t>
  </si>
  <si>
    <t>234728-003</t>
  </si>
  <si>
    <t>Etro Nightstand - Tawny Pine</t>
  </si>
  <si>
    <t>Inspired by retro European design, a character-rich nightstand is made from solid pine, with mortise and tenon joinery spanning its sides. Door pulls of top-grain leather add a textural finishing touch.</t>
  </si>
  <si>
    <t>https://dd3ka9h4chfr8.cloudfront.net/image/725136000567/image_8kfu7q4785377edk9qamo3nn03/-S150x150-FJPG/234728-003_PRM_1.jpg</t>
  </si>
  <si>
    <t>https://dd3ka9h4chfr8.cloudfront.net/image/725136000567/image_cueho7ba4d1ph56vid7ho4uv34/-FJPG/234728-003_FRT_1.jpg</t>
  </si>
  <si>
    <t>https://dd3ka9h4chfr8.cloudfront.net/image/725136000567/image_8kfu7q4785377edk9qamo3nn03/-FJPG/234728-003_PRM_1.jpg</t>
  </si>
  <si>
    <t>https://dd3ka9h4chfr8.cloudfront.net/image/725136000567/image_9au1ddm9cl6lt36cvcebu3qt30/-FJPG/234728-003_SID_1.jpg</t>
  </si>
  <si>
    <t>https://dd3ka9h4chfr8.cloudfront.net/image/725136000567/image_btsmglujjd13f6p4see8lrsi4q/-FJPG/234728-003_ESS.tif</t>
  </si>
  <si>
    <t>https://dd3ka9h4chfr8.cloudfront.net/image/725136000567/image_av7f45nbgt4vdeaii8mkqc8m5s/-FJPG/234728-003_DET_2.jpg</t>
  </si>
  <si>
    <t>https://dd3ka9h4chfr8.cloudfront.net/image/725136000567/image_jco391rf555r37tu27o01mda3t/-FJPG/234728-003_BCK_1.jpg</t>
  </si>
  <si>
    <t>https://dd3ka9h4chfr8.cloudfront.net/image/725136000567/image_sm9kncdg317nr69od2uatcgh0n/-FJPG/234728-003_DET_1.jpg</t>
  </si>
  <si>
    <t>https://dd3ka9h4chfr8.cloudfront.net/image/725136000567/image_81pnv6j3cp6l551tg5gvbur17e/-FJPG/234728-003_DET_3.jpg</t>
  </si>
  <si>
    <t>https://dd3ka9h4chfr8.cloudfront.net/image/725136000567/image_sn0ipp6h3t38h0524j29hirf2a/-FJPG/234728-003_TOP_1.jpg</t>
  </si>
  <si>
    <t>https://dd3ka9h4chfr8.cloudfront.net/image/725136000567/image_59run8bd2p5vv065dm50isvg7a/-FJPG/234728-003_DET_9.tif</t>
  </si>
  <si>
    <t>29.72"</t>
  </si>
  <si>
    <t>13.38"</t>
  </si>
  <si>
    <t>234758-003</t>
  </si>
  <si>
    <t>Kelby Closed Media Console - Vintage Brown</t>
  </si>
  <si>
    <t>Mango wood's unique linear carving highlights texture and true artisanship. A slim iron base adds an airy, cage-like look to clean-lined storage.</t>
  </si>
  <si>
    <t>https://dd3ka9h4chfr8.cloudfront.net/image/725136000567/image_depsc4c95d6hh1teau7f22tp6f/-S150x150-FJPG/234758-003_PRM_1.jpg</t>
  </si>
  <si>
    <t>https://dd3ka9h4chfr8.cloudfront.net/image/725136000567/image_ojcojjnh1h6fhbr1g9jc7kmf43/-FJPG/234758-003_FRT_1.jpg</t>
  </si>
  <si>
    <t>https://dd3ka9h4chfr8.cloudfront.net/image/725136000567/image_depsc4c95d6hh1teau7f22tp6f/-FJPG/234758-003_PRM_1.jpg</t>
  </si>
  <si>
    <t>https://dd3ka9h4chfr8.cloudfront.net/image/725136000567/image_hqghsj6vid72jdemv19im6ip7j/-FJPG/234758-003_SID_1.jpg</t>
  </si>
  <si>
    <t>https://dd3ka9h4chfr8.cloudfront.net/image/725136000567/image_ul425u7t5t3edec98t01ng653q/-FJPG/234758-003_ESS_1.jpg</t>
  </si>
  <si>
    <t>https://dd3ka9h4chfr8.cloudfront.net/image/725136000567/image_8cm2fovrqh2rn1e65md85g8e65/-FJPG/234758-003_DET_2.jpg</t>
  </si>
  <si>
    <t>https://dd3ka9h4chfr8.cloudfront.net/image/725136000567/image_o9gjpdru0t2l3bcfm6cm9j8a3h/-FJPG/234758-003_BCK_1.jpg</t>
  </si>
  <si>
    <t>https://dd3ka9h4chfr8.cloudfront.net/image/725136000567/image_664ctnj8ap74t1r2ac0tnl0039/-FJPG/234758-003_DET_1.jpg</t>
  </si>
  <si>
    <t>https://dd3ka9h4chfr8.cloudfront.net/image/725136000567/image_rvrpgb60753lj4iol28ieton5i/-FJPG/234758-003_DET_3.jpg</t>
  </si>
  <si>
    <t>https://dd3ka9h4chfr8.cloudfront.net/image/725136000567/image_kdqocv4r6t03lc1k18keplng5a/-FJPG/234758-003_OPN_1.jpg</t>
  </si>
  <si>
    <t>https://dd3ka9h4chfr8.cloudfront.net/image/725136000567/image_ng1hjfnhmp5672nn2t7j6klm7i/-FJPG/234758-003_DET_4.jpg</t>
  </si>
  <si>
    <t>https://dd3ka9h4chfr8.cloudfront.net/image/725136000567/image_ed1ojdcrdh5ln7ebsosh5kae4g/-FJPG/234758-003_DET_5.jpg</t>
  </si>
  <si>
    <t>https://dd3ka9h4chfr8.cloudfront.net/image/725136000567/image_452lo0eekl41nam6fp6bjqq85n/-FJPG/234758-003_DET_6.jpg</t>
  </si>
  <si>
    <t>https://dd3ka9h4chfr8.cloudfront.net/image/725136000567/image_8c84rp24q97qf9f1sn4vt0th34/-FJPG/234758-003-NO ART.jpg</t>
  </si>
  <si>
    <t>38.38"</t>
  </si>
  <si>
    <t>234770-001</t>
  </si>
  <si>
    <t>Eaton Large Nightstand - Light Oak Resin</t>
  </si>
  <si>
    <t>Clean and streamlined. Light-finished oak features three drawers plus gunmetal-finished hardware, for a crisp look that's always in style. Dark resin plays up natural graining for texture and authenticity.</t>
  </si>
  <si>
    <t>https://dd3ka9h4chfr8.cloudfront.net/image/725136000567/image_drh20r516960h6v73qdhdj263a/-S150x150-FJPG/234770-001_PRM_1.jpg</t>
  </si>
  <si>
    <t>https://dd3ka9h4chfr8.cloudfront.net/image/725136000567/image_8c6el2odkd4rn6e439rtgtdc23/-FJPG/234770-001_FRT_1.jpg</t>
  </si>
  <si>
    <t>https://dd3ka9h4chfr8.cloudfront.net/image/725136000567/image_drh20r516960h6v73qdhdj263a/-FJPG/234770-001_PRM_1.jpg</t>
  </si>
  <si>
    <t>https://dd3ka9h4chfr8.cloudfront.net/image/725136000567/image_n0dcsp3drl0rfb7bnsvbsv0s0n/-FJPG/234770-001_SID_1.jpg</t>
  </si>
  <si>
    <t>https://dd3ka9h4chfr8.cloudfront.net/image/725136000567/image_s3splavrrd3fj19gmtkm8ho718/-FJPG/234770-001_ESS_1.jpg</t>
  </si>
  <si>
    <t>https://dd3ka9h4chfr8.cloudfront.net/image/725136000567/image_o94d81r9695l5abpb86cjpuj2e/-FJPG/234770-001_DET_2.jpg</t>
  </si>
  <si>
    <t>https://dd3ka9h4chfr8.cloudfront.net/image/725136000567/image_b4b8dk3d8l46954vfdup1fvq5s/-FJPG/234770-001_BCK_1.jpg</t>
  </si>
  <si>
    <t>https://dd3ka9h4chfr8.cloudfront.net/image/725136000567/image_56g2qe6tjd6t96t0lc9qetn85e/-FJPG/234770-001_DET_1.jpg</t>
  </si>
  <si>
    <t>https://dd3ka9h4chfr8.cloudfront.net/image/725136000567/image_2tmc2os5u90at5ebu4dsqpd122/-FJPG/234770-001_DET_3.jpg</t>
  </si>
  <si>
    <t>https://dd3ka9h4chfr8.cloudfront.net/image/725136000567/image_t04civoj8h65309qsk8arc9v1i/-FJPG/234770-001_OPN_1.jpg</t>
  </si>
  <si>
    <t>https://dd3ka9h4chfr8.cloudfront.net/image/725136000567/image_ecjgqfqal13udarant362jcv6q/-FJPG/234770-001_DET_4.jpg</t>
  </si>
  <si>
    <t>https://dd3ka9h4chfr8.cloudfront.net/image/725136000567/image_pov73pf85t3s1842qg37sgqp1j/-FJPG/234770-001_DET_5.jpg</t>
  </si>
  <si>
    <t>https://dd3ka9h4chfr8.cloudfront.net/image/725136000567/image_pss0aqssjd4m7b8a8pv2f5kq1o/-FJPG/234770-001_DET_6.jpg</t>
  </si>
  <si>
    <t>https://dd3ka9h4chfr8.cloudfront.net/image/725136000567/image_alpbbdmfp907h2i2iqp0am455v/-FJPG/234770-001_DET_7.jpg</t>
  </si>
  <si>
    <t>28.94"</t>
  </si>
  <si>
    <t>234770-002</t>
  </si>
  <si>
    <t>Eaton Large Nightstand - Amber Oak Resin</t>
  </si>
  <si>
    <t>Clean and streamlined. Amber-finished oak features three large drawers plus gunmetal-finished hardware, for a look that's always in style. Dark resin plays up woods' natural graining.</t>
  </si>
  <si>
    <t>https://dd3ka9h4chfr8.cloudfront.net/image/725136000567/image_ebjnd88ih51ph1bpu7gb9ehg6h/-S150x150-FJPG/234770-002_PRM_1.jpg</t>
  </si>
  <si>
    <t>https://dd3ka9h4chfr8.cloudfront.net/image/725136000567/image_ogdsgobhst3qb4t9d4ra4a3l65/-FJPG/234770-002_FRT_1.jpg</t>
  </si>
  <si>
    <t>https://dd3ka9h4chfr8.cloudfront.net/image/725136000567/image_ebjnd88ih51ph1bpu7gb9ehg6h/-FJPG/234770-002_PRM_1.jpg</t>
  </si>
  <si>
    <t>https://dd3ka9h4chfr8.cloudfront.net/image/725136000567/image_n87dasj0jt4g52f59fd4jj391o/-FJPG/234770-002_SID_1.jpg</t>
  </si>
  <si>
    <t>https://dd3ka9h4chfr8.cloudfront.net/image/725136000567/image_m1dkqe6r410s5bllt6bhtie75g/-FJPG/234770-002_ESS.tif</t>
  </si>
  <si>
    <t>https://dd3ka9h4chfr8.cloudfront.net/image/725136000567/image_u76jl99qpd1t71i3l7vjmps52u/-FJPG/234770-002_DET_2.jpg</t>
  </si>
  <si>
    <t>https://dd3ka9h4chfr8.cloudfront.net/image/725136000567/image_38npn5np2h0of67jnp430lj35b/-FJPG/234770-002_BCK_1.jpg</t>
  </si>
  <si>
    <t>https://dd3ka9h4chfr8.cloudfront.net/image/725136000567/image_22k7e3ifkl70tdmmq1jrknu22p/-FJPG/234770-002_DET_1.jpg</t>
  </si>
  <si>
    <t>https://dd3ka9h4chfr8.cloudfront.net/image/725136000567/image_stpgg2gt0l3f52mbvp2da4br4h/-FJPG/234770-002_DET_3.jpg</t>
  </si>
  <si>
    <t>https://dd3ka9h4chfr8.cloudfront.net/image/725136000567/image_mm52mogd3h19v5aduok4g48q6v/-FJPG/234770-002_OPN_1.jpg</t>
  </si>
  <si>
    <t>https://dd3ka9h4chfr8.cloudfront.net/image/725136000567/image_uegcjcdui50j36qgbp3d8j727n/-FJPG/234770-002_DET_4.jpg</t>
  </si>
  <si>
    <t>https://dd3ka9h4chfr8.cloudfront.net/image/725136000567/image_6f34vq25u920l1499nvjcgf070/-FJPG/234770-002_DET_5.jpg</t>
  </si>
  <si>
    <t>https://dd3ka9h4chfr8.cloudfront.net/image/725136000567/image_61t6q3l8i91q7fqn9o1htkar0p/-FJPG/234770-002_DET_6.jpg</t>
  </si>
  <si>
    <t>https://dd3ka9h4chfr8.cloudfront.net/image/725136000567/image_3a1mdrtotd12v2eunlijskp70l/-FJPG/234770-002_DET_7.jpg</t>
  </si>
  <si>
    <t>234782-001</t>
  </si>
  <si>
    <t>Tolle Panel Door Cabinet - Drifted Oak Veneer</t>
  </si>
  <si>
    <t>Store it in style. Beautifully shaped cabinetry in drifted matte black veneer features spacious interior shelving and recessed wood panel doors, ready for storing your treasures.</t>
  </si>
  <si>
    <t>https://dd3ka9h4chfr8.cloudfront.net/image/725136000567/image_neahmt4r992tr8sdav22khsn28/-S150x150-FJPG/234782-001_PRM_1.jpg</t>
  </si>
  <si>
    <t>https://dd3ka9h4chfr8.cloudfront.net/image/725136000567/image_kulhug5e7h0ihdlql9flc9hm0i/-FJPG/234782-001_FRT_1.jpg</t>
  </si>
  <si>
    <t>https://dd3ka9h4chfr8.cloudfront.net/image/725136000567/image_neahmt4r992tr8sdav22khsn28/-FJPG/234782-001_PRM_1.jpg</t>
  </si>
  <si>
    <t>https://dd3ka9h4chfr8.cloudfront.net/image/725136000567/image_hkp37u4p8t3qb3nqiqv00rb16q/-FJPG/234782-001_SID_1.jpg</t>
  </si>
  <si>
    <t>https://dd3ka9h4chfr8.cloudfront.net/image/725136000567/image_86lqj3hthp3i577gefm6ji3966/-FJPG/234782-001_ESS_1.jpg</t>
  </si>
  <si>
    <t>https://dd3ka9h4chfr8.cloudfront.net/image/725136000567/image_eeqj5unjit4o59is3g047ulp37/-FJPG/234782-001_DET_2.jpg</t>
  </si>
  <si>
    <t>https://dd3ka9h4chfr8.cloudfront.net/image/725136000567/image_vf1m8u22gd34f1td1aougf5l4s/-FJPG/234782-001_BCK_1.jpg</t>
  </si>
  <si>
    <t>https://dd3ka9h4chfr8.cloudfront.net/image/725136000567/image_femahv0q8t0h92hoverlcpdm65/-FJPG/234782-001_DET_1.jpg</t>
  </si>
  <si>
    <t>https://dd3ka9h4chfr8.cloudfront.net/image/725136000567/image_cc18evv0pp2sr47l4ipjgqst0q/-FJPG/234782-001_DET_3.jpg</t>
  </si>
  <si>
    <t>https://dd3ka9h4chfr8.cloudfront.net/image/725136000567/image_9epg9hl7dl3vf9nrc6ibjgpr0p/-FJPG/234782-001_OPN_1.jpg</t>
  </si>
  <si>
    <t>https://dd3ka9h4chfr8.cloudfront.net/image/725136000567/image_1d4vovta6t0217nrqv1kc0224c/-FJPG/234782-001_DET_4.jpg</t>
  </si>
  <si>
    <t>https://dd3ka9h4chfr8.cloudfront.net/image/725136000567/image_0tcdkgkkmd5kba5165k36k0a2m/-FJPG/234782-001_DET_5.jpg</t>
  </si>
  <si>
    <t>https://dd3ka9h4chfr8.cloudfront.net/image/725136000567/image_3umnvl77ih7nb5shk3bregmg3k/-FJPG/234782-001_DET_6.jpg</t>
  </si>
  <si>
    <t>https://dd3ka9h4chfr8.cloudfront.net/image/725136000567/image_l72vos3d6l0in8nnnmd2466c6f/-FJPG/234782-001_DET_7.jpg</t>
  </si>
  <si>
    <t>https://dd3ka9h4chfr8.cloudfront.net/image/725136000567/image_b3ir4sptr51t5c41uqgov3o010/-FJPG/234782-001_DET_8.jpg</t>
  </si>
  <si>
    <t>https://dd3ka9h4chfr8.cloudfront.net/image/725136000567/image_6oc6b6r9sh7178o37gfeukpe77/-FJPG/234782-001_DET_9.jpg</t>
  </si>
  <si>
    <t>https://dd3ka9h4chfr8.cloudfront.net/image/725136000567/image_pv895tdse52ot1pdh8tun3lm4l/-FJPG/234782-001_PRM_2.jpg</t>
  </si>
  <si>
    <t>https://dd3ka9h4chfr8.cloudfront.net/image/725136000567/image_puqoaubf196dd515lct03bct4b/-FJPG/234782-001_OPN_2.jpg</t>
  </si>
  <si>
    <t>https://dd3ka9h4chfr8.cloudfront.net/image/725136000567/image_ampip9n8h56j77edif0oofoe7l/-FJPG/234782-001_ESS_2.jpg</t>
  </si>
  <si>
    <t>26.51"</t>
  </si>
  <si>
    <t>234782-003</t>
  </si>
  <si>
    <t>Store it in style. Beautifully shaped cabinetry of solid oak with recessed wood panels and iron hardware in an antique brass finish. Features thick, spacious shelves to store kitchenware, favorite books and treasured objects.</t>
  </si>
  <si>
    <t>https://dd3ka9h4chfr8.cloudfront.net/image/725136000567/image_1t9sef9491379eeq4mdsdubi5l/-S150x150-FJPG/234782-003_PRM_1.jpg</t>
  </si>
  <si>
    <t>https://dd3ka9h4chfr8.cloudfront.net/image/725136000567/image_dcvd8bpsd50i57kplgmo4u0s71/-FJPG/234782-003_FRT_1.jpg</t>
  </si>
  <si>
    <t>https://dd3ka9h4chfr8.cloudfront.net/image/725136000567/image_1t9sef9491379eeq4mdsdubi5l/-FJPG/234782-003_PRM_1.jpg</t>
  </si>
  <si>
    <t>https://dd3ka9h4chfr8.cloudfront.net/image/725136000567/image_52edhvaodt4fpde2hfcjuuqd6m/-FJPG/234782-003_SID_1.jpg</t>
  </si>
  <si>
    <t>https://dd3ka9h4chfr8.cloudfront.net/image/725136000567/image_uhmcbi66d50mddk5hdsham3m31/-FJPG/234782-003_ESS_1.jpg</t>
  </si>
  <si>
    <t>https://dd3ka9h4chfr8.cloudfront.net/image/725136000567/image_pbeuqfa6ol2rdav7j6anf3qh7g/-FJPG/234782-003_DET_2.jpg</t>
  </si>
  <si>
    <t>https://dd3ka9h4chfr8.cloudfront.net/image/725136000567/image_h0s5p643k12q7bu51kacqv133f/-FJPG/234782-003_BCK_1.jpg</t>
  </si>
  <si>
    <t>https://dd3ka9h4chfr8.cloudfront.net/image/725136000567/image_s399t3fc6l1lv3g581l6r1nc3j/-FJPG/234782-003_DET_1.jpg</t>
  </si>
  <si>
    <t>https://dd3ka9h4chfr8.cloudfront.net/image/725136000567/image_rq2gq9adb96jl3hqucq78j9p3j/-FJPG/234782-003_DET_3.jpg</t>
  </si>
  <si>
    <t>https://dd3ka9h4chfr8.cloudfront.net/image/725136000567/image_cftta1bfdp6lj28aif6ajb4p33/-FJPG/234782-003_OPN_1.jpg</t>
  </si>
  <si>
    <t>https://dd3ka9h4chfr8.cloudfront.net/image/725136000567/image_0tq69gsf6l1lpc3s8f1493q406/-FJPG/234782-003_DET_4.jpg</t>
  </si>
  <si>
    <t>https://dd3ka9h4chfr8.cloudfront.net/image/725136000567/image_78uu4c6j5t4bnfavn8fi1t7225/-FJPG/234782-003_DET_5.jpg</t>
  </si>
  <si>
    <t>https://dd3ka9h4chfr8.cloudfront.net/image/725136000567/image_s6ib1654q967d6rbgq3k6ns04l/-FJPG/234782-003_DET_6.jpg</t>
  </si>
  <si>
    <t>https://dd3ka9h4chfr8.cloudfront.net/image/725136000567/image_7ip3s9gea56c17osr8spdb745l/-FJPG/234782-003_DET_7.jpg</t>
  </si>
  <si>
    <t>https://dd3ka9h4chfr8.cloudfront.net/image/725136000567/image_gq4bt6q3nl78f0saggpl76mv3f/-FJPG/234782-003_DET_8.jpg</t>
  </si>
  <si>
    <t>https://dd3ka9h4chfr8.cloudfront.net/image/725136000567/image_onsq7fdnd97rn64hmo6d407c62/-FJPG/234782-003_DET_9.jpg</t>
  </si>
  <si>
    <t>https://dd3ka9h4chfr8.cloudfront.net/image/725136000567/image_u42auqpgkt3q7bfnlnifaafr7a/-FJPG/234782-003_OPN_2.jpg</t>
  </si>
  <si>
    <t>234782-005</t>
  </si>
  <si>
    <t>Tolle Panel Door Cabinet - Rustic White Veneer</t>
  </si>
  <si>
    <t>Rustic White Veneer</t>
  </si>
  <si>
    <t>Store it in style. Beautifully shaped cabinetry of rustic white solid oak features spacious interior shelving and recessed wood panel doors, ready for storing your treasures.</t>
  </si>
  <si>
    <t>https://dd3ka9h4chfr8.cloudfront.net/image/725136000567/image_pur6eaf1rt4an2me9thdheno05/-S150x150-FJPG/234782-005_PRM_1.jpg</t>
  </si>
  <si>
    <t>https://dd3ka9h4chfr8.cloudfront.net/image/725136000567/image_of4itkp9sp4qv9ldbkmgn6p97b/-FJPG/234782-005_FRT_1.jpg</t>
  </si>
  <si>
    <t>https://dd3ka9h4chfr8.cloudfront.net/image/725136000567/image_pur6eaf1rt4an2me9thdheno05/-FJPG/234782-005_PRM_1.jpg</t>
  </si>
  <si>
    <t>https://dd3ka9h4chfr8.cloudfront.net/image/725136000567/image_25pusjvhd96ah9o5tamb3q7b03/-FJPG/234782-005_SID_1.jpg</t>
  </si>
  <si>
    <t>https://dd3ka9h4chfr8.cloudfront.net/image/725136000567/image_ugdtep190h75p4ltmsdubta82l/-FJPG/234782-005_ESS.tif</t>
  </si>
  <si>
    <t>https://dd3ka9h4chfr8.cloudfront.net/image/725136000567/image_0c2ert9r112gv24218gtpf9d3u/-FJPG/234782-005_DET_2.jpg</t>
  </si>
  <si>
    <t>https://dd3ka9h4chfr8.cloudfront.net/image/725136000567/image_ne6l2t0chh0pb0psqnludk9p3p/-FJPG/234782-005_BCK_1.jpg</t>
  </si>
  <si>
    <t>https://dd3ka9h4chfr8.cloudfront.net/image/725136000567/image_i7v5ssoolt5sj1qpsd7303451v/-FJPG/234782-005_DET_1.jpg</t>
  </si>
  <si>
    <t>https://dd3ka9h4chfr8.cloudfront.net/image/725136000567/image_qdcuihbs096m9b3uid4pq9ns4c/-FJPG/234782-005_DET_3.jpg</t>
  </si>
  <si>
    <t>https://dd3ka9h4chfr8.cloudfront.net/image/725136000567/image_d6kh5e1jdp6e7943g4301aud3b/-FJPG/234782-005_OPN_1.jpg</t>
  </si>
  <si>
    <t>https://dd3ka9h4chfr8.cloudfront.net/image/725136000567/image_8fcb1ckn1p18v0mgsolamii87n/-FJPG/234782-005_DET_4.jpg</t>
  </si>
  <si>
    <t>https://dd3ka9h4chfr8.cloudfront.net/image/725136000567/image_ftkmld8and1g154fusrfq40r5u/-FJPG/234782-005_DET_5.jpg</t>
  </si>
  <si>
    <t>https://dd3ka9h4chfr8.cloudfront.net/image/725136000567/image_rgpvp224u50tv0oe7h75jnq63h/-FJPG/234782-005_DET_6.jpg</t>
  </si>
  <si>
    <t>https://dd3ka9h4chfr8.cloudfront.net/image/725136000567/image_tnt7puqnid28j583qs6sbie82u/-FJPG/234782-005_DET_7.jpg</t>
  </si>
  <si>
    <t>https://dd3ka9h4chfr8.cloudfront.net/image/725136000567/image_fv1i1kq3qt4v584vi10qdt660k/-FJPG/234782-005_DET_8.jpg</t>
  </si>
  <si>
    <t>https://dd3ka9h4chfr8.cloudfront.net/image/725136000567/image_csnn9107g90mp7m9lnda7df71a/-FJPG/234782-005_OPN_2.jpg</t>
  </si>
  <si>
    <t>https://dd3ka9h4chfr8.cloudfront.net/image/725136000567/image_ufkkik5kat0vrfd9vlbgn9fe2o/-FJPG/234782-005_ESS_2.tif</t>
  </si>
  <si>
    <t>234818-001</t>
  </si>
  <si>
    <t>Kadon Chair - Sheepskin Natural</t>
  </si>
  <si>
    <t>Simply classic. A high wing back pairs with softly rolled arms for a curvy look and supportive sit. Cream shearling-like upholstery invites you to sit and stay a while.</t>
  </si>
  <si>
    <t>https://dd3ka9h4chfr8.cloudfront.net/image/725136000567/image_qt9itb6t2573n0hfc85vi78u5t/-S150x150-FJPG/234818-001_PRM_1.jpg</t>
  </si>
  <si>
    <t>https://dd3ka9h4chfr8.cloudfront.net/image/725136000567/image_ph1284g1hp1cb7suoo5igmdu2b/-FJPG/234818-001_FRT_1.jpg</t>
  </si>
  <si>
    <t>https://dd3ka9h4chfr8.cloudfront.net/image/725136000567/image_qt9itb6t2573n0hfc85vi78u5t/-FJPG/234818-001_PRM_1.jpg</t>
  </si>
  <si>
    <t>https://dd3ka9h4chfr8.cloudfront.net/image/725136000567/image_g4i9scrkkp0obbhgtn5thqnq7s/-FJPG/234818-001_SID_1.jpg</t>
  </si>
  <si>
    <t>https://dd3ka9h4chfr8.cloudfront.net/image/725136000567/image_ftkq69fiih0pd2mav49str3d59/-FJPG/234818-001_ESS.jpg</t>
  </si>
  <si>
    <t>https://dd3ka9h4chfr8.cloudfront.net/image/725136000567/image_j4n0kr226t6ib55d6rdmobcj2i/-FJPG/234818-001_ESS_1.jpg</t>
  </si>
  <si>
    <t>https://dd3ka9h4chfr8.cloudfront.net/image/725136000567/image_de502d9ss16qpbhue0qi6qo12s/-FJPG/234818-001_DET_2.jpg</t>
  </si>
  <si>
    <t>https://dd3ka9h4chfr8.cloudfront.net/image/725136000567/image_innp52tbpl6fr5ujjotcpk544j/-FJPG/234818-001_BCK_1.jpg</t>
  </si>
  <si>
    <t>https://dd3ka9h4chfr8.cloudfront.net/image/725136000567/image_6mli57t0lt4epc8ufkk7h85s6v/-FJPG/234818-001_DET_1.jpg</t>
  </si>
  <si>
    <t>https://dd3ka9h4chfr8.cloudfront.net/image/725136000567/image_mq3mgsutel0qdbns9m1vngjr37/-FJPG/234818-001_DET_3.jpg</t>
  </si>
  <si>
    <t>https://dd3ka9h4chfr8.cloudfront.net/image/725136000567/image_5taaqu2of515p6lq4a4frt3q3j/-FJPG/234818-001_DET_4.jpg</t>
  </si>
  <si>
    <t>https://dd3ka9h4chfr8.cloudfront.net/image/725136000567/image_jms5e08oid0ffbhlaelvgnos6a/-FJPG/234818-001_DET_5.jpg</t>
  </si>
  <si>
    <t>https://dd3ka9h4chfr8.cloudfront.net/image/725136000567/image_bp7fro1rb54g5c52ve0fhmda4c/-FJPG/234818-001_DET_6.jpg</t>
  </si>
  <si>
    <t>https://dd3ka9h4chfr8.cloudfront.net/image/725136000567/image_h8cbgiauu939d951vcj6t5990g/-FJPG/234818-001_VIG_1.jpg</t>
  </si>
  <si>
    <t>234818-002</t>
  </si>
  <si>
    <t>Kadon Chair - Sheepskin Camel</t>
  </si>
  <si>
    <t>Simply classic. A high wing back pairs with softly rolled arms for a curvy look and supportive sit. Tan shearling-like upholstery invites you to sit and stay a while.</t>
  </si>
  <si>
    <t>https://dd3ka9h4chfr8.cloudfront.net/image/725136000567/image_h8pkq8aoah1md8uufklkh0ef12/-S150x150-FJPG/234818-002_PRM_1.jpg</t>
  </si>
  <si>
    <t>https://dd3ka9h4chfr8.cloudfront.net/image/725136000567/image_bn8a0b3enp5fbaa5mn194nag2o/-FJPG/234818-002_FRT_1.jpg</t>
  </si>
  <si>
    <t>https://dd3ka9h4chfr8.cloudfront.net/image/725136000567/image_h8pkq8aoah1md8uufklkh0ef12/-FJPG/234818-002_PRM_1.jpg</t>
  </si>
  <si>
    <t>https://dd3ka9h4chfr8.cloudfront.net/image/725136000567/image_8fth1clufl2c7ansoe171mms3i/-FJPG/234818-002_SID_1.jpg</t>
  </si>
  <si>
    <t>https://dd3ka9h4chfr8.cloudfront.net/image/725136000567/image_hafes5fujd4837g4nb05h5v43k/-FJPG/234818-002_ESS_1.jpg</t>
  </si>
  <si>
    <t>https://dd3ka9h4chfr8.cloudfront.net/image/725136000567/image_tj1h5sbeql69p2hm7bo4k2r03u/-FJPG/234818-002_DET_2.jpg</t>
  </si>
  <si>
    <t>https://dd3ka9h4chfr8.cloudfront.net/image/725136000567/image_lrk1seuknp4kbac3urdap32v2j/-FJPG/234818-002_BCK_1.jpg</t>
  </si>
  <si>
    <t>https://dd3ka9h4chfr8.cloudfront.net/image/725136000567/image_d18eu10kkd5i92f0p86mo5bq5l/-FJPG/234818-002_DET_1.jpg</t>
  </si>
  <si>
    <t>https://dd3ka9h4chfr8.cloudfront.net/image/725136000567/image_s3lvnu3rjh2011vchhsr15tj6k/-FJPG/234818-002_DET_3.jpg</t>
  </si>
  <si>
    <t>https://dd3ka9h4chfr8.cloudfront.net/image/725136000567/image_sgl4946utd2ubbdugn9t8uan3l/-FJPG/234818-002_DET_4.jpg</t>
  </si>
  <si>
    <t>https://dd3ka9h4chfr8.cloudfront.net/image/725136000567/image_nanqjnle1p485b21v9bsu7pl2b/-FJPG/234818-002_DET_5.jpg</t>
  </si>
  <si>
    <t>https://dd3ka9h4chfr8.cloudfront.net/image/725136000567/image_7qid4195qp0719929cc8elvp73/-FJPG/234818-002_DET_6.jpg</t>
  </si>
  <si>
    <t>https://dd3ka9h4chfr8.cloudfront.net/image/725136000567/image_tiksmibt315snfe9g1gd2kd62c/-FJPG/234818-002_ROM_1.jpg</t>
  </si>
  <si>
    <t>234820-005</t>
  </si>
  <si>
    <t>Alec Chair &amp; Half - Dulane Mahogany</t>
  </si>
  <si>
    <t>Dulane Mahogany</t>
  </si>
  <si>
    <t>Chair-and-a-half adopts dramatic channeling in rich mahogany top-grain leather for trend-forward texture and a comfortable sit.</t>
  </si>
  <si>
    <t>https://dd3ka9h4chfr8.cloudfront.net/image/725136000567/image_rto8h4159p22h5t5rf72lv6u14/-S150x150-FJPG/234820-005_PRM_1.jpg</t>
  </si>
  <si>
    <t>https://dd3ka9h4chfr8.cloudfront.net/image/725136000567/image_a197218hfl049cab1or1cnci5v/-FJPG/234820-005_FRT_1.jpg</t>
  </si>
  <si>
    <t>https://dd3ka9h4chfr8.cloudfront.net/image/725136000567/image_rto8h4159p22h5t5rf72lv6u14/-FJPG/234820-005_PRM_1.jpg</t>
  </si>
  <si>
    <t>https://dd3ka9h4chfr8.cloudfront.net/image/725136000567/image_p7pk8cr3bt6ah50ufaogr75a32/-FJPG/234820-005_SID_1.jpg</t>
  </si>
  <si>
    <t>https://dd3ka9h4chfr8.cloudfront.net/image/725136000567/image_c18qq0oim10p3ehggb7d2o9322/-FJPG/234820-005_DET_2.jpg</t>
  </si>
  <si>
    <t>https://dd3ka9h4chfr8.cloudfront.net/image/725136000567/image_laqs347h0l1b1c5tmidkluq25b/-FJPG/234820-005_BCK_1.jpg</t>
  </si>
  <si>
    <t>https://dd3ka9h4chfr8.cloudfront.net/image/725136000567/image_7vs3odslm106r5jmgl7idlgk2l/-FJPG/234820-005_DET_1.jpg</t>
  </si>
  <si>
    <t>https://dd3ka9h4chfr8.cloudfront.net/image/725136000567/image_ujbql6783l5apdu1g25s037a71/-FJPG/234820-005_DET_3.jpg</t>
  </si>
  <si>
    <t>https://dd3ka9h4chfr8.cloudfront.net/image/725136000567/image_tt4f0v96b563b2ndqaehsch27o/-FJPG/234820-005_DET_4.jpg</t>
  </si>
  <si>
    <t>https://dd3ka9h4chfr8.cloudfront.net/image/725136000567/image_oqoroiehbp3jr1e0vmqgct1o0c/-FJPG/234820-005_DET_5.jpg</t>
  </si>
  <si>
    <t>https://dd3ka9h4chfr8.cloudfront.net/image/725136000567/image_87r5rmtrih6239elosmu2m921j/-FJPG/234820-005_DET_6.jpg</t>
  </si>
  <si>
    <t>https://dd3ka9h4chfr8.cloudfront.net/image/725136000567/image_oton5jk1ep2of9i8vkbo0j0c1f/-FJPG/234820-005_DET_7.jpg</t>
  </si>
  <si>
    <t>70% Polyurethane Foam, 15% Fiber, 15% Duck Feather</t>
  </si>
  <si>
    <t>Alec</t>
  </si>
  <si>
    <t>27.48"</t>
  </si>
  <si>
    <t>35.87"</t>
  </si>
  <si>
    <t>234865-005</t>
  </si>
  <si>
    <t>Alec Storage Ottoman - Dulane Mahogany</t>
  </si>
  <si>
    <t>Wrapped in rich mahogany top-grain leather, this ottoman pairs everyday durability with cleverly concealed storage for life's essentials.</t>
  </si>
  <si>
    <t>https://dd3ka9h4chfr8.cloudfront.net/image/725136000567/image_2kjjkhlh993kd5rdua1r3mca0e/-S150x150-FJPG/234865-005_PRM_1.jpg</t>
  </si>
  <si>
    <t>https://dd3ka9h4chfr8.cloudfront.net/image/725136000567/image_bfrl9odpod7u7dorvlopvrhb3e/-FJPG/234865-005_FRT_1.jpg</t>
  </si>
  <si>
    <t>https://dd3ka9h4chfr8.cloudfront.net/image/725136000567/image_2kjjkhlh993kd5rdua1r3mca0e/-FJPG/234865-005_PRM_1.jpg</t>
  </si>
  <si>
    <t>https://dd3ka9h4chfr8.cloudfront.net/image/725136000567/image_1kq0388c8l7mn4irqbr2qn6r1a/-FJPG/234865-005_SID_1.jpg</t>
  </si>
  <si>
    <t>https://dd3ka9h4chfr8.cloudfront.net/image/725136000567/image_sgagn2otjl4393i0at9lg48g29/-FJPG/234865-005_DET_2.jpg</t>
  </si>
  <si>
    <t>https://dd3ka9h4chfr8.cloudfront.net/image/725136000567/image_ssko08kvhh3l9263dn2eau3l4p/-FJPG/234865-005_DET_1.jpg</t>
  </si>
  <si>
    <t>https://dd3ka9h4chfr8.cloudfront.net/image/725136000567/image_q0o2p9pm4164t7qvf9djff4063/-FJPG/234865-005_DET_3.jpg</t>
  </si>
  <si>
    <t>https://dd3ka9h4chfr8.cloudfront.net/image/725136000567/image_1ooepv5ik15u50va1j1inss71e/-FJPG/234865-005_OPN_1.jpg</t>
  </si>
  <si>
    <t>https://dd3ka9h4chfr8.cloudfront.net/image/725136000567/image_1vr0fcdhnd5i5d1fd690u1v17a/-FJPG/234865-005_DET_4.jpg</t>
  </si>
  <si>
    <t>https://dd3ka9h4chfr8.cloudfront.net/image/725136000567/image_9j8of22d2l2kv3udr8a75p2c5q/-FJPG/234865-005_DET_5.jpg</t>
  </si>
  <si>
    <t>https://dd3ka9h4chfr8.cloudfront.net/image/725136000567/image_3055745gnt1il8c4v4cic4tn4u/-FJPG/234865-005_DET_6.jpg</t>
  </si>
  <si>
    <t>29.80"</t>
  </si>
  <si>
    <t>56.10"</t>
  </si>
  <si>
    <t>19.53"</t>
  </si>
  <si>
    <t>234883-001</t>
  </si>
  <si>
    <t>Tolle Sideboard - Drifted Oak Veneer</t>
  </si>
  <si>
    <t>Infuse your interior with timeless midcentury design. Sideboard is composed of a premium stained wood finish, graceful glass doors and brass hardware.</t>
  </si>
  <si>
    <t>https://dd3ka9h4chfr8.cloudfront.net/image/725136000567/image_qa16mojgv97nl5l3qimdnd7g1o/-S150x150-FJPG/234883-001_PRM_1.jpg</t>
  </si>
  <si>
    <t>https://dd3ka9h4chfr8.cloudfront.net/image/725136000567/image_omeuvd286t537cjnt8pkga8c14/-FJPG/234883-001_FRT_1.jpg</t>
  </si>
  <si>
    <t>https://dd3ka9h4chfr8.cloudfront.net/image/725136000567/image_qa16mojgv97nl5l3qimdnd7g1o/-FJPG/234883-001_PRM_1.jpg</t>
  </si>
  <si>
    <t>https://dd3ka9h4chfr8.cloudfront.net/image/725136000567/image_6hvfcr39d953db8u0bpoevf967/-FJPG/234883-001_SID_1.jpg</t>
  </si>
  <si>
    <t>https://dd3ka9h4chfr8.cloudfront.net/image/725136000567/image_7268tkt8u92d56diatifjjal49/-FJPG/234883-001_ESS_1.jpg</t>
  </si>
  <si>
    <t>https://dd3ka9h4chfr8.cloudfront.net/image/725136000567/image_e1ui8bvs855m9bssq6i7478e0j/-FJPG/234883-001_DET_2.jpg</t>
  </si>
  <si>
    <t>https://dd3ka9h4chfr8.cloudfront.net/image/725136000567/image_arcunau1497qt5sbsj8fi6m07b/-FJPG/234883-001_BCK_1.jpg</t>
  </si>
  <si>
    <t>https://dd3ka9h4chfr8.cloudfront.net/image/725136000567/image_5ljbuh5sch4d52nssl3njtuu7e/-FJPG/234883-001_DET_1.jpg</t>
  </si>
  <si>
    <t>https://dd3ka9h4chfr8.cloudfront.net/image/725136000567/image_l6lsro00md551a51vs2qlavi6e/-FJPG/234883-001_DET_3.jpg</t>
  </si>
  <si>
    <t>https://dd3ka9h4chfr8.cloudfront.net/image/725136000567/image_ii8c54b4fl1bd8k913i8t0q47n/-FJPG/234883-001_OPN_1.jpg</t>
  </si>
  <si>
    <t>https://dd3ka9h4chfr8.cloudfront.net/image/725136000567/image_v1rcma7mpt0jldmvemnjlv3t0v/-FJPG/234883-001_DET_4.jpg</t>
  </si>
  <si>
    <t>https://dd3ka9h4chfr8.cloudfront.net/image/725136000567/image_v6ss90gv797kh26d3cfc2qrv1t/-FJPG/234883-001_DET_5.jpg</t>
  </si>
  <si>
    <t>https://dd3ka9h4chfr8.cloudfront.net/image/725136000567/image_3r9m9k7uc12kdf4ufj87hp6k4b/-FJPG/234883-001_DET_6.jpg</t>
  </si>
  <si>
    <t>https://dd3ka9h4chfr8.cloudfront.net/image/725136000567/image_qk5jm8fbnl4ad0l7ulrtr8d65j/-FJPG/234883-001_DET_7.jpg</t>
  </si>
  <si>
    <t>https://dd3ka9h4chfr8.cloudfront.net/image/725136000567/image_e69186017t0mbf8kjn9fhbs420/-FJPG/234883-001_OPN_1.jpg</t>
  </si>
  <si>
    <t>15.63"</t>
  </si>
  <si>
    <t>234976-001</t>
  </si>
  <si>
    <t>Pollard Media Console - Brushed Ebony Oak Veneer</t>
  </si>
  <si>
    <t>An ebony finish highlights the intriguing natural graining of oak veneer. Six spacious drawers plus center interior shelving bring maximum storage to the media or living room. Rear cutouts for cord management.</t>
  </si>
  <si>
    <t>https://dd3ka9h4chfr8.cloudfront.net/image/725136000567/image_kr29j55m8h3gb8q5rkl0suc73p/-S150x150-FJPG/234976-001_PRM_1.jpg</t>
  </si>
  <si>
    <t>https://dd3ka9h4chfr8.cloudfront.net/image/725136000567/image_5j92e00ueh147fir0tgrjtr54o/-FJPG/234976-001_FRT_1.jpg</t>
  </si>
  <si>
    <t>https://dd3ka9h4chfr8.cloudfront.net/image/725136000567/image_kr29j55m8h3gb8q5rkl0suc73p/-FJPG/234976-001_PRM_1.jpg</t>
  </si>
  <si>
    <t>https://dd3ka9h4chfr8.cloudfront.net/image/725136000567/image_e0of9n2v753svcss7dhetp126l/-FJPG/234976-001_SID_1.jpg</t>
  </si>
  <si>
    <t>https://dd3ka9h4chfr8.cloudfront.net/image/725136000567/image_le8no3hakd2sj4d1hu5dfpha6l/-FJPG/234976-001_ESS_1.jpg</t>
  </si>
  <si>
    <t>https://dd3ka9h4chfr8.cloudfront.net/image/725136000567/image_fqcp3tkqvp1mp4p87ou8na170j/-FJPG/234976-001_DET_2.jpg</t>
  </si>
  <si>
    <t>https://dd3ka9h4chfr8.cloudfront.net/image/725136000567/image_66im7e56vp43n4jcrfsbu8o66v/-FJPG/234976-001_BCK_1.jpg</t>
  </si>
  <si>
    <t>https://dd3ka9h4chfr8.cloudfront.net/image/725136000567/image_kk1mcloqet5hbam89qtf07de4i/-FJPG/234976-001_DET_1.jpg</t>
  </si>
  <si>
    <t>https://dd3ka9h4chfr8.cloudfront.net/image/725136000567/image_arg0sn866l297a450i37da3461/-FJPG/234976-001_DET_3.jpg</t>
  </si>
  <si>
    <t>https://dd3ka9h4chfr8.cloudfront.net/image/725136000567/image_upvgkjc83l7571dvqchltt9v0h/-FJPG/234976-001_OPN_1.jpg</t>
  </si>
  <si>
    <t>https://dd3ka9h4chfr8.cloudfront.net/image/725136000567/image_u8dpvh2n353st0nvfrsd88sn3p/-FJPG/234976-001_DET_4.jpg</t>
  </si>
  <si>
    <t>https://dd3ka9h4chfr8.cloudfront.net/image/725136000567/image_0e302jcun9357a4jppks4jhn42/-FJPG/234976-001_DET_5.jpg</t>
  </si>
  <si>
    <t>https://dd3ka9h4chfr8.cloudfront.net/image/725136000567/image_nsaunr06994t196dm4sfnh451q/-FJPG/234976-001_OPN_2.jpg</t>
  </si>
  <si>
    <t>Pollard</t>
  </si>
  <si>
    <t>235100-001</t>
  </si>
  <si>
    <t>Grove Nightstand - Russet Mahogany Veneer</t>
  </si>
  <si>
    <t>Russet Mahogany Veneer</t>
  </si>
  <si>
    <t>Beige Painted Linen</t>
  </si>
  <si>
    <t>Painted Linen</t>
  </si>
  <si>
    <t>Simply shaped with a ski-leg base, painted linen drawer fronts complement the mahogany case. Three drawers allow for ample storage in this low, modern nightstand.</t>
  </si>
  <si>
    <t>https://dd3ka9h4chfr8.cloudfront.net/image/725136000567/image_tlvo9vsl794gne5an7a8cnm26c/-S150x150-FJPG/235100-001_PRM_1.jpg</t>
  </si>
  <si>
    <t>https://dd3ka9h4chfr8.cloudfront.net/image/725136000567/image_ok2mf73a7l3cvdqrpb1gscdm59/-FJPG/235100-001_FRT_1.jpg</t>
  </si>
  <si>
    <t>https://dd3ka9h4chfr8.cloudfront.net/image/725136000567/image_tlvo9vsl794gne5an7a8cnm26c/-FJPG/235100-001_PRM_1.jpg</t>
  </si>
  <si>
    <t>https://dd3ka9h4chfr8.cloudfront.net/image/725136000567/image_nq02qa1oc12c170jrplvoltj7n/-FJPG/235100-001_SID_1.jpg</t>
  </si>
  <si>
    <t>https://dd3ka9h4chfr8.cloudfront.net/image/725136000567/image_edu41mkt7h5frffqkhin1ffr49/-FJPG/235100-001_ESS_1.jpg</t>
  </si>
  <si>
    <t>https://dd3ka9h4chfr8.cloudfront.net/image/725136000567/image_991921kpot6i15mbo3vhi2kl2a/-FJPG/235100-001_DET_2.jpg</t>
  </si>
  <si>
    <t>https://dd3ka9h4chfr8.cloudfront.net/image/725136000567/image_46m9ln5avl03barh2d5rfbi058/-FJPG/235100-001_BCK_1.jpg</t>
  </si>
  <si>
    <t>https://dd3ka9h4chfr8.cloudfront.net/image/725136000567/image_628tln9oj115l6n4sodt43cc67/-FJPG/235100-001_DET_1.jpg</t>
  </si>
  <si>
    <t>https://dd3ka9h4chfr8.cloudfront.net/image/725136000567/image_t531o4iil906n4tnh3qrb7ek3l/-FJPG/235100-001_DET_3.jpg</t>
  </si>
  <si>
    <t>https://dd3ka9h4chfr8.cloudfront.net/image/725136000567/image_hj78om8eel3i901m4b432tcf0m/-FJPG/235100-001_OPN_1.jpg</t>
  </si>
  <si>
    <t>https://dd3ka9h4chfr8.cloudfront.net/image/725136000567/image_pg1m5qjcr51l95s4c3jur12p19/-FJPG/235100-001_DET_4.jpg</t>
  </si>
  <si>
    <t>https://dd3ka9h4chfr8.cloudfront.net/image/725136000567/image_p0s39r9t2t2sv65svcdgisp52l/-FJPG/235100-001_DET_5.jpg</t>
  </si>
  <si>
    <t>https://dd3ka9h4chfr8.cloudfront.net/image/725136000567/image_41b6qiaf3t1ll078v0einjpm2q/-FJPG/235100-001_DET_6.jpg</t>
  </si>
  <si>
    <t>https://dd3ka9h4chfr8.cloudfront.net/image/725136000567/image_71de8dqc5p7iv15sglt8ssbg56/-FJPG/235100-001_DET_7.jpg</t>
  </si>
  <si>
    <t>https://dd3ka9h4chfr8.cloudfront.net/image/725136000567/image_cr09t8esh90a5d4eafmooi9h1j/-FJPG/235100-001_DET_8.jpg</t>
  </si>
  <si>
    <t>Grove</t>
  </si>
  <si>
    <t>235116-002</t>
  </si>
  <si>
    <t>Warby Dining Table - Worn Oak Veneer</t>
  </si>
  <si>
    <t>Worn oak shapes a streamlined dining table with a naturally minimalist look. Seats 8.</t>
  </si>
  <si>
    <t>https://dd3ka9h4chfr8.cloudfront.net/image/725136000567/image_sklb6l50kd7i95qtot7e09gh79/-S150x150-FJPG/235116-002_PRM_1.jpg</t>
  </si>
  <si>
    <t>https://dd3ka9h4chfr8.cloudfront.net/image/725136000567/image_620lvak51t2a3bhgu7nem8cu0l/-FJPG/235116-002_FRT_1.jpg</t>
  </si>
  <si>
    <t>https://dd3ka9h4chfr8.cloudfront.net/image/725136000567/image_sklb6l50kd7i95qtot7e09gh79/-FJPG/235116-002_PRM_1.jpg</t>
  </si>
  <si>
    <t>https://dd3ka9h4chfr8.cloudfront.net/image/725136000567/image_aaeffq4md54j7d6tglidm22b55/-FJPG/235116-002_SID_1.jpg</t>
  </si>
  <si>
    <t>https://dd3ka9h4chfr8.cloudfront.net/image/725136000567/image_pl53co6re516p4etnisfe68j42/-FJPG/235116-002_ESS_1.tif</t>
  </si>
  <si>
    <t>https://dd3ka9h4chfr8.cloudfront.net/image/725136000567/image_91iej21qb52f76err09afeha5q/-FJPG/235116-002_DET_2.jpg</t>
  </si>
  <si>
    <t>https://dd3ka9h4chfr8.cloudfront.net/image/725136000567/image_7n1n8i7frd5q97pdni70au231i/-FJPG/235116-002_DET_1.jpg</t>
  </si>
  <si>
    <t>https://dd3ka9h4chfr8.cloudfront.net/image/725136000567/image_v1vuej86r53at06t8f2lqq5n1u/-FJPG/235116-002_DET_3.jpg</t>
  </si>
  <si>
    <t>https://dd3ka9h4chfr8.cloudfront.net/image/725136000567/image_8m3gmi9b8t4vd71ijavf92ff4q/-FJPG/235116-002_TOP_1.jpg</t>
  </si>
  <si>
    <t>https://dd3ka9h4chfr8.cloudfront.net/image/725136000567/image_aks76sbpp12il6ecslfclr443g/-FJPG/235116-002_DET_4.jpg</t>
  </si>
  <si>
    <t>https://dd3ka9h4chfr8.cloudfront.net/image/725136000567/image_qn5e6j5eih7i9221d6qk0u5d3g/-FJPG/235116-002_DET_5.jpg</t>
  </si>
  <si>
    <t>Warby</t>
  </si>
  <si>
    <t>63.50"</t>
  </si>
  <si>
    <t>27.75"</t>
  </si>
  <si>
    <t>Ski Leg</t>
  </si>
  <si>
    <t>235116-003</t>
  </si>
  <si>
    <t>Warby Dining Table - Worn Black Veneer</t>
  </si>
  <si>
    <t>Worn Black Veneer</t>
  </si>
  <si>
    <t>Worn Black Oak</t>
  </si>
  <si>
    <t>Black-finished oak shapes a streamlined dining table with a rich yet minimalist look. Seats 8.</t>
  </si>
  <si>
    <t>https://dd3ka9h4chfr8.cloudfront.net/image/725136000567/image_75l4sveqmp615avlhp2vvqje0c/-S150x150-FJPG/235116-003_PRM_1.jpg</t>
  </si>
  <si>
    <t>https://dd3ka9h4chfr8.cloudfront.net/image/725136000567/image_m5kc0t467d6ddangkv9jrh2o6q/-FJPG/235116-003_FRT_1.jpg</t>
  </si>
  <si>
    <t>https://dd3ka9h4chfr8.cloudfront.net/image/725136000567/image_75l4sveqmp615avlhp2vvqje0c/-FJPG/235116-003_PRM_1.jpg</t>
  </si>
  <si>
    <t>https://dd3ka9h4chfr8.cloudfront.net/image/725136000567/image_al5svcgovp3mjfurvdgt4qk152/-FJPG/235116-003_SID_1.jpg</t>
  </si>
  <si>
    <t>https://dd3ka9h4chfr8.cloudfront.net/image/725136000567/image_ukvqbvn58d4a5cse8v9jq6nr1e/-FJPG/235116-003_ESS_1.tif</t>
  </si>
  <si>
    <t>https://dd3ka9h4chfr8.cloudfront.net/image/725136000567/image_oilr88cpdt6i77smlf029rq16b/-FJPG/235116-003_DET_2.jpg</t>
  </si>
  <si>
    <t>https://dd3ka9h4chfr8.cloudfront.net/image/725136000567/image_65uognlm414vlfjtbbc14oir1u/-FJPG/235116-003_BCK_1.jpg</t>
  </si>
  <si>
    <t>https://dd3ka9h4chfr8.cloudfront.net/image/725136000567/image_b5q2kfjg350j7b5fgf4tqpva18/-FJPG/235116-003_DET_1.jpg</t>
  </si>
  <si>
    <t>https://dd3ka9h4chfr8.cloudfront.net/image/725136000567/image_nb62ek0kf96qd2kh2cs8t9iq2q/-FJPG/235116-003_DET_3.jpg</t>
  </si>
  <si>
    <t>https://dd3ka9h4chfr8.cloudfront.net/image/725136000567/image_r9occlu6514kb4aejq3lprmn0c/-FJPG/235116-003_TOP_1.tif</t>
  </si>
  <si>
    <t>https://dd3ka9h4chfr8.cloudfront.net/image/725136000567/image_8l2vh884tl705boevvkpnb5a02/-FJPG/235116-003_TOP_1.jpg</t>
  </si>
  <si>
    <t>https://dd3ka9h4chfr8.cloudfront.net/image/725136000567/image_4kaci0ro1942bdhfkpbs1ffn7g/-FJPG/235116-003_DET_4.jpg</t>
  </si>
  <si>
    <t>https://dd3ka9h4chfr8.cloudfront.net/image/725136000567/image_m2ddh7kpf543pd2enr56pabj7u/-FJPG/235116-003_DET_5.jpg</t>
  </si>
  <si>
    <t>https://dd3ka9h4chfr8.cloudfront.net/image/725136000567/image_d90se6s6td17h5k25cs9epb004/-FJPG/235116-003_DET_6.jpg</t>
  </si>
  <si>
    <t>https://dd3ka9h4chfr8.cloudfront.net/image/725136000567/image_ojbg4cai094jn5hjvrgra88q6p/-FJPG/235116-003_DET_7.jpg</t>
  </si>
  <si>
    <t>235117-002</t>
  </si>
  <si>
    <t>Warby Sideboard - Worn Oak</t>
  </si>
  <si>
    <t>Worn oak shapes a streamlined box-style sideboard, with lap joint corners for a detail-driven touch.</t>
  </si>
  <si>
    <t>https://dd3ka9h4chfr8.cloudfront.net/image/725136000567/image_2khrmfs7dd29p684b3vdjgjs1a/-S150x150-FJPG/235117-002_PRM_1.jpg</t>
  </si>
  <si>
    <t>https://dd3ka9h4chfr8.cloudfront.net/image/725136000567/image_ru2th5phgt1qv4d8a78ad4tk37/-FJPG/235117-002_FRT_1.jpg</t>
  </si>
  <si>
    <t>https://dd3ka9h4chfr8.cloudfront.net/image/725136000567/image_2khrmfs7dd29p684b3vdjgjs1a/-FJPG/235117-002_PRM_1.jpg</t>
  </si>
  <si>
    <t>https://dd3ka9h4chfr8.cloudfront.net/image/725136000567/image_bq2rajt1kp22h7situ9ig5qe0k/-FJPG/235117-002_SID_1.jpg</t>
  </si>
  <si>
    <t>https://dd3ka9h4chfr8.cloudfront.net/image/725136000567/image_ij890pu43l06917av5ui6fik71/-FJPG/235117-002_ESS_1.tif</t>
  </si>
  <si>
    <t>https://dd3ka9h4chfr8.cloudfront.net/image/725136000567/image_ua0nm7oha50o1973cmtaco0c5l/-FJPG/235117-002_DET_2.jpg</t>
  </si>
  <si>
    <t>https://dd3ka9h4chfr8.cloudfront.net/image/725136000567/image_tckscred2135dbf4iaot5lnn61/-FJPG/235117-002_DET_1.jpg</t>
  </si>
  <si>
    <t>https://dd3ka9h4chfr8.cloudfront.net/image/725136000567/image_08uqdooqd556f2pnnsgdkh7v74/-FJPG/235117-002_DET_3.jpg</t>
  </si>
  <si>
    <t>https://dd3ka9h4chfr8.cloudfront.net/image/725136000567/image_f7j192qif50gr1h13uujlt3v59/-FJPG/235117-002_TOP_1.jpg</t>
  </si>
  <si>
    <t>https://dd3ka9h4chfr8.cloudfront.net/image/725136000567/image_4ai0b8bs114mv2cgu2j1if565c/-FJPG/235117-002_DET_4.jpg</t>
  </si>
  <si>
    <t>https://dd3ka9h4chfr8.cloudfront.net/image/725136000567/image_mmkhc0tuf93p93gnj8du5h4h2c/-FJPG/235117-002_PRM_2.JPG</t>
  </si>
  <si>
    <t>45.75"</t>
  </si>
  <si>
    <t>235177-002</t>
  </si>
  <si>
    <t>Warby Console Table - Worn Oak Veneer</t>
  </si>
  <si>
    <t>Worn oak shapes a streamlined console table with a naturally minimalist look.</t>
  </si>
  <si>
    <t>https://dd3ka9h4chfr8.cloudfront.net/image/725136000567/image_kso447e3et2kj02kr3sgotdu4s/-S150x150-FJPG/235177-002_PRM_1.jpg</t>
  </si>
  <si>
    <t>https://dd3ka9h4chfr8.cloudfront.net/image/725136000567/image_h5t3vm22sd3hd10ilnu0065a0c/-FJPG/235177-002_FRT_1.jpg</t>
  </si>
  <si>
    <t>https://dd3ka9h4chfr8.cloudfront.net/image/725136000567/image_kso447e3et2kj02kr3sgotdu4s/-FJPG/235177-002_PRM_1.jpg</t>
  </si>
  <si>
    <t>https://dd3ka9h4chfr8.cloudfront.net/image/725136000567/image_bqovupk3nd33t54v406rc4n80p/-FJPG/235177-002_SID_1.jpg</t>
  </si>
  <si>
    <t>https://dd3ka9h4chfr8.cloudfront.net/image/725136000567/image_ptbma781pl7afd2634m39f972t/-FJPG/235177-002_ESS_1.tif</t>
  </si>
  <si>
    <t>https://dd3ka9h4chfr8.cloudfront.net/image/725136000567/image_5pho4ug2dp18f60q9q2j961u5a/-FJPG/235177-002_DET_2.jpg</t>
  </si>
  <si>
    <t>https://dd3ka9h4chfr8.cloudfront.net/image/725136000567/image_rc93cemq111e79qmmct3q76d1k/-FJPG/235177-002_DET_1.jpg</t>
  </si>
  <si>
    <t>https://dd3ka9h4chfr8.cloudfront.net/image/725136000567/image_9ctnscvfpl3gf2g46e7a5u0f6j/-FJPG/235177-002_DET_3.jpg</t>
  </si>
  <si>
    <t>https://dd3ka9h4chfr8.cloudfront.net/image/725136000567/image_u1i8ob3mnh0l5emhu0itfs3t3s/-FJPG/235177-002_TOP_1.jpg</t>
  </si>
  <si>
    <t>https://dd3ka9h4chfr8.cloudfront.net/image/725136000567/image_51gv4lm95969fbgq67ejqbae6g/-FJPG/235177-002_DET_4.jpg</t>
  </si>
  <si>
    <t>https://dd3ka9h4chfr8.cloudfront.net/image/725136000567/image_oamt6i9pul41pavaveijg2bt40/-FJPG/235177-002_DET_9.tif</t>
  </si>
  <si>
    <t>235177-003</t>
  </si>
  <si>
    <t>Warby Console Table - Worn Black Veneer</t>
  </si>
  <si>
    <t>Black-finished oak shapes a streamlined console table with a clean, minimalist look.</t>
  </si>
  <si>
    <t>https://dd3ka9h4chfr8.cloudfront.net/image/725136000567/image_jcaeurqaa54mb5uke6ofjupd54/-S150x150-FJPG/235177-003_PRM_1.jpg</t>
  </si>
  <si>
    <t>https://dd3ka9h4chfr8.cloudfront.net/image/725136000567/image_g52aqatb6p0slcs0q66j3dnc7c/-FJPG/235177-003_FRT_1.jpg</t>
  </si>
  <si>
    <t>https://dd3ka9h4chfr8.cloudfront.net/image/725136000567/image_jcaeurqaa54mb5uke6ofjupd54/-FJPG/235177-003_PRM_1.jpg</t>
  </si>
  <si>
    <t>https://dd3ka9h4chfr8.cloudfront.net/image/725136000567/image_rm2lcpu8214hn4qcmb2c17o94d/-FJPG/235177-003_SID_1.jpg</t>
  </si>
  <si>
    <t>https://dd3ka9h4chfr8.cloudfront.net/image/725136000567/image_qaefl89m1p3r33f2gd432abl63/-FJPG/235177-003_ESS.tif</t>
  </si>
  <si>
    <t>https://dd3ka9h4chfr8.cloudfront.net/image/725136000567/image_jl22m7qaft5gfbmdh2vug08q4q/-FJPG/235177-003_DET_2.jpg</t>
  </si>
  <si>
    <t>https://dd3ka9h4chfr8.cloudfront.net/image/725136000567/image_itonh5igst5g78g2j4dhkmbo52/-FJPG/235177-003_BCK_1.jpg</t>
  </si>
  <si>
    <t>https://dd3ka9h4chfr8.cloudfront.net/image/725136000567/image_bk5lrie0vd0tt331e1s21og66h/-FJPG/235177-003_DET_1.jpg</t>
  </si>
  <si>
    <t>https://dd3ka9h4chfr8.cloudfront.net/image/725136000567/image_lhiroq2ev1153borjiolainb0v/-FJPG/235177-003_DET_3.jpg</t>
  </si>
  <si>
    <t>235178-002</t>
  </si>
  <si>
    <t>Warby Coffee Table - Worn Oak Veneer</t>
  </si>
  <si>
    <t>Light, worn oak shapes a streamlined coffee table with a naturally minimalist look.</t>
  </si>
  <si>
    <t>https://dd3ka9h4chfr8.cloudfront.net/image/725136000567/image_5viq0ap7u12pt4onvl5n51am7s/-S150x150-FJPG/235178-002_PRM_1.jpg</t>
  </si>
  <si>
    <t>https://dd3ka9h4chfr8.cloudfront.net/image/725136000567/image_omiocr8ggt1ifcmvfehjip4i7c/-FJPG/235178-002_FRT_1.jpg</t>
  </si>
  <si>
    <t>https://dd3ka9h4chfr8.cloudfront.net/image/725136000567/image_5viq0ap7u12pt4onvl5n51am7s/-FJPG/235178-002_PRM_1.jpg</t>
  </si>
  <si>
    <t>https://dd3ka9h4chfr8.cloudfront.net/image/725136000567/image_rdgl8m46pt23905p6q2hmt234m/-FJPG/235178-002_SID_1.jpg</t>
  </si>
  <si>
    <t>https://dd3ka9h4chfr8.cloudfront.net/image/725136000567/image_1vtg6bqar961v31ho0gei6q044/-FJPG/235178-002_ESS_1.tif</t>
  </si>
  <si>
    <t>https://dd3ka9h4chfr8.cloudfront.net/image/725136000567/image_iu4tcs5peh33hfd6rlcp4m2e1i/-FJPG/235178-002_DET_2.jpg</t>
  </si>
  <si>
    <t>https://dd3ka9h4chfr8.cloudfront.net/image/725136000567/image_doq2bvf5kt6q18nicgg164dm1v/-FJPG/235178-002_BCK_1.jpg</t>
  </si>
  <si>
    <t>https://dd3ka9h4chfr8.cloudfront.net/image/725136000567/image_08cdtp3pf140p823f7pequpv1d/-FJPG/235178-002_DET_1.jpg</t>
  </si>
  <si>
    <t>https://dd3ka9h4chfr8.cloudfront.net/image/725136000567/image_r17qiijtk56794be6p57533s60/-FJPG/235178-002_DET_3.jpg</t>
  </si>
  <si>
    <t>https://dd3ka9h4chfr8.cloudfront.net/image/725136000567/image_523mn1b26p517fv2ik8fi0m81p/-FJPG/235178-002_TOP_1.jpg</t>
  </si>
  <si>
    <t>https://dd3ka9h4chfr8.cloudfront.net/image/725136000567/image_hsg85siu7t7or5o8cro6t5a36p/-FJPG/235178-002_TOP.jpg</t>
  </si>
  <si>
    <t>https://dd3ka9h4chfr8.cloudfront.net/image/725136000567/image_76tgdln7i13dn6gg49njpslf18/-FJPG/235178-002_DET_4.jpg</t>
  </si>
  <si>
    <t>https://dd3ka9h4chfr8.cloudfront.net/image/725136000567/image_jq4su9oeq517f6t11phacpph7g/-FJPG/235178-002_DET_5.jpg</t>
  </si>
  <si>
    <t>https://dd3ka9h4chfr8.cloudfront.net/image/725136000567/image_9sj8qq4f0d42jc40m27blbm27v/-FJPG/235178-002_DET_9.tif</t>
  </si>
  <si>
    <t>235178-003</t>
  </si>
  <si>
    <t>Warby Coffee Table - Worn Black Veneer</t>
  </si>
  <si>
    <t>Black-finished oak shapes a streamlined coffee table with a rich while minimalist look.</t>
  </si>
  <si>
    <t>https://dd3ka9h4chfr8.cloudfront.net/image/725136000567/image_g2029r9h1h7pnefqr6phmcga6o/-S150x150-FJPG/235178-003_PRM_1.jpg</t>
  </si>
  <si>
    <t>https://dd3ka9h4chfr8.cloudfront.net/image/725136000567/image_qj22ta4mol21jf9um4etumh76k/-FJPG/235178-003_FRT_1.jpg</t>
  </si>
  <si>
    <t>https://dd3ka9h4chfr8.cloudfront.net/image/725136000567/image_g2029r9h1h7pnefqr6phmcga6o/-FJPG/235178-003_PRM_1.jpg</t>
  </si>
  <si>
    <t>https://dd3ka9h4chfr8.cloudfront.net/image/725136000567/image_n09utsqnq9449drkbl2cth9i44/-FJPG/235178-003_SID_1.jpg</t>
  </si>
  <si>
    <t>https://dd3ka9h4chfr8.cloudfront.net/image/725136000567/image_l8v506adeh4k9de6vo61nnsn70/-FJPG/235178-003_ESS_1.tif</t>
  </si>
  <si>
    <t>https://dd3ka9h4chfr8.cloudfront.net/image/725136000567/image_7b042ugru529p0dukri5tp085h/-FJPG/235178-003_DET_2.jpg</t>
  </si>
  <si>
    <t>https://dd3ka9h4chfr8.cloudfront.net/image/725136000567/image_9nin16242l2s705pbegdksn43a/-FJPG/235178-003_BCK_1.jpg</t>
  </si>
  <si>
    <t>https://dd3ka9h4chfr8.cloudfront.net/image/725136000567/image_8cn4akfem55l951lmb1ohgos2e/-FJPG/235178-003_DET_1.jpg</t>
  </si>
  <si>
    <t>https://dd3ka9h4chfr8.cloudfront.net/image/725136000567/image_ft5n095p1t2th5bbb6obdcml3s/-FJPG/235178-003_DET_3.jpg</t>
  </si>
  <si>
    <t>https://dd3ka9h4chfr8.cloudfront.net/image/725136000567/image_aifbtitefp6frf40uk3ci2vt2l/-FJPG/235178-003_TOP_1.jpg</t>
  </si>
  <si>
    <t>https://dd3ka9h4chfr8.cloudfront.net/image/725136000567/image_8om583h66d13r2te46s8mrgk1n/-FJPG/235178-003_DET_4.jpg</t>
  </si>
  <si>
    <t>235179-002</t>
  </si>
  <si>
    <t>Warby Desk - Worn Oak</t>
  </si>
  <si>
    <t>Worn oak shapes a streamlined desk with a naturally minimalist look. Four drawers for handy storage space.</t>
  </si>
  <si>
    <t>https://dd3ka9h4chfr8.cloudfront.net/image/725136000567/image_fei47iv1k53o14def96ek1lf1m/-S150x150-FJPG/235179-002_PRM_1.jpg</t>
  </si>
  <si>
    <t>https://dd3ka9h4chfr8.cloudfront.net/image/725136000567/image_t7cec5v9fh2593hm7qn35sdu1o/-FJPG/235179-002_FRT_1.jpg</t>
  </si>
  <si>
    <t>https://dd3ka9h4chfr8.cloudfront.net/image/725136000567/image_fei47iv1k53o14def96ek1lf1m/-FJPG/235179-002_PRM_1.jpg</t>
  </si>
  <si>
    <t>https://dd3ka9h4chfr8.cloudfront.net/image/725136000567/image_lb8r5pahop1p5d6pu478m8d76m/-FJPG/235179-002_SID_1.jpg</t>
  </si>
  <si>
    <t>https://dd3ka9h4chfr8.cloudfront.net/image/725136000567/image_nfopgbp3nt79h4amtc9efo7k52/-FJPG/235179-002_ESS_1.tif</t>
  </si>
  <si>
    <t>https://dd3ka9h4chfr8.cloudfront.net/image/725136000567/image_afls7li805459em8ooi5m4u36r/-FJPG/235179-002_DET_2.jpg</t>
  </si>
  <si>
    <t>https://dd3ka9h4chfr8.cloudfront.net/image/725136000567/image_1uvgqtr07h2if7cqjj6jcede3p/-FJPG/235179-002_BCK_1.jpg</t>
  </si>
  <si>
    <t>https://dd3ka9h4chfr8.cloudfront.net/image/725136000567/image_ol98ftk3b13jb45equhnfc510s/-FJPG/235179-002_DET_1.jpg</t>
  </si>
  <si>
    <t>https://dd3ka9h4chfr8.cloudfront.net/image/725136000567/image_8fdh44i4fl6mbf9ni9lqn26r40/-FJPG/235179-002_DET_3.jpg</t>
  </si>
  <si>
    <t>https://dd3ka9h4chfr8.cloudfront.net/image/725136000567/image_9rd7iaej357opejeneaojt0e4o/-FJPG/235179-002_TOP_1.jpg</t>
  </si>
  <si>
    <t>https://dd3ka9h4chfr8.cloudfront.net/image/725136000567/image_narksv5sop7ohagtakvuoihc35/-FJPG/235179-002_DET_9.tif</t>
  </si>
  <si>
    <t>https://dd3ka9h4chfr8.cloudfront.net/image/725136000567/image_9v8jcj8tul4hf72gobiudqu61h/-FJPG/235179-002_PRM_2.jpg</t>
  </si>
  <si>
    <t>13.75"</t>
  </si>
  <si>
    <t>235211-002</t>
  </si>
  <si>
    <t>Papile Chair - Cream Shearling</t>
  </si>
  <si>
    <t>Cream Shearling</t>
  </si>
  <si>
    <t>100% Sheared Sheepskin</t>
  </si>
  <si>
    <t>A modern take on the vintage school chair, upholstered in plush cream shearling of 100% sheepskin. Perfect as an accent chair or in pairs.</t>
  </si>
  <si>
    <t>https://dd3ka9h4chfr8.cloudfront.net/image/725136000567/image_qu0lbjmtud6635q3m9qpassv0d/-S150x150-FJPG/235211-002_PRM_1.jpg</t>
  </si>
  <si>
    <t>https://dd3ka9h4chfr8.cloudfront.net/image/725136000567/image_5606p7k6h93fj7m0tvplapkr7b/-FJPG/235211-002_FRT_1.jpg</t>
  </si>
  <si>
    <t>https://dd3ka9h4chfr8.cloudfront.net/image/725136000567/image_qu0lbjmtud6635q3m9qpassv0d/-FJPG/235211-002_PRM_1.jpg</t>
  </si>
  <si>
    <t>https://dd3ka9h4chfr8.cloudfront.net/image/725136000567/image_uckv2hggm506h68anpddgnec1m/-FJPG/235211-002_SID_1.jpg</t>
  </si>
  <si>
    <t>https://dd3ka9h4chfr8.cloudfront.net/image/725136000567/image_p6p8r0i0fh1s7folcknsl2gf0v/-FJPG/235211-002_ESS_1.jpg</t>
  </si>
  <si>
    <t>https://dd3ka9h4chfr8.cloudfront.net/image/725136000567/image_m367va0n5d58rcvhierhmcaq5b/-FJPG/235211-002_DET_2.jpg</t>
  </si>
  <si>
    <t>https://dd3ka9h4chfr8.cloudfront.net/image/725136000567/image_b6ar3n0ggp3493oj5p0im9rf4h/-FJPG/235211-002_BCK_1.jpg</t>
  </si>
  <si>
    <t>https://dd3ka9h4chfr8.cloudfront.net/image/725136000567/image_otn5l9q6d12hvdsgvdies8641h/-FJPG/235211-002_DET_1.jpg</t>
  </si>
  <si>
    <t>https://dd3ka9h4chfr8.cloudfront.net/image/725136000567/image_ov9onuc1k548tddg0p81mhve78/-FJPG/235211-002_DET_3.jpg</t>
  </si>
  <si>
    <t>https://dd3ka9h4chfr8.cloudfront.net/image/725136000567/image_c2hq7gru3d4j38r3l8b5c3r31a/-FJPG/235211-002_DET_4.jpg</t>
  </si>
  <si>
    <t>https://dd3ka9h4chfr8.cloudfront.net/image/725136000567/image_duf14dtmm10nt85bepdubauc5s/-FJPG/235211-002_DET_5.jpg</t>
  </si>
  <si>
    <t>https://dd3ka9h4chfr8.cloudfront.net/image/725136000567/image_imnvjtug3l3r1agi4k7o21hk05/-FJPG/235211-002_DET_6.jpg</t>
  </si>
  <si>
    <t>https://dd3ka9h4chfr8.cloudfront.net/image/725136000567/image_ov5h1bsp4h4pj2hdapuprku474/-FJPG/235211-002_DET_7.jpg</t>
  </si>
  <si>
    <t>https://dd3ka9h4chfr8.cloudfront.net/image/725136000567/image_q6qk7adtjl3b14ml865abdri0u/-FJPG/235211-002_ROM_1.jpg</t>
  </si>
  <si>
    <t>Papile</t>
  </si>
  <si>
    <t>22.87"</t>
  </si>
  <si>
    <t>24.96"</t>
  </si>
  <si>
    <t>235235-001</t>
  </si>
  <si>
    <t>Brodie Chair - Sheldon Ivory</t>
  </si>
  <si>
    <t>Smoked Grey</t>
  </si>
  <si>
    <t>A cozy spot to lounge with its high-pile texture and bulky taper, a sculpted chair is a modern take on 1970s seating. A solid oak frame in neutral grey complements soft, ivory upholstery.</t>
  </si>
  <si>
    <t>https://dd3ka9h4chfr8.cloudfront.net/image/725136000567/image_gfr8ad7ill32d68htogehmib3j/-S150x150-FJPG/235235-001_PRM_1.jpg</t>
  </si>
  <si>
    <t>https://dd3ka9h4chfr8.cloudfront.net/image/725136000567/image_d6iiak0ttt33j8u9sekl3qaj1o/-FJPG/235235-001_FRT_1.jpg</t>
  </si>
  <si>
    <t>https://dd3ka9h4chfr8.cloudfront.net/image/725136000567/image_gfr8ad7ill32d68htogehmib3j/-FJPG/235235-001_PRM_1.jpg</t>
  </si>
  <si>
    <t>https://dd3ka9h4chfr8.cloudfront.net/image/725136000567/image_vo7a2c8pg95o18t8rje17b3v4i/-FJPG/235235-001_SID_1.jpg</t>
  </si>
  <si>
    <t>https://dd3ka9h4chfr8.cloudfront.net/image/725136000567/image_e0o3libhl51739mto367m5d161/-FJPG/235235-001_ESS_1.jpg</t>
  </si>
  <si>
    <t>https://dd3ka9h4chfr8.cloudfront.net/image/725136000567/image_h6567vu80119p2nh1634ddvp5d/-FJPG/235235-001_DET_2.jpg</t>
  </si>
  <si>
    <t>https://dd3ka9h4chfr8.cloudfront.net/image/725136000567/image_uheolj13md3l5c036b0fn06u6o/-FJPG/235235-001_BCK_1.jpg</t>
  </si>
  <si>
    <t>https://dd3ka9h4chfr8.cloudfront.net/image/725136000567/image_2q2nusrtf55ot7m10a017tjg58/-FJPG/235235-001_DET_1.jpg</t>
  </si>
  <si>
    <t>https://dd3ka9h4chfr8.cloudfront.net/image/725136000567/image_8iljuip1td3cpcrs5g45ua804q/-FJPG/235235-001_DET_3.jpg</t>
  </si>
  <si>
    <t>https://dd3ka9h4chfr8.cloudfront.net/image/725136000567/image_aathlnpo7l4pb1qrre7p2nvu0r/-FJPG/235235-001_DET_4.jpg</t>
  </si>
  <si>
    <t>https://dd3ka9h4chfr8.cloudfront.net/image/725136000567/image_seccv0elk562t29fpikk684m66/-FJPG/235235-001_DET_5.jpg</t>
  </si>
  <si>
    <t>https://dd3ka9h4chfr8.cloudfront.net/image/725136000567/image_1neo4uip8d2f964t3ajhs83h43/-FJPG/235235-001_PRM_2.jpg</t>
  </si>
  <si>
    <t>Brodie</t>
  </si>
  <si>
    <t>12.95"</t>
  </si>
  <si>
    <t>24.61"</t>
  </si>
  <si>
    <t>235235-003</t>
  </si>
  <si>
    <t>Brodie Chair - Andes Toast</t>
  </si>
  <si>
    <t>This cozy, textural update to 1970s seating meets faux Mongolian shearling with a solid oak frame.</t>
  </si>
  <si>
    <t>https://dd3ka9h4chfr8.cloudfront.net/image/725136000567/image_s34hjf679535b51407glhd2j1s/-S150x150-FJPG/235235-003_PRM_1.jpg</t>
  </si>
  <si>
    <t>https://dd3ka9h4chfr8.cloudfront.net/image/725136000567/image_hgucugnnkh7dr7kuc9884vjr3c/-FJPG/235235-003_FRT_1.jpg</t>
  </si>
  <si>
    <t>https://dd3ka9h4chfr8.cloudfront.net/image/725136000567/image_s34hjf679535b51407glhd2j1s/-FJPG/235235-003_PRM_1.jpg</t>
  </si>
  <si>
    <t>https://dd3ka9h4chfr8.cloudfront.net/image/725136000567/image_0pr88oload0c70no1c3t4jpc3s/-FJPG/235235-003_SID_1.jpg</t>
  </si>
  <si>
    <t>https://dd3ka9h4chfr8.cloudfront.net/image/725136000567/image_lbsms09tkt2gt8gcvvbvvo1039/-FJPG/235235-003_ESS.tif</t>
  </si>
  <si>
    <t>https://dd3ka9h4chfr8.cloudfront.net/image/725136000567/image_3rhth5ub2t1an9v2a6c6gi9f2b/-FJPG/235235-003_DET_2.jpg</t>
  </si>
  <si>
    <t>https://dd3ka9h4chfr8.cloudfront.net/image/725136000567/image_g0a4n5tpi92hf94ta5gva3o76a/-FJPG/235235-003_BCK_1.jpg</t>
  </si>
  <si>
    <t>https://dd3ka9h4chfr8.cloudfront.net/image/725136000567/image_u554q6v7q918tanhlijls7ni3j/-FJPG/235235-003_DET_1.jpg</t>
  </si>
  <si>
    <t>https://dd3ka9h4chfr8.cloudfront.net/image/725136000567/image_u4ef22om7d4bte0r8278c5o53v/-FJPG/235235-003_DET_3.jpg</t>
  </si>
  <si>
    <t>https://dd3ka9h4chfr8.cloudfront.net/image/725136000567/image_73m1a6tsk908n14c9vdgn8hp46/-FJPG/235235-003_DET_4.jpg</t>
  </si>
  <si>
    <t>https://dd3ka9h4chfr8.cloudfront.net/image/725136000567/image_ffsp321gd13pj386j3jl0d646m/-FJPG/235235-003_DET_5.jpg</t>
  </si>
  <si>
    <t>https://dd3ka9h4chfr8.cloudfront.net/image/725136000567/image_3ebdttfr855kn5nfger6t3gm7v/-FJPG/235235-003_DET_6.jpg</t>
  </si>
  <si>
    <t>235235-005</t>
  </si>
  <si>
    <t>Brodie Chair - Ivan Granite</t>
  </si>
  <si>
    <t>Almond Oak</t>
  </si>
  <si>
    <t>https://dd3ka9h4chfr8.cloudfront.net/image/725136000567/image_o8b1jlgj210rp5mj29lghp9k3g/-S150x150-FJPG/235235-005_PRM_1.jpg</t>
  </si>
  <si>
    <t>https://dd3ka9h4chfr8.cloudfront.net/image/725136000567/image_urnsq177i15fl244nb6pr4591e/-FJPG/235235-005_FRT_1.jpg</t>
  </si>
  <si>
    <t>https://dd3ka9h4chfr8.cloudfront.net/image/725136000567/image_o8b1jlgj210rp5mj29lghp9k3g/-FJPG/235235-005_PRM_1.jpg</t>
  </si>
  <si>
    <t>https://dd3ka9h4chfr8.cloudfront.net/image/725136000567/image_cl6gaht97530lblecb7ik6r20o/-FJPG/235235-005_SID_1.jpg</t>
  </si>
  <si>
    <t>https://dd3ka9h4chfr8.cloudfront.net/image/725136000567/image_d2ji5jb5u93vb4uspt5nt2bp72/-FJPG/235235-005_DET_2.jpg</t>
  </si>
  <si>
    <t>https://dd3ka9h4chfr8.cloudfront.net/image/725136000567/image_qul768rk250u937st0el89oj4q/-FJPG/235235-005_BCK_1.jpg</t>
  </si>
  <si>
    <t>https://dd3ka9h4chfr8.cloudfront.net/image/725136000567/image_1hclvtekfh0p5bcuii58kpg61f/-FJPG/235235-005_DET_1.jpg</t>
  </si>
  <si>
    <t>https://dd3ka9h4chfr8.cloudfront.net/image/725136000567/image_31lu6338515k76scvoapoqif2s/-FJPG/235235-005_DET_3.jpg</t>
  </si>
  <si>
    <t>https://dd3ka9h4chfr8.cloudfront.net/image/725136000567/image_d0snior8355cndlsluapqtfq1a/-FJPG/235235-005_DET_4.jpg</t>
  </si>
  <si>
    <t>https://dd3ka9h4chfr8.cloudfront.net/image/725136000567/image_ga16ngdobt6175arrvn0nbbd7p/-FJPG/235235-005_DET_5.jpg</t>
  </si>
  <si>
    <t>https://dd3ka9h4chfr8.cloudfront.net/image/725136000567/image_90vem416bt1f97gj558rpg9t59/-FJPG/235235-005_DET_6.jpg</t>
  </si>
  <si>
    <t>235240-001</t>
  </si>
  <si>
    <t>Graham Chair - Andes Natural</t>
  </si>
  <si>
    <t>The classic high-back spindle chair gets a dramatic and comfy update with thick loose cushions covered in a plush, high-pile faux Mongolian shearling.</t>
  </si>
  <si>
    <t>https://dd3ka9h4chfr8.cloudfront.net/image/725136000567/image_9b9cuujhql6ip1u1h0ngt7ce4p/-S150x150-FJPG/235240-001_PRM_1.jpg</t>
  </si>
  <si>
    <t>https://dd3ka9h4chfr8.cloudfront.net/image/725136000567/image_qo276394qd6bh649bbdmev6u59/-FJPG/235240-001_FRT_1.jpg</t>
  </si>
  <si>
    <t>https://dd3ka9h4chfr8.cloudfront.net/image/725136000567/image_9b9cuujhql6ip1u1h0ngt7ce4p/-FJPG/235240-001_PRM_1.jpg</t>
  </si>
  <si>
    <t>https://dd3ka9h4chfr8.cloudfront.net/image/725136000567/image_kto6vnug416e9774cj4skfbd69/-FJPG/235240-001_SID_1.jpg</t>
  </si>
  <si>
    <t>https://dd3ka9h4chfr8.cloudfront.net/image/725136000567/image_cld24e38ml3on4kjohf8n6nq7e/-FJPG/235240-001_ESS_1.jpg</t>
  </si>
  <si>
    <t>https://dd3ka9h4chfr8.cloudfront.net/image/725136000567/image_l0ccochkid2ab47ij70r2gom2t/-FJPG/235240-001_DET_2.jpg</t>
  </si>
  <si>
    <t>https://dd3ka9h4chfr8.cloudfront.net/image/725136000567/image_lktg28ns9d1tv1agj5ro25kf2t/-FJPG/235240-001_BCK_1.jpg</t>
  </si>
  <si>
    <t>https://dd3ka9h4chfr8.cloudfront.net/image/725136000567/image_thd6882s2d01hd338li7h3b60q/-FJPG/235240-001_DET_1.jpg</t>
  </si>
  <si>
    <t>https://dd3ka9h4chfr8.cloudfront.net/image/725136000567/image_sh0087a1kt72b6pmd5on4vhj61/-FJPG/235240-001_DET_3.jpg</t>
  </si>
  <si>
    <t>https://dd3ka9h4chfr8.cloudfront.net/image/725136000567/image_ca4ne2u3gt28162s2ts0ot5812/-FJPG/235240-001_DET_4.jpg</t>
  </si>
  <si>
    <t>https://dd3ka9h4chfr8.cloudfront.net/image/725136000567/image_fpea8ranq16u5b6is7mks19j0b/-FJPG/235240-001_DET_5.jpg</t>
  </si>
  <si>
    <t>https://dd3ka9h4chfr8.cloudfront.net/image/725136000567/image_sakv7ipim560398v017intn76c/-FJPG/235240-001_DET_6.jpg</t>
  </si>
  <si>
    <t>https://dd3ka9h4chfr8.cloudfront.net/image/725136000567/image_4k2c80anv56dhbc0mf58j05s12/-FJPG/235240-001_DET_7.jpg</t>
  </si>
  <si>
    <t>https://dd3ka9h4chfr8.cloudfront.net/image/725136000567/image_8alg495aa90nr8dan4vrqiri68/-FJPG/235240-001_ROM_1.jpg</t>
  </si>
  <si>
    <t>40% Polyurethane Foam, 30% Polyester Fiber, 30% Duck Feather</t>
  </si>
  <si>
    <t>Graham</t>
  </si>
  <si>
    <t>235240-005</t>
  </si>
  <si>
    <t>Graham Chair - Manchester Flint</t>
  </si>
  <si>
    <t>The classic high-back spindle chair gets a dramatic and comfy update with thick loose cushions covered in a classic cream-and-grey striped flax/linen blend.</t>
  </si>
  <si>
    <t>https://dd3ka9h4chfr8.cloudfront.net/image/725136000567/image_jj1c4uufc93jbf2mn778k2rs1o/-S150x150-FJPG/235240-005_PRM_1.jpg</t>
  </si>
  <si>
    <t>https://dd3ka9h4chfr8.cloudfront.net/image/725136000567/image_rhfcg15uoh7vn6eff576n2gu7m/-FJPG/235240-005_FRT_1.jpg</t>
  </si>
  <si>
    <t>https://dd3ka9h4chfr8.cloudfront.net/image/725136000567/image_jj1c4uufc93jbf2mn778k2rs1o/-FJPG/235240-005_PRM_1.jpg</t>
  </si>
  <si>
    <t>https://dd3ka9h4chfr8.cloudfront.net/image/725136000567/image_micvvp5p3t03tblhucjn4jdk0l/-FJPG/235240-005_SID_1.jpg</t>
  </si>
  <si>
    <t>https://dd3ka9h4chfr8.cloudfront.net/image/725136000567/image_navqm687nh3250c2ed2aab7k0f/-FJPG/235240-005_DET_2.jpg</t>
  </si>
  <si>
    <t>https://dd3ka9h4chfr8.cloudfront.net/image/725136000567/image_4akq43vl3l5qp2ldfjv4ks0m5h/-FJPG/235240-005_BCK_1.jpg</t>
  </si>
  <si>
    <t>https://dd3ka9h4chfr8.cloudfront.net/image/725136000567/image_7jpr0horgh3sp622esqufduf3s/-FJPG/235240-005_DET_1.jpg</t>
  </si>
  <si>
    <t>https://dd3ka9h4chfr8.cloudfront.net/image/725136000567/image_mhmsm7mcrd0gtakqhqe313ug0j/-FJPG/235240-005_DET_3.jpg</t>
  </si>
  <si>
    <t>https://dd3ka9h4chfr8.cloudfront.net/image/725136000567/image_drn7pbafpl4cf6lafbnhp45b3s/-FJPG/235240-005_DET_4.jpg</t>
  </si>
  <si>
    <t>https://dd3ka9h4chfr8.cloudfront.net/image/725136000567/image_3ret6qqk490mpamd5iu9t45c52/-FJPG/235240-005_DET_5.jpg</t>
  </si>
  <si>
    <t>https://dd3ka9h4chfr8.cloudfront.net/image/725136000567/image_39gmk8o2ct55v7v6720ino3h26/-FJPG/235240-005_DET_6.jpg</t>
  </si>
  <si>
    <t>235243-003</t>
  </si>
  <si>
    <t>Elliana Swivel Chair - FIQA Boucle Natural</t>
  </si>
  <si>
    <t>FIQA Boucle Natural</t>
  </si>
  <si>
    <t>Meet the chair that offers it all: curves, texture, durability, and sustainability. All atop a modern 360-degree swivel. Easy to clean and made from fully recyclable materials, FIQA fabrics are machine-washable, stain-resistant, water-repellent and antimicrobial.</t>
  </si>
  <si>
    <t>https://dd3ka9h4chfr8.cloudfront.net/image/725136000567/image_j0rmv4v9ml0ifa4g53jp30uv2i/-S150x150-FJPG/235243-003_PRM_1.JPG</t>
  </si>
  <si>
    <t>https://dd3ka9h4chfr8.cloudfront.net/image/725136000567/image_s4lt64mqr94mrd0j9gg11q6h7j/-FJPG/235243-003_FRT_1.JPG</t>
  </si>
  <si>
    <t>https://dd3ka9h4chfr8.cloudfront.net/image/725136000567/image_j0rmv4v9ml0ifa4g53jp30uv2i/-FJPG/235243-003_PRM_1.JPG</t>
  </si>
  <si>
    <t>https://dd3ka9h4chfr8.cloudfront.net/image/725136000567/image_noscft0en57ebe5rg9hi55f321/-FJPG/235243-003_SID_1.JPG</t>
  </si>
  <si>
    <t>https://dd3ka9h4chfr8.cloudfront.net/image/725136000567/image_c1upethjr54sn5hdajd3285r5k/-FJPG/235243-003_ESS_1.jpg</t>
  </si>
  <si>
    <t>https://dd3ka9h4chfr8.cloudfront.net/image/725136000567/image_r634209au901h4sjmvs16gme6a/-FJPG/235243-003_DET_2.JPG</t>
  </si>
  <si>
    <t>https://dd3ka9h4chfr8.cloudfront.net/image/725136000567/image_oflact58ap0rn1c687c2o9cp5j/-FJPG/235243-003_BCK_1.JPG</t>
  </si>
  <si>
    <t>https://dd3ka9h4chfr8.cloudfront.net/image/725136000567/image_50gga0vi197210oqdk6kmsas3r/-FJPG/235243-003_INF_1.jpg</t>
  </si>
  <si>
    <t>https://dd3ka9h4chfr8.cloudfront.net/image/725136000567/image_e83uneeksd4v1ek7elhh1mem77/-FJPG/235243-003_DET_1.JPG</t>
  </si>
  <si>
    <t>https://dd3ka9h4chfr8.cloudfront.net/image/725136000567/image_30cambdms57t363qmcmcq59h7c/-FJPG/235243-003_DET_3.JPG</t>
  </si>
  <si>
    <t>Complete Item,Bevel Box, H1=790mm,H2=610mm</t>
  </si>
  <si>
    <t>Elliana</t>
  </si>
  <si>
    <t>235243-007</t>
  </si>
  <si>
    <t>Elliana Swivel Chair - FIQA Boucle Olive</t>
  </si>
  <si>
    <t>Meet the chair that offers it all: curves, color, texture, durability, and sustainability. All atop a modern 360-degree swivel. Easy to clean and made from fully recyclable materials, FIQA fabrics are machine-washable, stain-resistant, water-repellent and antimicrobial.</t>
  </si>
  <si>
    <t>https://dd3ka9h4chfr8.cloudfront.net/image/725136000567/image_qhb2p0ral92sfap2jvmu9fft4a/-S150x150-FJPG/235243-007_PRM_1.jpg</t>
  </si>
  <si>
    <t>https://dd3ka9h4chfr8.cloudfront.net/image/725136000567/image_urp5ljdv9p1q368p2m3prdk25j/-FJPG/235243-007_FRT_1.JPG</t>
  </si>
  <si>
    <t>https://dd3ka9h4chfr8.cloudfront.net/image/725136000567/image_qhb2p0ral92sfap2jvmu9fft4a/-FJPG/235243-007_PRM_1.jpg</t>
  </si>
  <si>
    <t>https://dd3ka9h4chfr8.cloudfront.net/image/725136000567/image_5f2je9bu9d2vj9cme4b9s23v24/-FJPG/235243-007_SID_1.jpg</t>
  </si>
  <si>
    <t>https://dd3ka9h4chfr8.cloudfront.net/image/725136000567/image_2f4qa3hu8d5k33t0b8tu76su2g/-FJPG/235243-007_ESS_1.jpg</t>
  </si>
  <si>
    <t>https://dd3ka9h4chfr8.cloudfront.net/image/725136000567/image_drahe007kt4q15hdrhnbohov69/-FJPG/235243-007_DET_2.jpg</t>
  </si>
  <si>
    <t>https://dd3ka9h4chfr8.cloudfront.net/image/725136000567/image_g7ljla3g7p35f5b99qfjtagm4d/-FJPG/235243-007_BCK_1.jpg</t>
  </si>
  <si>
    <t>https://dd3ka9h4chfr8.cloudfront.net/image/725136000567/image_tvrfdsq4o90cf1jhuhmldf8p17/-FJPG/235243-007_INF_1.jpg</t>
  </si>
  <si>
    <t>https://dd3ka9h4chfr8.cloudfront.net/image/725136000567/image_84sjaltit94c97jb6i4es6ib32/-FJPG/235243-007_DET_1.jpg</t>
  </si>
  <si>
    <t>https://dd3ka9h4chfr8.cloudfront.net/image/725136000567/image_0fm5g448bl62naqvj4m4liun68/-FJPG/235243-007_DET_3.jpg</t>
  </si>
  <si>
    <t>https://dd3ka9h4chfr8.cloudfront.net/image/725136000567/image_410egu59ht5dh8bmfvuk6c3b4j/-FJPG/235243-007_DET_4.jpg</t>
  </si>
  <si>
    <t>https://dd3ka9h4chfr8.cloudfront.net/image/725136000567/image_s5c9126qvp0cj4nlqfk4f1fk77/-FJPG/235243-007_DET_5.jpg</t>
  </si>
  <si>
    <t>https://dd3ka9h4chfr8.cloudfront.net/image/725136000567/image_06djtvjgnt2uj3dhqfn61l3a0v/-FJPG/FHMPRJ-007_SCENE_7.tif</t>
  </si>
  <si>
    <t>235243-008</t>
  </si>
  <si>
    <t>Elliana Swivel Chair - Surrey Olive</t>
  </si>
  <si>
    <t>https://dd3ka9h4chfr8.cloudfront.net/image/725136000567/image_scvqfrelmd3uh8kual9ukkfr3h/-S150x150-FJPG/235243-008_PRM_1.JPG</t>
  </si>
  <si>
    <t>https://dd3ka9h4chfr8.cloudfront.net/image/725136000567/image_op1oelstlp5oj46kafor56l61o/-FJPG/235243-008_FRT_1.JPG</t>
  </si>
  <si>
    <t>https://dd3ka9h4chfr8.cloudfront.net/image/725136000567/image_scvqfrelmd3uh8kual9ukkfr3h/-FJPG/235243-008_PRM_1.JPG</t>
  </si>
  <si>
    <t>https://dd3ka9h4chfr8.cloudfront.net/image/725136000567/image_l6b1prk6qp43p4qisjnkfvgk4s/-FJPG/235243-008_SID_1.JPG</t>
  </si>
  <si>
    <t>https://dd3ka9h4chfr8.cloudfront.net/image/725136000567/image_33nat5hlfd7g3d27pp9ep6p637/-FJPG/235243-008_DET_2.JPG</t>
  </si>
  <si>
    <t>https://dd3ka9h4chfr8.cloudfront.net/image/725136000567/image_pd66ah6mmd09n4jgpa1qfk6s0f/-FJPG/235243-008_BCK_1.JPG</t>
  </si>
  <si>
    <t>https://dd3ka9h4chfr8.cloudfront.net/image/725136000567/image_l4mop45vdt4dr531tg9rtj0n6j/-FJPG/235243-008_DET_1.JPG</t>
  </si>
  <si>
    <t>https://dd3ka9h4chfr8.cloudfront.net/image/725136000567/image_qr4uguv2o17thfe1pv4a3ka962/-FJPG/235243-008_DET_3.JPG</t>
  </si>
  <si>
    <t>https://dd3ka9h4chfr8.cloudfront.net/image/725136000567/image_kv9q7f05ih55d87lop926fri4k/-FJPG/235243-008_DET_4.JPG</t>
  </si>
  <si>
    <t>235243-009</t>
  </si>
  <si>
    <t>Elliana Swivel Chair - Blamont Cream</t>
  </si>
  <si>
    <t>Blamont Cream</t>
  </si>
  <si>
    <t>https://dd3ka9h4chfr8.cloudfront.net/image/725136000567/image_gs2v2pkgn94oj5bkaj3h4k6515/-S150x150-FJPG/235243-009_PRM_1.jpg</t>
  </si>
  <si>
    <t>https://dd3ka9h4chfr8.cloudfront.net/image/725136000567/image_6fg20ggjqt4gje141c9fq4lv76/-FJPG/235243-009_FRT_1.jpg</t>
  </si>
  <si>
    <t>https://dd3ka9h4chfr8.cloudfront.net/image/725136000567/image_gs2v2pkgn94oj5bkaj3h4k6515/-FJPG/235243-009_PRM_1.jpg</t>
  </si>
  <si>
    <t>https://dd3ka9h4chfr8.cloudfront.net/image/725136000567/image_9qdngj6mod0fd267382s9v2m7k/-FJPG/235243-009_SID_1.jpg</t>
  </si>
  <si>
    <t>https://dd3ka9h4chfr8.cloudfront.net/image/725136000567/image_sh6ru99sst39d5kn91uhkiua20/-FJPG/235243-009_ESS.tif</t>
  </si>
  <si>
    <t>https://dd3ka9h4chfr8.cloudfront.net/image/725136000567/image_e3so000c6p2119lh5jvolel454/-FJPG/235243-009_DET_2.jpg</t>
  </si>
  <si>
    <t>https://dd3ka9h4chfr8.cloudfront.net/image/725136000567/image_ip0vligrop2bddr49iu6jdm36b/-FJPG/235243-009_BCK_1.jpg</t>
  </si>
  <si>
    <t>https://dd3ka9h4chfr8.cloudfront.net/image/725136000567/image_a48e1c8jdl3np796u6sfs67a52/-FJPG/235243-009_DET_1.jpg</t>
  </si>
  <si>
    <t>https://dd3ka9h4chfr8.cloudfront.net/image/725136000567/image_n5v42vdde51ipb57cs4gkh2o0p/-FJPG/235243-009_DET_3.jpg</t>
  </si>
  <si>
    <t>https://dd3ka9h4chfr8.cloudfront.net/image/725136000567/image_18osgjjj3d4i71l50psh9mea4d/-FJPG/235243-009_DET_4.jpg</t>
  </si>
  <si>
    <t>https://dd3ka9h4chfr8.cloudfront.net/image/725136000567/image_peoko0upgt0h9avi7htbtsl359/-FJPG/235243-009_DET_5.jpg</t>
  </si>
  <si>
    <t>https://dd3ka9h4chfr8.cloudfront.net/image/725136000567/image_r7k6gra65l5ll9vtlbenvjat72/-FJPG/235243-009_DET_9.tif</t>
  </si>
  <si>
    <t>235331-006</t>
  </si>
  <si>
    <t>Jarvis Recliner - Dakota Tobacco</t>
  </si>
  <si>
    <t>A mix of midcentury and Japanese antique inspiration. The recliner's exposed solid wood frame is flanked by paddle arms that curve into a high back accented with two button tufts. Upholstered in a rich tobacco-hued leather produced at a family-owned tannery in Thailand.</t>
  </si>
  <si>
    <t>https://dd3ka9h4chfr8.cloudfront.net/image/725136000567/image_0dqr3sch49205bacgaij5e5502/-S150x150-FJPG/235331-006_PRM_1.jpg</t>
  </si>
  <si>
    <t>https://dd3ka9h4chfr8.cloudfront.net/image/725136000567/image_umsnshn17d54b78ac3550pgs6s/-FJPG/235331-006_FRT_1.jpg</t>
  </si>
  <si>
    <t>https://dd3ka9h4chfr8.cloudfront.net/image/725136000567/image_0dqr3sch49205bacgaij5e5502/-FJPG/235331-006_PRM_1.jpg</t>
  </si>
  <si>
    <t>https://dd3ka9h4chfr8.cloudfront.net/image/725136000567/image_h1m7ua3mdd0ov8o7a53bl1r907/-FJPG/235331-006_SID_1.jpg</t>
  </si>
  <si>
    <t>https://dd3ka9h4chfr8.cloudfront.net/image/725136000567/image_dn5lashnmd671aivdhqm43qt5i/-FJPG/235331-006_ESS.tif</t>
  </si>
  <si>
    <t>https://dd3ka9h4chfr8.cloudfront.net/image/725136000567/image_ai0po9f92541v1cq7383po7a4o/-FJPG/235331-006_DET_2.jpg</t>
  </si>
  <si>
    <t>https://dd3ka9h4chfr8.cloudfront.net/image/725136000567/image_aqlen1ivl51un9bopa01hdf86q/-FJPG/235331-006_BCK_1.jpg</t>
  </si>
  <si>
    <t>https://dd3ka9h4chfr8.cloudfront.net/image/725136000567/image_sdf5ls42950th476tvorq9l41q/-FJPG/235331-006_DET_1.jpg</t>
  </si>
  <si>
    <t>https://dd3ka9h4chfr8.cloudfront.net/image/725136000567/image_ucuit13s9l7b32a96k0ut2m34n/-FJPG/235331-006_DET_3.jpg</t>
  </si>
  <si>
    <t>https://dd3ka9h4chfr8.cloudfront.net/image/725136000567/image_msu9r99rbp7ojcsgvlj6onkt2t/-FJPG/235331-006_DET_4.jpg</t>
  </si>
  <si>
    <t>https://dd3ka9h4chfr8.cloudfront.net/image/725136000567/image_r3t0t9nma168b02drh7865j67m/-FJPG/235331-006_DET_5.jpg</t>
  </si>
  <si>
    <t>https://dd3ka9h4chfr8.cloudfront.net/image/725136000567/image_1dtjbpoppt03v6dld2appfhc14/-FJPG/235331-006_DET_6.jpg</t>
  </si>
  <si>
    <t>https://dd3ka9h4chfr8.cloudfront.net/image/725136000567/image_3dk0k82he14mf9apvpl4r6qn1o/-FJPG/235331-006_DET_7.jpg</t>
  </si>
  <si>
    <t>https://dd3ka9h4chfr8.cloudfront.net/image/725136000567/image_ptnnr38l957f5c4vijv0ikiq2p/-FJPG/235331-006_DET_8.jpg</t>
  </si>
  <si>
    <t>https://dd3ka9h4chfr8.cloudfront.net/image/725136000567/image_bdia3j9g610or5jp6feoroo815/-FJPG/235331-006_Extra swatch.jpg</t>
  </si>
  <si>
    <t>https://dd3ka9h4chfr8.cloudfront.net/image/725136000567/image_rcmm1nsgdd705d1urp77ol5e0f/-FJPG/235331-006_ESS_2.tif</t>
  </si>
  <si>
    <t>https://dd3ka9h4chfr8.cloudfront.net/image/725136000567/image_tc8b1hs3690ff25mnn8mrn1l11/-FJPG/235331-006_FRT_2.jpg</t>
  </si>
  <si>
    <t>https://dd3ka9h4chfr8.cloudfront.net/image/725136000567/image_uvi5f4cma57klanivpbn02p95r/-FJPG/235331-006_SID_2.jpg</t>
  </si>
  <si>
    <t>https://dd3ka9h4chfr8.cloudfront.net/image/725136000567/image_isqutab83p3u5et1b4s131h370/-FJPG/235331-006_PRM_2.jpg</t>
  </si>
  <si>
    <t>Jarvis</t>
  </si>
  <si>
    <t>235361-002</t>
  </si>
  <si>
    <t>Warby 6 Drawer Dresser - Worn Oak Veneer</t>
  </si>
  <si>
    <t>Worn oak shapes a streamlined box-style dresser, with lap joint corners for a detail-driven touch.</t>
  </si>
  <si>
    <t>https://dd3ka9h4chfr8.cloudfront.net/image/725136000567/image_0ibc0cdib57hf04v6341gmo64d/-S150x150-FJPG/235361-002_PRM_1.jpg</t>
  </si>
  <si>
    <t>https://dd3ka9h4chfr8.cloudfront.net/image/725136000567/image_g4aa7970m16un9qommf817a62v/-FJPG/235361-002_FRT_1.jpg</t>
  </si>
  <si>
    <t>https://dd3ka9h4chfr8.cloudfront.net/image/725136000567/image_0ibc0cdib57hf04v6341gmo64d/-FJPG/235361-002_PRM_1.jpg</t>
  </si>
  <si>
    <t>https://dd3ka9h4chfr8.cloudfront.net/image/725136000567/image_9s2tu83qn918f3cgp2trgpn31n/-FJPG/235361-002_SID_1.jpg</t>
  </si>
  <si>
    <t>https://dd3ka9h4chfr8.cloudfront.net/image/725136000567/image_0hnv0f3bdd1v56b1d7cs0vrc09/-FJPG/235361-002_DET_2.jpg</t>
  </si>
  <si>
    <t>https://dd3ka9h4chfr8.cloudfront.net/image/725136000567/image_6qeka673e120j0h6beerpvng4u/-FJPG/235361-002_BCK_1.jpg</t>
  </si>
  <si>
    <t>https://dd3ka9h4chfr8.cloudfront.net/image/725136000567/image_8ssghak97549p33vbu995fr31c/-FJPG/235361-002_DET_1.jpg</t>
  </si>
  <si>
    <t>https://dd3ka9h4chfr8.cloudfront.net/image/725136000567/image_ejillcsdv93a5da5d032sp6r33/-FJPG/235361-002_DET_3.jpg</t>
  </si>
  <si>
    <t>https://dd3ka9h4chfr8.cloudfront.net/image/725136000567/image_hmlnnvl5n145d21odc6194ks1o/-FJPG/235361-002_OPN_1.jpg</t>
  </si>
  <si>
    <t>https://dd3ka9h4chfr8.cloudfront.net/image/725136000567/image_8hd96frfe55ct52dhg5oogs35e/-FJPG/235361-002_TOP_1.jpg</t>
  </si>
  <si>
    <t>https://dd3ka9h4chfr8.cloudfront.net/image/725136000567/image_81mon0bud911vb5k0dhs248p46/-FJPG/235361-002_DET_4.jpg</t>
  </si>
  <si>
    <t>https://dd3ka9h4chfr8.cloudfront.net/image/725136000567/image_pbq60feokt6t32oog45t7a8g3n/-FJPG/235361-002_DET_5.jpg</t>
  </si>
  <si>
    <t>https://dd3ka9h4chfr8.cloudfront.net/image/725136000567/image_1lmed4jpm52dv59q5lg8b3k75o/-FJPG/235361-002_DET_9.tif</t>
  </si>
  <si>
    <t>https://dd3ka9h4chfr8.cloudfront.net/image/725136000567/image_lk58fmlm6l6373f827bmh7887s/-FJPG/235361-002_ESS.tif</t>
  </si>
  <si>
    <t>https://dd3ka9h4chfr8.cloudfront.net/image/725136000567/image_ghvr6gde9p6uj82kc9a4nugt0p/-FJPG/235361-002_PRM_2.jpg</t>
  </si>
  <si>
    <t>235362-002</t>
  </si>
  <si>
    <t>Warby Nightstand - Worn Oak Veneer</t>
  </si>
  <si>
    <t>Solid acacia shapes a streamlined box-style nightstand, with lap joint corners for a detail-driven touch. Finished with smooth, push-latch drawer glides.</t>
  </si>
  <si>
    <t>https://dd3ka9h4chfr8.cloudfront.net/image/725136000567/image_hp9mv2m2e542f6fjtqn2b3om3u/-S150x150-FJPG/235362-002_PRM_1.jpg</t>
  </si>
  <si>
    <t>https://dd3ka9h4chfr8.cloudfront.net/image/725136000567/image_hk4tmblb613sb3m9997dkp5g2a/-FJPG/235362-002_FRT_1.jpg</t>
  </si>
  <si>
    <t>https://dd3ka9h4chfr8.cloudfront.net/image/725136000567/image_hp9mv2m2e542f6fjtqn2b3om3u/-FJPG/235362-002_PRM_1.jpg</t>
  </si>
  <si>
    <t>https://dd3ka9h4chfr8.cloudfront.net/image/725136000567/image_qlulnugjhd75ndccjp3nq5c265/-FJPG/235362-002_SID_1.jpg</t>
  </si>
  <si>
    <t>https://dd3ka9h4chfr8.cloudfront.net/image/725136000567/image_1pioicoif50f53l1bsp01cr56b/-FJPG/235362-002_ESS.tif</t>
  </si>
  <si>
    <t>https://dd3ka9h4chfr8.cloudfront.net/image/725136000567/image_6lenbgstb91fbeg2hk1g958161/-FJPG/235362-002_DET_2.jpg</t>
  </si>
  <si>
    <t>https://dd3ka9h4chfr8.cloudfront.net/image/725136000567/image_0anq8f8lhp3ur1jrhj8enfml3a/-FJPG/235362-002_BCK_1.jpg</t>
  </si>
  <si>
    <t>https://dd3ka9h4chfr8.cloudfront.net/image/725136000567/image_h4u6vvdc3d4tb11oc8ai7s9s68/-FJPG/235362-002_DET_1.jpg</t>
  </si>
  <si>
    <t>https://dd3ka9h4chfr8.cloudfront.net/image/725136000567/image_0rrf8uogt16n5fl0a2qli09802/-FJPG/235362-002_DET_3.jpg</t>
  </si>
  <si>
    <t>https://dd3ka9h4chfr8.cloudfront.net/image/725136000567/image_vndtsktmn56i1asr0uhooha23o/-FJPG/235362-002_OPN_1.jpg</t>
  </si>
  <si>
    <t>https://dd3ka9h4chfr8.cloudfront.net/image/725136000567/image_jb3s4vaf611lp6n1cf0cci3p5q/-FJPG/235362-002_TOP_1.jpg</t>
  </si>
  <si>
    <t>https://dd3ka9h4chfr8.cloudfront.net/image/725136000567/image_u7ggd5570p633evob93emjq70a/-FJPG/235362-002_DET_4.jpg</t>
  </si>
  <si>
    <t>https://dd3ka9h4chfr8.cloudfront.net/image/725136000567/image_i2ca5m9sgt09545i925np1ct2p/-FJPG/235362-002_DET_5.jpg</t>
  </si>
  <si>
    <t>235362-003</t>
  </si>
  <si>
    <t>Warby Nightstand - Worn Black Veneer</t>
  </si>
  <si>
    <t>https://dd3ka9h4chfr8.cloudfront.net/image/725136000567/image_iebhdgam2h1sfaicdl8tfg2333/-S150x150-FJPG/235362-003_PRM_1.jpg</t>
  </si>
  <si>
    <t>https://dd3ka9h4chfr8.cloudfront.net/image/725136000567/image_6vdo2d3pvl71bbhbsgefrg7m79/-FJPG/235362-003_FRT_1.jpg</t>
  </si>
  <si>
    <t>https://dd3ka9h4chfr8.cloudfront.net/image/725136000567/image_iebhdgam2h1sfaicdl8tfg2333/-FJPG/235362-003_PRM_1.jpg</t>
  </si>
  <si>
    <t>https://dd3ka9h4chfr8.cloudfront.net/image/725136000567/image_q28i3p3qut2p35cqa6movu9e24/-FJPG/235362-003_SID_1.jpg</t>
  </si>
  <si>
    <t>https://dd3ka9h4chfr8.cloudfront.net/image/725136000567/image_dq9rprmf3911nes5hb7v69gg4s/-FJPG/235362-003_ESS.tif</t>
  </si>
  <si>
    <t>https://dd3ka9h4chfr8.cloudfront.net/image/725136000567/image_kb32bpcl6p4r502bnpmk8oc66g/-FJPG/235362-003_DET_2.jpg</t>
  </si>
  <si>
    <t>https://dd3ka9h4chfr8.cloudfront.net/image/725136000567/image_r73i184q1d77h35og6618ihm04/-FJPG/235362-003_BCK_1.jpg</t>
  </si>
  <si>
    <t>https://dd3ka9h4chfr8.cloudfront.net/image/725136000567/image_dlurar8ddh2j38erjs4i4vdg6t/-FJPG/235362-003_DET_1.jpg</t>
  </si>
  <si>
    <t>https://dd3ka9h4chfr8.cloudfront.net/image/725136000567/image_3u42nuc8r14bn8dun036j55s7f/-FJPG/235362-003_DET_3.jpg</t>
  </si>
  <si>
    <t>https://dd3ka9h4chfr8.cloudfront.net/image/725136000567/image_bgvgjqv61d4fp09qagb4il1j3a/-FJPG/235362-003_OPN_1.jpg</t>
  </si>
  <si>
    <t>https://dd3ka9h4chfr8.cloudfront.net/image/725136000567/image_q4b7paqvdh5jnb4nof05em880f/-FJPG/235362-003_TOP_1.jpg</t>
  </si>
  <si>
    <t>https://dd3ka9h4chfr8.cloudfront.net/image/725136000567/image_l9bodbb3mh63n8j44119cmks6b/-FJPG/235362-003_DET_4.jpg</t>
  </si>
  <si>
    <t>https://dd3ka9h4chfr8.cloudfront.net/image/725136000567/image_f1sujt9ord77jemr7oamst2a24/-FJPG/235362-003_DET_5.jpg</t>
  </si>
  <si>
    <t>https://dd3ka9h4chfr8.cloudfront.net/image/725136000567/image_ouic07t5hd3tldm35h74b2p67f/-FJPG/235362-003_DET_6.jpg</t>
  </si>
  <si>
    <t>235383-004</t>
  </si>
  <si>
    <t>Made from thick, charcoal-finished oak, a large, round coffee table features five legs that pull through to the top, for an intriguing design detail.</t>
  </si>
  <si>
    <t>https://dd3ka9h4chfr8.cloudfront.net/image/725136000567/image_3k9d6fbp715lh9aqrsc21tts2h/-S150x150-FJPG/235383-004_PRM_1.jpg</t>
  </si>
  <si>
    <t>https://dd3ka9h4chfr8.cloudfront.net/image/725136000567/image_4g253t8va91gtc4j3jnpto893l/-FJPG/235383-004_FRT_1.jpg</t>
  </si>
  <si>
    <t>https://dd3ka9h4chfr8.cloudfront.net/image/725136000567/image_3k9d6fbp715lh9aqrsc21tts2h/-FJPG/235383-004_PRM_1.jpg</t>
  </si>
  <si>
    <t>https://dd3ka9h4chfr8.cloudfront.net/image/725136000567/image_dtshc82al571p54sdi0sid4l73/-FJPG/235383-004_ESS_1.tif</t>
  </si>
  <si>
    <t>https://dd3ka9h4chfr8.cloudfront.net/image/725136000567/image_ebcgbc3fq573hdmsk91hfs984p/-FJPG/235383-004_DET_2.jpg</t>
  </si>
  <si>
    <t>https://dd3ka9h4chfr8.cloudfront.net/image/725136000567/image_l3d1gqfn1h2q593a6lpt5h3n1s/-FJPG/235383-004_DET_1.jpg</t>
  </si>
  <si>
    <t>https://dd3ka9h4chfr8.cloudfront.net/image/725136000567/image_lng7kqop0l4ld9965uqji18v1i/-FJPG/235383-004_DET_3.jpg</t>
  </si>
  <si>
    <t>https://dd3ka9h4chfr8.cloudfront.net/image/725136000567/image_2clh61a5it36he6mnj5cdqtr45/-FJPG/235383-004_DET_4.jpg</t>
  </si>
  <si>
    <t>https://dd3ka9h4chfr8.cloudfront.net/image/725136000567/image_4rh9je8hq57cn6t6hv9e4e9i49/-FJPG/235383-004_DET_5.jpg</t>
  </si>
  <si>
    <t>https://dd3ka9h4chfr8.cloudfront.net/image/725136000567/image_4blt1cht6t3171ejn6qju4341a/-FJPG/235383-004_DET_6.jpg</t>
  </si>
  <si>
    <t>https://dd3ka9h4chfr8.cloudfront.net/image/725136000567/image_s08hvc5q2d6sr816rplq5id268/-FJPG/235383-004_DET_9.tif</t>
  </si>
  <si>
    <t>50.55"</t>
  </si>
  <si>
    <t>235383-005</t>
  </si>
  <si>
    <t>A simple stunner. This large coffee table features exposed joinery from five thick, gently curved legs. Crafted from a beautiful oak veneer with exposed graining throughout.</t>
  </si>
  <si>
    <t>https://dd3ka9h4chfr8.cloudfront.net/image/725136000567/image_5fkiui7q290kb0ee0285qtk25d/-S150x150-FJPG/235383-005_PRM_1.jpg</t>
  </si>
  <si>
    <t>https://dd3ka9h4chfr8.cloudfront.net/image/725136000567/image_fcg7ocuu6519d1uro5boj4cv59/-FJPG/235383-005_FRT_1.jpg</t>
  </si>
  <si>
    <t>https://dd3ka9h4chfr8.cloudfront.net/image/725136000567/image_5fkiui7q290kb0ee0285qtk25d/-FJPG/235383-005_PRM_1.jpg</t>
  </si>
  <si>
    <t>https://dd3ka9h4chfr8.cloudfront.net/image/725136000567/image_r7l07gpncl5uv6g03d7mkrls33/-FJPG/235383-005_ESS_1.tif</t>
  </si>
  <si>
    <t>https://dd3ka9h4chfr8.cloudfront.net/image/725136000567/image_u6ihabspj94kh8ak55moc6lj6d/-FJPG/235383-005_DET_2.jpg</t>
  </si>
  <si>
    <t>https://dd3ka9h4chfr8.cloudfront.net/image/725136000567/image_d8dinp29uh7jr81aksfdsmu04h/-FJPG/235383-005_DET_1.jpg</t>
  </si>
  <si>
    <t>https://dd3ka9h4chfr8.cloudfront.net/image/725136000567/image_qsda9b42c56sj3h94624uh4k63/-FJPG/235383-005_DET_3.jpg</t>
  </si>
  <si>
    <t>https://dd3ka9h4chfr8.cloudfront.net/image/725136000567/image_b5fvh4c0bh4gh5o5dqvo781523/-FJPG/235383-005_DET_4.jpg</t>
  </si>
  <si>
    <t>https://dd3ka9h4chfr8.cloudfront.net/image/725136000567/image_ihd4hkvpqp40dbquni37ljmr2u/-FJPG/235383-005_DET_5.jpg</t>
  </si>
  <si>
    <t>https://dd3ka9h4chfr8.cloudfront.net/image/725136000567/image_aoa6mes3s93at813m0lvunfs33/-FJPG/235383-005_DET_9.tif</t>
  </si>
  <si>
    <t>https://dd3ka9h4chfr8.cloudfront.net/image/725136000567/image_mhrsg2k7a95qjavnh0bg3sin48/-FJPG/235383-005_DET_10.tif</t>
  </si>
  <si>
    <t>235391-002</t>
  </si>
  <si>
    <t>Goldthwaite Coffee Table - Sienna Brown Pine Veneer</t>
  </si>
  <si>
    <t>Sienna Brown Pine Veneer</t>
  </si>
  <si>
    <t>Thick Pine Veneer</t>
  </si>
  <si>
    <t>Hardworking industrial furniture inspired the hefty proportions of this solid wood coffee table. Structured, clean lines with exposed metal hardware add warm contrast.</t>
  </si>
  <si>
    <t>https://dd3ka9h4chfr8.cloudfront.net/image/725136000567/image_5mv0qjlh9t4ir7hd1pkegsmd5b/-S150x150-FJPG/235391-002_PRM_1.jpg</t>
  </si>
  <si>
    <t>https://dd3ka9h4chfr8.cloudfront.net/image/725136000567/image_rffaqqchjd2r31ekna4ktjhd7c/-FJPG/235391-002_FRT_1.jpg</t>
  </si>
  <si>
    <t>https://dd3ka9h4chfr8.cloudfront.net/image/725136000567/image_5mv0qjlh9t4ir7hd1pkegsmd5b/-FJPG/235391-002_PRM_1.jpg</t>
  </si>
  <si>
    <t>https://dd3ka9h4chfr8.cloudfront.net/image/725136000567/image_jde43dnes52mnap5c9hbu0211a/-FJPG/235391-002_SID_1.jpg</t>
  </si>
  <si>
    <t>https://dd3ka9h4chfr8.cloudfront.net/image/725136000567/image_iobho0aji17iv3jas8qvjstg4r/-FJPG/235391-002_ESS_1.jpg</t>
  </si>
  <si>
    <t>https://dd3ka9h4chfr8.cloudfront.net/image/725136000567/image_ko66kjkrgl0m75vtfsolvmuv7e/-FJPG/235391-002_DET_2.jpg</t>
  </si>
  <si>
    <t>https://dd3ka9h4chfr8.cloudfront.net/image/725136000567/image_sfson3hv357l9d9jnak5osj705/-FJPG/235391-002_DET_1.jpg</t>
  </si>
  <si>
    <t>https://dd3ka9h4chfr8.cloudfront.net/image/725136000567/image_vb72n097p57s3028j59pmbg61a/-FJPG/235391-002_DET_3.jpg</t>
  </si>
  <si>
    <t>https://dd3ka9h4chfr8.cloudfront.net/image/725136000567/image_1dcf5u5d717mbcfkjioflr0c6s/-FJPG/235391-002_DET_4.jpg</t>
  </si>
  <si>
    <t>Goldthwaite</t>
  </si>
  <si>
    <t>51.75"</t>
  </si>
  <si>
    <t>55.25"</t>
  </si>
  <si>
    <t>4.90"</t>
  </si>
  <si>
    <t>235395-001</t>
  </si>
  <si>
    <t>Skye End Table - White Marble</t>
  </si>
  <si>
    <t>https://dd3ka9h4chfr8.cloudfront.net/image/725136000567/image_lu9btb6avl3gl8n4c4m7opmo1l/-S150x150-FJPG/235395-001_PRM_1.jpg</t>
  </si>
  <si>
    <t>https://dd3ka9h4chfr8.cloudfront.net/image/725136000567/image_lu9btb6avl3gl8n4c4m7opmo1l/-FJPG/235395-001_PRM_1.jpg</t>
  </si>
  <si>
    <t>https://dd3ka9h4chfr8.cloudfront.net/image/725136000567/image_23pe0vjivl4mt4sv5ggc1eeh6s/-FJPG/235395-001_ESS_1.jpg</t>
  </si>
  <si>
    <t>https://dd3ka9h4chfr8.cloudfront.net/image/725136000567/image_manlu5sssh77j4snehgllqk863/-FJPG/235395-001_DET_2.jpg</t>
  </si>
  <si>
    <t>https://dd3ka9h4chfr8.cloudfront.net/image/725136000567/image_kd5p7imlil0th5122cp6o29b3m/-FJPG/235395-001_DET_1.jpg</t>
  </si>
  <si>
    <t>https://dd3ka9h4chfr8.cloudfront.net/image/725136000567/image_f1f8m64lot5f133dksc2gfvs19/-FJPG/235395-001_DET_3.jpg</t>
  </si>
  <si>
    <t>https://dd3ka9h4chfr8.cloudfront.net/image/725136000567/image_4jfsvcvkrh1m1b79ndqciq8516/-FJPG/235395-001_TOP_1.jpg</t>
  </si>
  <si>
    <t>https://dd3ka9h4chfr8.cloudfront.net/image/725136000567/image_3quhl76711203bhctroakhqr56/-FJPG/235395-001_DET_4.jpg</t>
  </si>
  <si>
    <t>https://dd3ka9h4chfr8.cloudfront.net/image/725136000567/image_ebg9r6gpvt7l1de0pirg5h2p5e/-FJPG/235395-001_DET_5.jpg</t>
  </si>
  <si>
    <t>19.06"</t>
  </si>
  <si>
    <t>235487-001</t>
  </si>
  <si>
    <t>Suspension Desk - Rustic Grey Veneer</t>
  </si>
  <si>
    <t>Made from oak veneer with a rustic grey finish, an executive-size desk features a fully finished back, offering the option to float-style in a room. Plenty of varied-size drawers offer generous storage space.</t>
  </si>
  <si>
    <t>https://dd3ka9h4chfr8.cloudfront.net/image/725136000567/image_cbf3uemmdd5jf5e2u0ed2nea10/-S150x150-FJPG/235487-001_PRM_1.jpg</t>
  </si>
  <si>
    <t>https://dd3ka9h4chfr8.cloudfront.net/image/725136000567/image_ghb4q7shjp53580npcqjoldr5o/-FJPG/235487-001_FRT_1.jpg</t>
  </si>
  <si>
    <t>https://dd3ka9h4chfr8.cloudfront.net/image/725136000567/image_cbf3uemmdd5jf5e2u0ed2nea10/-FJPG/235487-001_PRM_1.jpg</t>
  </si>
  <si>
    <t>https://dd3ka9h4chfr8.cloudfront.net/image/725136000567/image_0kopjci19l48heijue1ai7u114/-FJPG/235487-001_SID_1.jpg</t>
  </si>
  <si>
    <t>https://dd3ka9h4chfr8.cloudfront.net/image/725136000567/image_esj9no1tdl1a5dlld3pbmi3q27/-FJPG/235487-001_DET_2.jpg</t>
  </si>
  <si>
    <t>https://dd3ka9h4chfr8.cloudfront.net/image/725136000567/image_mjm8be3vht0hb2gjusuu18mm4s/-FJPG/235487-001_BCK_1.jpg</t>
  </si>
  <si>
    <t>https://dd3ka9h4chfr8.cloudfront.net/image/725136000567/image_aoiuh008c55ab9vaot5tkpn22c/-FJPG/235487-001_DET_1.jpg</t>
  </si>
  <si>
    <t>https://dd3ka9h4chfr8.cloudfront.net/image/725136000567/image_30hqp7s5j15j35t71j85c9r66h/-FJPG/235487-001_DET_3.jpg</t>
  </si>
  <si>
    <t>https://dd3ka9h4chfr8.cloudfront.net/image/725136000567/image_p4taqbk4612a50b7cer8arnf74/-FJPG/235487-001_OPN_1.jpg</t>
  </si>
  <si>
    <t>https://dd3ka9h4chfr8.cloudfront.net/image/725136000567/image_pom373ak7101leq1mrsq11n93t/-FJPG/235487-001_DET_4.jpg</t>
  </si>
  <si>
    <t>https://dd3ka9h4chfr8.cloudfront.net/image/725136000567/image_m9c6uh95014gh5esq4mr7v9407/-FJPG/235487-001_DET_5.jpg</t>
  </si>
  <si>
    <t>https://dd3ka9h4chfr8.cloudfront.net/image/725136000567/image_2lj4kl6ba14m35bsbiml8ukm2k/-FJPG/235487-001_DET_6.jpg</t>
  </si>
  <si>
    <t>https://dd3ka9h4chfr8.cloudfront.net/image/725136000567/image_4df3vo03qd3qtae0iskpulif7r/-FJPG/235487-001_DET_7.jpg</t>
  </si>
  <si>
    <t>https://dd3ka9h4chfr8.cloudfront.net/image/725136000567/image_7cr91ccvld2hbfgf6vj0jmv05j/-FJPG/235487-001_DET_8.jpg</t>
  </si>
  <si>
    <t>https://dd3ka9h4chfr8.cloudfront.net/image/725136000567/image_lvp8m1apc16t32rnrmk0t0ak1d/-FJPG/FHMPRJ-007_SCENE_23.tif</t>
  </si>
  <si>
    <t>https://dd3ka9h4chfr8.cloudfront.net/image/725136000567/image_4c5u2kfp052cpdfjj18vbnh31a/-FJPG/235487-001_ESS.jpg</t>
  </si>
  <si>
    <t>Suspension</t>
  </si>
  <si>
    <t>69.53"</t>
  </si>
  <si>
    <t>30.51"</t>
  </si>
  <si>
    <t>72.52"</t>
  </si>
  <si>
    <t>20.61"</t>
  </si>
  <si>
    <t>21.44"</t>
  </si>
  <si>
    <t>235487-002</t>
  </si>
  <si>
    <t>Suspension Desk - Smoked Black Veneer</t>
  </si>
  <si>
    <t>Made from solid oak and oak veneer and finished in a smoky black, an executive-size desk features a fully finished back, offering the option to float-style in a room. Plenty of varied-size drawers offer generous storage space.</t>
  </si>
  <si>
    <t>https://dd3ka9h4chfr8.cloudfront.net/image/725136000567/image_hdqijo629d38bfc516m137797s/-S150x150-FJPG/235487-002_PRM_1.jpg</t>
  </si>
  <si>
    <t>https://dd3ka9h4chfr8.cloudfront.net/image/725136000567/image_t2foevoi3h51r434fkg3tqn07q/-FJPG/235487-002_FRT_1.jpg</t>
  </si>
  <si>
    <t>https://dd3ka9h4chfr8.cloudfront.net/image/725136000567/image_hdqijo629d38bfc516m137797s/-FJPG/235487-002_PRM_1.jpg</t>
  </si>
  <si>
    <t>https://dd3ka9h4chfr8.cloudfront.net/image/725136000567/image_iovptpv74h2pj757d7m26ojt7i/-FJPG/235487-002_SID_1.jpg</t>
  </si>
  <si>
    <t>https://dd3ka9h4chfr8.cloudfront.net/image/725136000567/image_h6gq39l4up3jp02179hlatqm4r/-FJPG/235487-002_DET_2.jpg</t>
  </si>
  <si>
    <t>https://dd3ka9h4chfr8.cloudfront.net/image/725136000567/image_41j8r14a9p75dd0tpch4ohp01g/-FJPG/235487-002_BCK_1.jpg</t>
  </si>
  <si>
    <t>https://dd3ka9h4chfr8.cloudfront.net/image/725136000567/image_brl6tl2lgp7t1309h7rvn76j1f/-FJPG/235487-002_DET_1.jpg</t>
  </si>
  <si>
    <t>https://dd3ka9h4chfr8.cloudfront.net/image/725136000567/image_a5grdt7hpp7or4ngg1glivc356/-FJPG/235487-002_DET_3.jpg</t>
  </si>
  <si>
    <t>https://dd3ka9h4chfr8.cloudfront.net/image/725136000567/image_kso1em7sbt2ab211ngu9gvoh6h/-FJPG/235487-002_OPN_1.jpg</t>
  </si>
  <si>
    <t>https://dd3ka9h4chfr8.cloudfront.net/image/725136000567/image_mjlubc1bqd5dr3rt4qpr1rqp26/-FJPG/235487-002_TOP_1.jpg</t>
  </si>
  <si>
    <t>https://dd3ka9h4chfr8.cloudfront.net/image/725136000567/image_u2oeeipi7t7j11vlg1uftm2l11/-FJPG/235487-002_DET_4.jpg</t>
  </si>
  <si>
    <t>https://dd3ka9h4chfr8.cloudfront.net/image/725136000567/image_8m18iejhc926t2gdkbq572on6g/-FJPG/235487-002_DET_5.jpg</t>
  </si>
  <si>
    <t>https://dd3ka9h4chfr8.cloudfront.net/image/725136000567/image_ppt9t1q1094i3ecisbo7h3gh2u/-FJPG/235487-002_DET_6.jpg</t>
  </si>
  <si>
    <t>https://dd3ka9h4chfr8.cloudfront.net/image/725136000567/image_ub8ri1r2jt1bj6p8eu8lqsl142/-FJPG/235487-002_DET_7.jpg</t>
  </si>
  <si>
    <t>235528-002</t>
  </si>
  <si>
    <t>Goldthwaite End Table - Sienna Brown Pine</t>
  </si>
  <si>
    <t>Sienna Brown Pine</t>
  </si>
  <si>
    <t>Hardworking industrial furniture inspired the hefty proportions of this solid wood end table. Structured, clean lines with exposed metal hardware add warm contrast.</t>
  </si>
  <si>
    <t>https://dd3ka9h4chfr8.cloudfront.net/image/725136000567/image_jg93r8ndk17rf4bnk0d79ump50/-S150x150-FJPG/235528-002_PRM_1.jpg</t>
  </si>
  <si>
    <t>https://dd3ka9h4chfr8.cloudfront.net/image/725136000567/image_qfks7uatvt19p8p8d13o4edl1g/-FJPG/235528-002_FRT_1.jpg</t>
  </si>
  <si>
    <t>https://dd3ka9h4chfr8.cloudfront.net/image/725136000567/image_jg93r8ndk17rf4bnk0d79ump50/-FJPG/235528-002_PRM_1.jpg</t>
  </si>
  <si>
    <t>https://dd3ka9h4chfr8.cloudfront.net/image/725136000567/image_s76d2caoe55413mtjjev1m9a5e/-FJPG/235528-002_SID_1.jpg</t>
  </si>
  <si>
    <t>https://dd3ka9h4chfr8.cloudfront.net/image/725136000567/image_cp8qave0m11r70hk57v8s6gk0m/-FJPG/235528-002_ESS_1.jpg</t>
  </si>
  <si>
    <t>https://dd3ka9h4chfr8.cloudfront.net/image/725136000567/image_0itm5q20f55ml8nc01a71fbh6l/-FJPG/235528-002_DET_2.jpg</t>
  </si>
  <si>
    <t>https://dd3ka9h4chfr8.cloudfront.net/image/725136000567/image_eo995i8p5l4p73oi31vb3dan50/-FJPG/235528-002_DET_1.jpg</t>
  </si>
  <si>
    <t>https://dd3ka9h4chfr8.cloudfront.net/image/725136000567/image_rdj4uc0smd2133k0543o5egu00/-FJPG/235528-002_DET_3.jpg</t>
  </si>
  <si>
    <t>https://dd3ka9h4chfr8.cloudfront.net/image/725136000567/image_plvf7rd6id1q7738mlk98lad05/-FJPG/235528-002_DET_4.jpg</t>
  </si>
  <si>
    <t>235529-002</t>
  </si>
  <si>
    <t>Goldthwaite Console Table - Sienna Brown Pine</t>
  </si>
  <si>
    <t>Hardworking industrial furniture inspired the hefty proportions of this solid wood console table. Structured, clean lines with exposed metal hardware add warm contrast.</t>
  </si>
  <si>
    <t>https://dd3ka9h4chfr8.cloudfront.net/image/725136000567/image_i309rgoko51r3486mc3kkbap0u/-S150x150-FJPG/235529-002_PRM_1.jpg</t>
  </si>
  <si>
    <t>https://dd3ka9h4chfr8.cloudfront.net/image/725136000567/image_295nmm3na153t7phbgvijqp82d/-FJPG/235529-002_FRT_1.jpg</t>
  </si>
  <si>
    <t>https://dd3ka9h4chfr8.cloudfront.net/image/725136000567/image_i309rgoko51r3486mc3kkbap0u/-FJPG/235529-002_PRM_1.jpg</t>
  </si>
  <si>
    <t>https://dd3ka9h4chfr8.cloudfront.net/image/725136000567/image_087rrdolt54vl63k94cd9ljv24/-FJPG/235529-002_SID_1.jpg</t>
  </si>
  <si>
    <t>https://dd3ka9h4chfr8.cloudfront.net/image/725136000567/image_i5rga6brlt07b0j7dtele6tc5d/-FJPG/235529-002_ESS_1.jpg</t>
  </si>
  <si>
    <t>https://dd3ka9h4chfr8.cloudfront.net/image/725136000567/image_fb7heie5tt2j34ft36mbs05c2i/-FJPG/235529-002_DET_2.jpg</t>
  </si>
  <si>
    <t>https://dd3ka9h4chfr8.cloudfront.net/image/725136000567/image_nqgv4c39sp7pbcepi1md7djh1t/-FJPG/235529-002_DET_1.jpg</t>
  </si>
  <si>
    <t>https://dd3ka9h4chfr8.cloudfront.net/image/725136000567/image_sdtfuj87851oj7ue92vah07i3g/-FJPG/235529-002_DET_3.jpg</t>
  </si>
  <si>
    <t>https://dd3ka9h4chfr8.cloudfront.net/image/725136000567/image_qs424kl33h0pf1nc462ddumi1g/-FJPG/235529-002_DET_4.jpg</t>
  </si>
  <si>
    <t>235536-007</t>
  </si>
  <si>
    <t>Paden Sideboard - Worn Oak</t>
  </si>
  <si>
    <t>Seasoned worn oak forms curved legs and the cabinets of this sideboard. Generous space for all dining storage needs.</t>
  </si>
  <si>
    <t>https://dd3ka9h4chfr8.cloudfront.net/image/725136000567/image_3ao6a2n3i966v7bavqsf7nnv7b/-S150x150-FJPG/235536-007_PRM_1.jpg</t>
  </si>
  <si>
    <t>https://dd3ka9h4chfr8.cloudfront.net/image/725136000567/image_q042g5qskp2an9l42nisik4b7k/-FJPG/235536-007_FRT_1.jpg</t>
  </si>
  <si>
    <t>https://dd3ka9h4chfr8.cloudfront.net/image/725136000567/image_3ao6a2n3i966v7bavqsf7nnv7b/-FJPG/235536-007_PRM_1.jpg</t>
  </si>
  <si>
    <t>https://dd3ka9h4chfr8.cloudfront.net/image/725136000567/image_akq9epgd6l4ht5fe90lup3cv31/-FJPG/235536-007_SID_1.jpg</t>
  </si>
  <si>
    <t>https://dd3ka9h4chfr8.cloudfront.net/image/725136000567/image_4r51trongh2a18hna3vjqhol76/-FJPG/235536-007_DET_2.jpg</t>
  </si>
  <si>
    <t>https://dd3ka9h4chfr8.cloudfront.net/image/725136000567/image_1nnuvsos7572l6ig4d5esri218/-FJPG/235536-007_BCK_1.jpg</t>
  </si>
  <si>
    <t>https://dd3ka9h4chfr8.cloudfront.net/image/725136000567/image_faoikb00al6q92b7c5aaajqo7l/-FJPG/235536-007_DET_1.jpg</t>
  </si>
  <si>
    <t>https://dd3ka9h4chfr8.cloudfront.net/image/725136000567/image_t625uaqgad6g53divoq0684r56/-FJPG/235536-007_DET_3.jpg</t>
  </si>
  <si>
    <t>https://dd3ka9h4chfr8.cloudfront.net/image/725136000567/image_tb3dn71q5l0gb6f3abk3l2p06s/-FJPG/235536-007_OPN_1.jpg</t>
  </si>
  <si>
    <t>https://dd3ka9h4chfr8.cloudfront.net/image/725136000567/image_3spm3ivobt7bl9i4des4hmiv0p/-FJPG/235536-007_TOP_1.jpg</t>
  </si>
  <si>
    <t>https://dd3ka9h4chfr8.cloudfront.net/image/725136000567/image_78ehtdmn7l3f7d04dq7572c84r/-FJPG/235536-007_DET_4.jpg</t>
  </si>
  <si>
    <t>https://dd3ka9h4chfr8.cloudfront.net/image/725136000567/image_vrjq91qps158ndq3ep4aonos5f/-FJPG/235536-007_DET_5.jpg</t>
  </si>
  <si>
    <t>https://dd3ka9h4chfr8.cloudfront.net/image/725136000567/image_ef2vjpcp3h34bd2qllmn5klj08/-FJPG/235536-007_DET_6.jpg</t>
  </si>
  <si>
    <t>36.69"</t>
  </si>
  <si>
    <t>25.35"</t>
  </si>
  <si>
    <t>235767-001</t>
  </si>
  <si>
    <t>Paden Large Console Table - Seasoned Brown Acacia</t>
  </si>
  <si>
    <t>A study in shape. Seasoned brown acacia forms the crescent-shaped legs and round tabletop of this console table, bringing organic presence to the living room or entryway.</t>
  </si>
  <si>
    <t>https://dd3ka9h4chfr8.cloudfront.net/image/725136000567/image_agirmuiek90qv6tuhtou5t1q2u/-S150x150-FJPG/235767-001_PRM_1.jpg</t>
  </si>
  <si>
    <t>https://dd3ka9h4chfr8.cloudfront.net/image/725136000567/image_71jcm7jcfl3ab3p5ubmssefq16/-FJPG/235767-001_FRT_1.jpg</t>
  </si>
  <si>
    <t>https://dd3ka9h4chfr8.cloudfront.net/image/725136000567/image_agirmuiek90qv6tuhtou5t1q2u/-FJPG/235767-001_PRM_1.jpg</t>
  </si>
  <si>
    <t>https://dd3ka9h4chfr8.cloudfront.net/image/725136000567/image_qj7u3l3val6qn3t9bja0nbcb28/-FJPG/235767-001_SID_1.jpg</t>
  </si>
  <si>
    <t>https://dd3ka9h4chfr8.cloudfront.net/image/725136000567/image_a284sf7h0d255fp535sf6m486v/-FJPG/235767-001_ESS_1.jpg</t>
  </si>
  <si>
    <t>https://dd3ka9h4chfr8.cloudfront.net/image/725136000567/image_rlm2tf4l4971nc8a48bi4qt438/-FJPG/235767-001_DET_2.jpg</t>
  </si>
  <si>
    <t>https://dd3ka9h4chfr8.cloudfront.net/image/725136000567/image_cpl4r58fat3jt7d0dpipk8ta36/-FJPG/235767-001_DET_1.jpg</t>
  </si>
  <si>
    <t>https://dd3ka9h4chfr8.cloudfront.net/image/725136000567/image_b83po44d4d0hna59g8plcojg7l/-FJPG/235767-001_DET_3.jpg</t>
  </si>
  <si>
    <t>https://dd3ka9h4chfr8.cloudfront.net/image/725136000567/image_4tqq53bcq94fp1b5llkhom1m0d/-FJPG/235767-001_DET_4.jpg</t>
  </si>
  <si>
    <t>https://dd3ka9h4chfr8.cloudfront.net/image/725136000567/image_qfpp3221cp5v1f7i3g67k8l55t/-FJPG/235767-001_DET_5.jpg</t>
  </si>
  <si>
    <t>https://dd3ka9h4chfr8.cloudfront.net/image/725136000567/image_dhao4dg2r15535edhqsrn3pm7p/-FJPG/235767-001_DET_6.jpg</t>
  </si>
  <si>
    <t>29.49"</t>
  </si>
  <si>
    <t>43.03"</t>
  </si>
  <si>
    <t>235767-002</t>
  </si>
  <si>
    <t>Paden Large Console Table - Sandy Acacia</t>
  </si>
  <si>
    <t>https://dd3ka9h4chfr8.cloudfront.net/image/725136000567/image_6238fo0lfd7vhd94t5hvppol61/-S150x150-FJPG/235767-002_PRM_1.jpg</t>
  </si>
  <si>
    <t>https://dd3ka9h4chfr8.cloudfront.net/image/725136000567/image_biqfctmhfl3urb6c5k17l8en39/-FJPG/235767-002_FRT_1.jpg</t>
  </si>
  <si>
    <t>https://dd3ka9h4chfr8.cloudfront.net/image/725136000567/image_6238fo0lfd7vhd94t5hvppol61/-FJPG/235767-002_PRM_1.jpg</t>
  </si>
  <si>
    <t>https://dd3ka9h4chfr8.cloudfront.net/image/725136000567/image_dkq9vdilt10qb3jsekg98etb3r/-FJPG/235767-002_SID_1.jpg</t>
  </si>
  <si>
    <t>https://dd3ka9h4chfr8.cloudfront.net/image/725136000567/image_outjt12dst6cb97jmdf7nnsc3t/-FJPG/235767-002_ESS.tif</t>
  </si>
  <si>
    <t>https://dd3ka9h4chfr8.cloudfront.net/image/725136000567/image_sj5ti2roat2vjcc3dhr8sj8l4j/-FJPG/235767-002_DET_2.jpg</t>
  </si>
  <si>
    <t>https://dd3ka9h4chfr8.cloudfront.net/image/725136000567/image_10mp0bdj8t5e323jh4cp98k225/-FJPG/235767-002_DET_1.jpg</t>
  </si>
  <si>
    <t>https://dd3ka9h4chfr8.cloudfront.net/image/725136000567/image_e2holsd8ld76r28avcod146b3l/-FJPG/235767-002_DET_3.jpg</t>
  </si>
  <si>
    <t>https://dd3ka9h4chfr8.cloudfront.net/image/725136000567/image_7ljhf0hb2p1n77n63eji646p3i/-FJPG/235767-002_DET_4.jpg</t>
  </si>
  <si>
    <t>https://dd3ka9h4chfr8.cloudfront.net/image/725136000567/image_3nkopsi8091qj2v57j3mom0o1t/-FJPG/235767-002_DET_5.jpg</t>
  </si>
  <si>
    <t>https://dd3ka9h4chfr8.cloudfront.net/image/725136000567/image_um2qrh3oah1278e11htlkr1p1l/-FJPG/235767-002_DET_6.jpg</t>
  </si>
  <si>
    <t>235767-004</t>
  </si>
  <si>
    <t>Paden Large Console Table - Italian White Marble</t>
  </si>
  <si>
    <t>A study in shape. Seasoned brown acacia forms the crescent-shaped legs of this console table, topped with Italian white marble to bring an organic presence to the living room or entryway.</t>
  </si>
  <si>
    <t>https://dd3ka9h4chfr8.cloudfront.net/image/725136000567/image_0kchk5cait74valjqva045im0s/-S150x150-FJPG/235767-004_PRM_1.jpg</t>
  </si>
  <si>
    <t>https://dd3ka9h4chfr8.cloudfront.net/image/725136000567/image_365od410al5i1fg5messc97q3g/-FJPG/235767-004_FRT_1.jpg</t>
  </si>
  <si>
    <t>https://dd3ka9h4chfr8.cloudfront.net/image/725136000567/image_0kchk5cait74valjqva045im0s/-FJPG/235767-004_PRM_1.jpg</t>
  </si>
  <si>
    <t>https://dd3ka9h4chfr8.cloudfront.net/image/725136000567/image_3k27589mid00dfssepf3l6a91m/-FJPG/235767-004_SID_1.jpg</t>
  </si>
  <si>
    <t>https://dd3ka9h4chfr8.cloudfront.net/image/725136000567/image_km31ujv4vd34n3lkubqv8cnv03/-FJPG/235767-004_ESS_1.jpg</t>
  </si>
  <si>
    <t>https://dd3ka9h4chfr8.cloudfront.net/image/725136000567/image_ktbpn995lh5ntckpnna8lqik5o/-FJPG/235767-004_DET_2.jpg</t>
  </si>
  <si>
    <t>https://dd3ka9h4chfr8.cloudfront.net/image/725136000567/image_cpg6rh2fpt1mf64u2gvuv1ih3c/-FJPG/235767-004_DET_1.jpg</t>
  </si>
  <si>
    <t>https://dd3ka9h4chfr8.cloudfront.net/image/725136000567/image_21i64ekn1d615cptuur88fkp57/-FJPG/235767-004_DET_3.jpg</t>
  </si>
  <si>
    <t>https://dd3ka9h4chfr8.cloudfront.net/image/725136000567/image_f1erpub75h4vfe1qmodcv1bg7c/-FJPG/235767-004_DET_4.jpg</t>
  </si>
  <si>
    <t>https://dd3ka9h4chfr8.cloudfront.net/image/725136000567/image_7hejve8u9t1797ddbd8jnhbk7f/-FJPG/235767-004_DET_5.jpg</t>
  </si>
  <si>
    <t>https://dd3ka9h4chfr8.cloudfront.net/image/725136000567/image_t5m29h4aol79n9r4kudh8mca5d/-FJPG/235767-004_DET_6.jpg</t>
  </si>
  <si>
    <t>https://dd3ka9h4chfr8.cloudfront.net/image/725136000567/image_b3ocmjovu16m1dul504tv58b5e/-FJPG/235767-004_DET_7.jpg</t>
  </si>
  <si>
    <t>https://dd3ka9h4chfr8.cloudfront.net/image/725136000567/image_k4fd4u358t02pel38shc4mk56g/-FJPG/235767-004_DET_8.jpg</t>
  </si>
  <si>
    <t>235767-006</t>
  </si>
  <si>
    <t>Paden Large Console Table - Worn Oak</t>
  </si>
  <si>
    <t>Worn oak forms the crescent-shaped legs and round tabletop of this console table, bringing a light, organic look to the living room, media space or entryway.</t>
  </si>
  <si>
    <t>https://dd3ka9h4chfr8.cloudfront.net/image/725136000567/image_acvr98q1ul3t3co57u9nahd15i/-S150x150-FJPG/235767-006_PRM_1.jpg</t>
  </si>
  <si>
    <t>https://dd3ka9h4chfr8.cloudfront.net/image/725136000567/image_9sm80eigt57a5ai0qhenkndn0v/-FJPG/235767-006_FRT_1.jpg</t>
  </si>
  <si>
    <t>https://dd3ka9h4chfr8.cloudfront.net/image/725136000567/image_acvr98q1ul3t3co57u9nahd15i/-FJPG/235767-006_PRM_1.jpg</t>
  </si>
  <si>
    <t>https://dd3ka9h4chfr8.cloudfront.net/image/725136000567/image_c47ddsa1at20n75g8ehvn2e10e/-FJPG/235767-006_SID_1.jpg</t>
  </si>
  <si>
    <t>https://dd3ka9h4chfr8.cloudfront.net/image/725136000567/image_lce05ceo792ar6d8vh7ieckt4t/-FJPG/235767-006_DET_2.jpg</t>
  </si>
  <si>
    <t>https://dd3ka9h4chfr8.cloudfront.net/image/725136000567/image_u2egugqp6932je6heajsq4mt2b/-FJPG/235767-006_DET_1.jpg</t>
  </si>
  <si>
    <t>https://dd3ka9h4chfr8.cloudfront.net/image/725136000567/image_8gklearum51qv7fvjqqbj4j13g/-FJPG/235767-006_DET_3.jpg</t>
  </si>
  <si>
    <t>https://dd3ka9h4chfr8.cloudfront.net/image/725136000567/image_7m5n0ruqvd5n304kmj9754ef66/-FJPG/235767-006_TOP_1.jpg</t>
  </si>
  <si>
    <t>https://dd3ka9h4chfr8.cloudfront.net/image/725136000567/image_2rroj36oqd4hfera9njkd89r3u/-FJPG/235767-006_DET_4.jpg</t>
  </si>
  <si>
    <t>https://dd3ka9h4chfr8.cloudfront.net/image/725136000567/image_kgpqn7go5h0sh8dk4hd18k5744/-FJPG/235767-006_DET_5.jpg</t>
  </si>
  <si>
    <t>235835-001</t>
  </si>
  <si>
    <t>Sullivan Nightstand - Saddle Tan Veneer</t>
  </si>
  <si>
    <t>Saddle Tan Veneer</t>
  </si>
  <si>
    <t>A simple, heavy wood Parsons-style nightstand with three drawers for ample storage. Finished in solid ash with brass hardware.</t>
  </si>
  <si>
    <t>https://dd3ka9h4chfr8.cloudfront.net/image/725136000567/image_fnpsb4mbv50lv3a67gvtvh0s1t/-S150x150-FJPG/235835-001_PRM_1.jpg</t>
  </si>
  <si>
    <t>https://dd3ka9h4chfr8.cloudfront.net/image/725136000567/image_4lin8rdt1t46nf7a7c48ruko2f/-FJPG/235835-001_FRT_1.jpg</t>
  </si>
  <si>
    <t>https://dd3ka9h4chfr8.cloudfront.net/image/725136000567/image_fnpsb4mbv50lv3a67gvtvh0s1t/-FJPG/235835-001_PRM_1.jpg</t>
  </si>
  <si>
    <t>https://dd3ka9h4chfr8.cloudfront.net/image/725136000567/image_i9j3umjljt47vapf2me9bi8l07/-FJPG/235835-001_SID_1.jpg</t>
  </si>
  <si>
    <t>https://dd3ka9h4chfr8.cloudfront.net/image/725136000567/image_lgs8onkrt10kn6be02qm2an34f/-FJPG/235835-001_DET_2.jpg</t>
  </si>
  <si>
    <t>https://dd3ka9h4chfr8.cloudfront.net/image/725136000567/image_q9vge3ef0l4tj1is9ce13q4i65/-FJPG/235835-001_BCK_1.jpg</t>
  </si>
  <si>
    <t>https://dd3ka9h4chfr8.cloudfront.net/image/725136000567/image_4iq3dg374p595dinenhvcodf2u/-FJPG/235835-001_DET_1.jpg</t>
  </si>
  <si>
    <t>https://dd3ka9h4chfr8.cloudfront.net/image/725136000567/image_m205ddj3g11dd25cm2heuq2t41/-FJPG/235835-001_DET_3.jpg</t>
  </si>
  <si>
    <t>https://dd3ka9h4chfr8.cloudfront.net/image/725136000567/image_r2tqojfd1t5vp5k1502hnc3v1l/-FJPG/235835-001_OPN_1.jpg</t>
  </si>
  <si>
    <t>https://dd3ka9h4chfr8.cloudfront.net/image/725136000567/image_66trpd4kap4o3fl7ih305nvp30/-FJPG/235835-001_DET_4.jpg</t>
  </si>
  <si>
    <t>https://dd3ka9h4chfr8.cloudfront.net/image/725136000567/image_0se3fgf3b57udfghvd8po37e1d/-FJPG/235835-001_DET_5.jpg</t>
  </si>
  <si>
    <t>https://dd3ka9h4chfr8.cloudfront.net/image/725136000567/image_adakhsnqbl2b3d65p6r464ca0u/-FJPG/235835-001_DET_6.jpg</t>
  </si>
  <si>
    <t>https://dd3ka9h4chfr8.cloudfront.net/image/725136000567/image_s584l9128t4ndafa64hi2mg50o/-FJPG/235835-001_DET_7.jpg</t>
  </si>
  <si>
    <t>https://dd3ka9h4chfr8.cloudfront.net/image/725136000567/image_5idug7uo9l6075dokkqt5d7p2m/-FJPG/235835-001_DET_8.jpg</t>
  </si>
  <si>
    <t>https://dd3ka9h4chfr8.cloudfront.net/image/725136000567/image_9n2bti4pqp6i715b4hk0gnnm0t/-FJPG/235835-001_ESS.tif</t>
  </si>
  <si>
    <t>Nightstand- 1 Item Per Carton</t>
  </si>
  <si>
    <t>Sullivan</t>
  </si>
  <si>
    <t>3.11"</t>
  </si>
  <si>
    <t>14.21"</t>
  </si>
  <si>
    <t>3.27"</t>
  </si>
  <si>
    <t>26.34"</t>
  </si>
  <si>
    <t>235837-001</t>
  </si>
  <si>
    <t>Sullivan 10 Drawer Dresser - Saddle Tan Veneer</t>
  </si>
  <si>
    <t>A simple, heavy wood Parsons-style dresser with 10 varied sized drawers for ample storage. Finished in solid ash with brass hardware. This item has been modified to comply with the STURDY Act. See a full list of modified products and data changes in the â€œSTURDY Actâ€ file in the Downloads section below.</t>
  </si>
  <si>
    <t>https://dd3ka9h4chfr8.cloudfront.net/image/725136000567/image_81ce07o41135j3hgducrkvkk57/-S150x150-FJPG/235837-001_PRM_1.jpg</t>
  </si>
  <si>
    <t>https://dd3ka9h4chfr8.cloudfront.net/image/725136000567/image_8noqqhjrt17njdrhuc2sfeea0r/-FJPG/235837-001_FRT_1.jpg</t>
  </si>
  <si>
    <t>https://dd3ka9h4chfr8.cloudfront.net/image/725136000567/image_81ce07o41135j3hgducrkvkk57/-FJPG/235837-001_PRM_1.jpg</t>
  </si>
  <si>
    <t>https://dd3ka9h4chfr8.cloudfront.net/image/725136000567/image_u4ur89p1n52l77107rp93a4t71/-FJPG/235837-001_SID_1.jpg</t>
  </si>
  <si>
    <t>https://dd3ka9h4chfr8.cloudfront.net/image/725136000567/image_v2o8m95e156pndeurqk56hje6v/-FJPG/235837-001_ESS.tif</t>
  </si>
  <si>
    <t>https://dd3ka9h4chfr8.cloudfront.net/image/725136000567/image_5e25s3rvgl0a915s1ibhjc650a/-FJPG/235837-001_DET_2.jpg</t>
  </si>
  <si>
    <t>https://dd3ka9h4chfr8.cloudfront.net/image/725136000567/image_nihnk5lqbp5nt0n3vi6oeaed0g/-FJPG/235837-001_BCK_1.jpg</t>
  </si>
  <si>
    <t>https://dd3ka9h4chfr8.cloudfront.net/image/725136000567/image_pjcpqnta097bj296u6fl9qul7o/-FJPG/235837-001_DET_1.jpg</t>
  </si>
  <si>
    <t>https://dd3ka9h4chfr8.cloudfront.net/image/725136000567/image_d66hkstod179l8jm49mg8pto39/-FJPG/235837-001_DET_3.jpg</t>
  </si>
  <si>
    <t>https://dd3ka9h4chfr8.cloudfront.net/image/725136000567/image_241o4810n17019kemuedh5rp45/-FJPG/235837-001_OPN_1.jpg</t>
  </si>
  <si>
    <t>https://dd3ka9h4chfr8.cloudfront.net/image/725136000567/image_7b0okau8ep4e5e0jv22gbkmq1t/-FJPG/235837-001_DET_5.jpg</t>
  </si>
  <si>
    <t>https://dd3ka9h4chfr8.cloudfront.net/image/725136000567/image_oo6u1ong4t22t27lufmeula074/-FJPG/235837-001_DET_6.jpg</t>
  </si>
  <si>
    <t>https://dd3ka9h4chfr8.cloudfront.net/image/725136000567/image_ddkhb4qkvp0rb7hk06g5ujq73i/-FJPG/235837-001_DET_7.jpg</t>
  </si>
  <si>
    <t>10 Drawer Dresser-1 Item Per Carton</t>
  </si>
  <si>
    <t>3.37"</t>
  </si>
  <si>
    <t>31.81"</t>
  </si>
  <si>
    <t>235838-001</t>
  </si>
  <si>
    <t>Quincy Bed - Lisbon Charcoal</t>
  </si>
  <si>
    <t>Lisbon Charcoal</t>
  </si>
  <si>
    <t>81% Polyester</t>
  </si>
  <si>
    <t>Modern, clean shaping meets inflated comfort with this padded, upholstered bed frame in a textural boucle-like pattern.</t>
  </si>
  <si>
    <t>https://dd3ka9h4chfr8.cloudfront.net/image/725136000567/image_6m019irv1t11t6jvago5f9ik5f/-S150x150-FJPG/235838-001_PRM_1.jpg</t>
  </si>
  <si>
    <t>https://dd3ka9h4chfr8.cloudfront.net/image/725136000567/image_7gb4p1ls9t6cpfrhuvc6hio73b/-FJPG/235838-001_FRT_1.jpg</t>
  </si>
  <si>
    <t>https://dd3ka9h4chfr8.cloudfront.net/image/725136000567/image_6m019irv1t11t6jvago5f9ik5f/-FJPG/235838-001_PRM_1.jpg</t>
  </si>
  <si>
    <t>https://dd3ka9h4chfr8.cloudfront.net/image/725136000567/image_pbnke83ijl27tfelfk38ed354k/-FJPG/235838-001_SID_1.jpg</t>
  </si>
  <si>
    <t>https://dd3ka9h4chfr8.cloudfront.net/image/725136000567/image_abkr0rv7rp0ch0c3skcaspoj09/-FJPG/235838-001_ESS_1.jpg</t>
  </si>
  <si>
    <t>https://dd3ka9h4chfr8.cloudfront.net/image/725136000567/image_s0hdsvhrn54cd6abuneaam4l1b/-FJPG/235838-001_DET_2.jpg</t>
  </si>
  <si>
    <t>https://dd3ka9h4chfr8.cloudfront.net/image/725136000567/image_23i1617lnp2v3amildjb2ghf28/-FJPG/235838-001_BCK_1.jpg</t>
  </si>
  <si>
    <t>https://dd3ka9h4chfr8.cloudfront.net/image/725136000567/image_bnrbugs0c13ir17al4ohqint4q/-FJPG/235838-001_DET_1.jpg</t>
  </si>
  <si>
    <t>https://dd3ka9h4chfr8.cloudfront.net/image/725136000567/image_f13f3o7nk16vnback9vo0jcs7s/-FJPG/235838-001_DET_3.jpg</t>
  </si>
  <si>
    <t>https://dd3ka9h4chfr8.cloudfront.net/image/725136000567/image_uqtvf2n1t94c9b04vq64m2kd11/-FJPG/235838-001_DET_4.jpg</t>
  </si>
  <si>
    <t>https://dd3ka9h4chfr8.cloudfront.net/image/725136000567/image_j8k2euj5653credb4bacdni656/-FJPG/235838-001_DET_5.jpg</t>
  </si>
  <si>
    <t>https://dd3ka9h4chfr8.cloudfront.net/image/725136000567/image_btj9cfi2f52n7fikuj977kga7m/-FJPG/235838-001_DET_6.jpg</t>
  </si>
  <si>
    <t>https://dd3ka9h4chfr8.cloudfront.net/image/725136000567/image_uiv2u079nd7l7318psu7ef8n55/-FJPG/235838-001_DET_7.jpg</t>
  </si>
  <si>
    <t>https://dd3ka9h4chfr8.cloudfront.net/image/725136000567/image_tm1g6lidd115lb4pkv92bila04/-FJPG/235838-001_DET_8.jpg</t>
  </si>
  <si>
    <t>https://dd3ka9h4chfr8.cloudfront.net/image/725136000567/image_1rerdq6p552ah8ho49h2eftn0r/-FJPG/235838-001_ESS_NO EDIT 2.jpg</t>
  </si>
  <si>
    <t>https://dd3ka9h4chfr8.cloudfront.net/image/725136000567/image_qqq3qricth7jl0h6fna8rlm54e/-FJPG/235838-001_ESS_NO EDIT.jpg</t>
  </si>
  <si>
    <t>Oneheadboard</t>
  </si>
  <si>
    <t>Fh/Slats</t>
  </si>
  <si>
    <t>Siderail/Centerrail</t>
  </si>
  <si>
    <t>Quincy</t>
  </si>
  <si>
    <t>0.47"</t>
  </si>
  <si>
    <t>69.88"</t>
  </si>
  <si>
    <t>73.07"</t>
  </si>
  <si>
    <t>14.09"</t>
  </si>
  <si>
    <t>82.48"</t>
  </si>
  <si>
    <t>12.19"</t>
  </si>
  <si>
    <t>235838-002</t>
  </si>
  <si>
    <t>https://dd3ka9h4chfr8.cloudfront.net/image/725136000567/image_ea9b0b6ed54en2avmd03ec0k47/-S150x150-FJPG/235838-002_PRM_1.jpg</t>
  </si>
  <si>
    <t>https://dd3ka9h4chfr8.cloudfront.net/image/725136000567/image_isf5fkj17d3af4lnak1fr1ef3d/-FJPG/235838-002_FRT_1.jpg</t>
  </si>
  <si>
    <t>https://dd3ka9h4chfr8.cloudfront.net/image/725136000567/image_ea9b0b6ed54en2avmd03ec0k47/-FJPG/235838-002_PRM_1.jpg</t>
  </si>
  <si>
    <t>https://dd3ka9h4chfr8.cloudfront.net/image/725136000567/image_menn1m9b1178l47kbd3qfaob3q/-FJPG/235838-002_SID_1.jpg</t>
  </si>
  <si>
    <t>https://dd3ka9h4chfr8.cloudfront.net/image/725136000567/image_hoh606285p3rn7jpvk5pmqh21u/-FJPG/235838-002_ESS_1.jpg</t>
  </si>
  <si>
    <t>https://dd3ka9h4chfr8.cloudfront.net/image/725136000567/image_lsaar2tpdh34f5mas27asllt01/-FJPG/235838-002_DET_2.jpg</t>
  </si>
  <si>
    <t>https://dd3ka9h4chfr8.cloudfront.net/image/725136000567/image_jb1poftjbl5aj5fgt0bboli25j/-FJPG/235838-002_BCK_1.jpg</t>
  </si>
  <si>
    <t>https://dd3ka9h4chfr8.cloudfront.net/image/725136000567/image_v2s5j043554hvfi9b1ppbem17h/-FJPG/235838-002_DET_1.jpg</t>
  </si>
  <si>
    <t>https://dd3ka9h4chfr8.cloudfront.net/image/725136000567/image_6c7hmccpr51etfijntmk5cjl4h/-FJPG/235838-002_DET_3.jpg</t>
  </si>
  <si>
    <t>https://dd3ka9h4chfr8.cloudfront.net/image/725136000567/image_cb095h8igp56t7dnq3u3ihdk4h/-FJPG/235838-002_DET_4.jpg</t>
  </si>
  <si>
    <t>https://dd3ka9h4chfr8.cloudfront.net/image/725136000567/image_6l941lmkdl0e3f6ddrqsdv3b0j/-FJPG/235838-002_DET_5.jpg</t>
  </si>
  <si>
    <t>https://dd3ka9h4chfr8.cloudfront.net/image/725136000567/image_92qaj2ig252c5ain06r2bgkl5h/-FJPG/235838-002_DET_6.jpg</t>
  </si>
  <si>
    <t>https://dd3ka9h4chfr8.cloudfront.net/image/725136000567/image_v82nv579t11dh8c8gli9f8ju49/-FJPG/235838-002_DET_7.jpg</t>
  </si>
  <si>
    <t>https://dd3ka9h4chfr8.cloudfront.net/image/725136000567/image_s5ahhole0l6l3aa6r84cdmh470/-FJPG/235838-002_DET_8.jpg</t>
  </si>
  <si>
    <t>86.02"</t>
  </si>
  <si>
    <t>89.21"</t>
  </si>
  <si>
    <t>235838-003</t>
  </si>
  <si>
    <t>Quincy Bed - Lisbon Cream</t>
  </si>
  <si>
    <t>Lisbon Cream</t>
  </si>
  <si>
    <t>https://dd3ka9h4chfr8.cloudfront.net/image/725136000567/image_ptvgvik56t6mv282rtmj0ucb68/-S150x150-FJPG/235838-003_PRM_1.jpg</t>
  </si>
  <si>
    <t>https://dd3ka9h4chfr8.cloudfront.net/image/725136000567/image_rtl6dh026p6l37s2jpv1k54k39/-FJPG/235838-003_FRT_1.jpg</t>
  </si>
  <si>
    <t>https://dd3ka9h4chfr8.cloudfront.net/image/725136000567/image_ptvgvik56t6mv282rtmj0ucb68/-FJPG/235838-003_PRM_1.jpg</t>
  </si>
  <si>
    <t>https://dd3ka9h4chfr8.cloudfront.net/image/725136000567/image_uk4gkqo0tl2ehaj85vuv7m6t57/-FJPG/235838-003_SID_1.jpg</t>
  </si>
  <si>
    <t>https://dd3ka9h4chfr8.cloudfront.net/image/725136000567/image_ojd6vi3jqd1of2k9f1l69uds0r/-FJPG/235838-003_ESS_1.jpg</t>
  </si>
  <si>
    <t>https://dd3ka9h4chfr8.cloudfront.net/image/725136000567/image_gh1b0fd00l0bvd2toasjna9b1j/-FJPG/235838-003_DET_2.jpg</t>
  </si>
  <si>
    <t>https://dd3ka9h4chfr8.cloudfront.net/image/725136000567/image_gn5tc4lh9t0a5dhim9hs78uo6p/-FJPG/235838-003_BCK_1.jpg</t>
  </si>
  <si>
    <t>https://dd3ka9h4chfr8.cloudfront.net/image/725136000567/image_f16qb2580p29fa9eocgmtiil38/-FJPG/235838-003_DET_1.jpg</t>
  </si>
  <si>
    <t>https://dd3ka9h4chfr8.cloudfront.net/image/725136000567/image_jrf9qceq8p7m71ckc5r1c2la1m/-FJPG/235838-003_DET_3.jpg</t>
  </si>
  <si>
    <t>https://dd3ka9h4chfr8.cloudfront.net/image/725136000567/image_bjbiidlbgl4f52s3uvso7m5g6h/-FJPG/235838-003_DET_4.jpg</t>
  </si>
  <si>
    <t>https://dd3ka9h4chfr8.cloudfront.net/image/725136000567/image_c44i0r1kkd7snfvfpanth0p657/-FJPG/235838-003_DET_5.jpg</t>
  </si>
  <si>
    <t>https://dd3ka9h4chfr8.cloudfront.net/image/725136000567/image_tfbjd3qvgt6rh9454cgvlpkg3q/-FJPG/235838-003_DET_6.jpg</t>
  </si>
  <si>
    <t>https://dd3ka9h4chfr8.cloudfront.net/image/725136000567/image_qjb0oa74kt1pvd65gk1g45lm26/-FJPG/235838-003_DET_7.jpg</t>
  </si>
  <si>
    <t>https://dd3ka9h4chfr8.cloudfront.net/image/725136000567/image_e9sod3h3gh5kfapmvg6gipkk6l/-FJPG/235838-003_DET_8.jpg</t>
  </si>
  <si>
    <t>https://dd3ka9h4chfr8.cloudfront.net/image/725136000567/image_5e20s9gkmp00v059mfv9of974p/-FJPG/235838-003_ESS_No Edit 2.jpg</t>
  </si>
  <si>
    <t>https://dd3ka9h4chfr8.cloudfront.net/image/725136000567/image_8mpq4qb4td5sp92j34nhl5f52o/-FJPG/235838-003_ESS_No Edit.jpg</t>
  </si>
  <si>
    <t>235838-004</t>
  </si>
  <si>
    <t>https://dd3ka9h4chfr8.cloudfront.net/image/725136000567/image_n98q9n3nfd05l0odgof2qcrn0e/-S150x150-FJPG/235838-004_PRM_1.jpg</t>
  </si>
  <si>
    <t>https://dd3ka9h4chfr8.cloudfront.net/image/725136000567/image_ek1jr0jdj91njda870uatjka1l/-FJPG/235838-004_FRT_1.jpg</t>
  </si>
  <si>
    <t>https://dd3ka9h4chfr8.cloudfront.net/image/725136000567/image_n98q9n3nfd05l0odgof2qcrn0e/-FJPG/235838-004_PRM_1.jpg</t>
  </si>
  <si>
    <t>https://dd3ka9h4chfr8.cloudfront.net/image/725136000567/image_2utas8sr7d52hd1i1dl4or651s/-FJPG/235838-004_SID_1.jpg</t>
  </si>
  <si>
    <t>https://dd3ka9h4chfr8.cloudfront.net/image/725136000567/image_nu06lshrfp3n13u3f89tqqvc44/-FJPG/235838-004_ESS_1.jpg</t>
  </si>
  <si>
    <t>https://dd3ka9h4chfr8.cloudfront.net/image/725136000567/image_ob64hdo9312ll1thb9e67o8m45/-FJPG/235838-004_DET_2.jpg</t>
  </si>
  <si>
    <t>https://dd3ka9h4chfr8.cloudfront.net/image/725136000567/image_jpf378f8kl2sdcit0rbeej2r7o/-FJPG/235838-004_BCK_1.jpg</t>
  </si>
  <si>
    <t>https://dd3ka9h4chfr8.cloudfront.net/image/725136000567/image_l7v3gga84153b0eacpn3qg6p5u/-FJPG/235838-004_DET_1.jpg</t>
  </si>
  <si>
    <t>https://dd3ka9h4chfr8.cloudfront.net/image/725136000567/image_3g8scnfbn17l57o75h3l42ue7u/-FJPG/235838-004_DET_3.jpg</t>
  </si>
  <si>
    <t>https://dd3ka9h4chfr8.cloudfront.net/image/725136000567/image_tp43sdr91l0jb3rkjhdfct0i25/-FJPG/235838-004_DET_4.jpg</t>
  </si>
  <si>
    <t>https://dd3ka9h4chfr8.cloudfront.net/image/725136000567/image_63qla0fped2idedff3j1n6334n/-FJPG/235838-004_DET_5.jpg</t>
  </si>
  <si>
    <t>https://dd3ka9h4chfr8.cloudfront.net/image/725136000567/image_ksnevrr1e949p3i7muiohnb773/-FJPG/235838-004_DET_6.jpg</t>
  </si>
  <si>
    <t>https://dd3ka9h4chfr8.cloudfront.net/image/725136000567/image_3b4f3jeas178jel86fani5uj2t/-FJPG/235838-004_DET_7.jpg</t>
  </si>
  <si>
    <t>https://dd3ka9h4chfr8.cloudfront.net/image/725136000567/image_u5qrp8hnht0eddh023dhsj3a31/-FJPG/235838-004_DET_8.jpg</t>
  </si>
  <si>
    <t>235838-007</t>
  </si>
  <si>
    <t>Quincy Bed - Plushtone Linen</t>
  </si>
  <si>
    <t>https://dd3ka9h4chfr8.cloudfront.net/image/725136000567/image_9v51apffpt337bvncjbv1m3142/-S150x150-FJPG/235838-007_PRM_1.jpg</t>
  </si>
  <si>
    <t>https://dd3ka9h4chfr8.cloudfront.net/image/725136000567/image_45kvl0rc2l79tfnjgbrua6tu69/-FJPG/235838-007_FRT_1.jpg</t>
  </si>
  <si>
    <t>https://dd3ka9h4chfr8.cloudfront.net/image/725136000567/image_9v51apffpt337bvncjbv1m3142/-FJPG/235838-007_PRM_1.jpg</t>
  </si>
  <si>
    <t>https://dd3ka9h4chfr8.cloudfront.net/image/725136000567/image_8t3ehbkp792t1ek3t4on3sv47s/-FJPG/235838-007_SID_1.jpg</t>
  </si>
  <si>
    <t>https://dd3ka9h4chfr8.cloudfront.net/image/725136000567/image_2ufoj7mgu90el1anr3r4k4oi1s/-FJPG/235838-007_DET_2.jpg</t>
  </si>
  <si>
    <t>https://dd3ka9h4chfr8.cloudfront.net/image/725136000567/image_sbn7bn115149f1lf1f5iq0n10l/-FJPG/235838-007_BCK_1.jpg</t>
  </si>
  <si>
    <t>https://dd3ka9h4chfr8.cloudfront.net/image/725136000567/image_jdhbd9vdh10gr4jag31sv4o302/-FJPG/235838-007_DET_1.jpg</t>
  </si>
  <si>
    <t>https://dd3ka9h4chfr8.cloudfront.net/image/725136000567/image_hkupjk7i5h7pb50upkj9ba8k60/-FJPG/235838-007_DET_3.jpg</t>
  </si>
  <si>
    <t>https://dd3ka9h4chfr8.cloudfront.net/image/725136000567/image_t45r4fdvbt0596o3b029tu9r5c/-FJPG/235838-007_DET_4.jpg</t>
  </si>
  <si>
    <t>https://dd3ka9h4chfr8.cloudfront.net/image/725136000567/image_s1t78vh7811hdcggodmn7odo16/-FJPG/235838-007_DET_5.jpg</t>
  </si>
  <si>
    <t>https://dd3ka9h4chfr8.cloudfront.net/image/725136000567/image_lgtqftbc1l5efe4uhls4ad030a/-FJPG/235838-007_DET_6.jpg</t>
  </si>
  <si>
    <t>235838-008</t>
  </si>
  <si>
    <t>https://dd3ka9h4chfr8.cloudfront.net/image/725136000567/image_it6he76rg57bj4ff8ev45aqi1m/-S150x150-FJPG/235838-008_PRM_1.jpg</t>
  </si>
  <si>
    <t>https://dd3ka9h4chfr8.cloudfront.net/image/725136000567/image_8l748t4j010el1ukqrpdue395p/-FJPG/235838-008_FRT_1.jpg</t>
  </si>
  <si>
    <t>https://dd3ka9h4chfr8.cloudfront.net/image/725136000567/image_it6he76rg57bj4ff8ev45aqi1m/-FJPG/235838-008_PRM_1.jpg</t>
  </si>
  <si>
    <t>https://dd3ka9h4chfr8.cloudfront.net/image/725136000567/image_u2lfi60an54f5c1u1sfo7ue472/-FJPG/235838-008_SID_1.jpg</t>
  </si>
  <si>
    <t>https://dd3ka9h4chfr8.cloudfront.net/image/725136000567/image_b9cjih9g9513j85o1hdf89ti7k/-FJPG/235838-008_DET_2.jpg</t>
  </si>
  <si>
    <t>https://dd3ka9h4chfr8.cloudfront.net/image/725136000567/image_k0qe8d3re96mj422ce8u784l01/-FJPG/235838-008_BCK_1.jpg</t>
  </si>
  <si>
    <t>https://dd3ka9h4chfr8.cloudfront.net/image/725136000567/image_g47n8okk4p3ch0ndbuk1qvi65h/-FJPG/235838-008_DET_1.jpg</t>
  </si>
  <si>
    <t>https://dd3ka9h4chfr8.cloudfront.net/image/725136000567/image_pdht4j7g116mh52m26idjpud4c/-FJPG/235838-008_DET_3.jpg</t>
  </si>
  <si>
    <t>https://dd3ka9h4chfr8.cloudfront.net/image/725136000567/image_fu6jftuvo1339a4rdt599qg46k/-FJPG/235838-008_DET_4.jpg</t>
  </si>
  <si>
    <t>https://dd3ka9h4chfr8.cloudfront.net/image/725136000567/image_p3nkm0d9f94p5ed44qjq7gqt5h/-FJPG/235838-008_DET_5.jpg</t>
  </si>
  <si>
    <t>https://dd3ka9h4chfr8.cloudfront.net/image/725136000567/image_td547lh6g12kn68m4e59ta3m2l/-FJPG/235838-008_DET_6.jpg</t>
  </si>
  <si>
    <t>235877-003</t>
  </si>
  <si>
    <t>Willem Bed - Omari Natural</t>
  </si>
  <si>
    <t>Saddle Tan Oak</t>
  </si>
  <si>
    <t>Saddle Tan Oak Veneer</t>
  </si>
  <si>
    <t>A midcentury-inspired frame is updated with modern lines and plush upholstery on both ends. Headboard and footboard cushioning wrap around a wooden frame made from a mix of solid oak and oak veneer with beautiful graining throughout.</t>
  </si>
  <si>
    <t>https://dd3ka9h4chfr8.cloudfront.net/image/725136000567/image_pvuc6olabp5ubbs71acjribu0s/-S150x150-FJPG/235877-003_PRM_1.jpg</t>
  </si>
  <si>
    <t>https://dd3ka9h4chfr8.cloudfront.net/image/725136000567/image_5j8eiq4oul5hn4sl2t34d7ga22/-FJPG/235877-003_FRT_1.jpg</t>
  </si>
  <si>
    <t>https://dd3ka9h4chfr8.cloudfront.net/image/725136000567/image_pvuc6olabp5ubbs71acjribu0s/-FJPG/235877-003_PRM_1.jpg</t>
  </si>
  <si>
    <t>https://dd3ka9h4chfr8.cloudfront.net/image/725136000567/image_keplpoofdd1gf6unoojppbrb3i/-FJPG/235877-003_SID_1.jpg</t>
  </si>
  <si>
    <t>https://dd3ka9h4chfr8.cloudfront.net/image/725136000567/image_c7dj9p1dol3lf7gqefge32471f/-FJPG/235877-003_ESS_1.tif</t>
  </si>
  <si>
    <t>https://dd3ka9h4chfr8.cloudfront.net/image/725136000567/image_tg3q5uipq51frblu39jrgubr7r/-FJPG/235877-003_DET_2.jpg</t>
  </si>
  <si>
    <t>https://dd3ka9h4chfr8.cloudfront.net/image/725136000567/image_cpgljusj753sl0jb95piti4j10/-FJPG/235877-003_BCK_1.jpg</t>
  </si>
  <si>
    <t>https://dd3ka9h4chfr8.cloudfront.net/image/725136000567/image_30ipe8j73149f6no34ubbpv061/-FJPG/235877-003_DET_1.jpg</t>
  </si>
  <si>
    <t>https://dd3ka9h4chfr8.cloudfront.net/image/725136000567/image_6j12cs48sl0fn0b4fhsr9sqg4b/-FJPG/235877-003_DET_3.jpg</t>
  </si>
  <si>
    <t>https://dd3ka9h4chfr8.cloudfront.net/image/725136000567/image_qkocsi7q0l4tp2c1mrd92mht47/-FJPG/235877-003_DET_4.jpg</t>
  </si>
  <si>
    <t>https://dd3ka9h4chfr8.cloudfront.net/image/725136000567/image_9h40buo6pd0fbcgdf2409kb22g/-FJPG/235877-003_DET_5.jpg</t>
  </si>
  <si>
    <t>https://dd3ka9h4chfr8.cloudfront.net/image/725136000567/image_rj3idgqck96b7avrr6ibiolh3k/-FJPG/235877-003_DET_6.jpg</t>
  </si>
  <si>
    <t>https://dd3ka9h4chfr8.cloudfront.net/image/725136000567/image_cblhglug7l2hneub2cco42kr6h/-FJPG/235877-003_DET_7.jpg</t>
  </si>
  <si>
    <t>https://dd3ka9h4chfr8.cloudfront.net/image/725136000567/image_in8v2k5ns10odevf1fcqf5c270/-FJPG/235877-003_DET_8.jpg</t>
  </si>
  <si>
    <t>https://dd3ka9h4chfr8.cloudfront.net/image/725136000567/image_t6aelgupk53q75uj08mspjpb0r/-FJPG/235877-003_DET_9.tif</t>
  </si>
  <si>
    <t>Side Rails, Slats, Support Rails</t>
  </si>
  <si>
    <t>Willem</t>
  </si>
  <si>
    <t>5.24"</t>
  </si>
  <si>
    <t>23.74"</t>
  </si>
  <si>
    <t>4.88"</t>
  </si>
  <si>
    <t>52.76"</t>
  </si>
  <si>
    <t>8.74"</t>
  </si>
  <si>
    <t>11.97"</t>
  </si>
  <si>
    <t>Individual Slats</t>
  </si>
  <si>
    <t>235877-004</t>
  </si>
  <si>
    <t>https://dd3ka9h4chfr8.cloudfront.net/image/725136000567/image_slunlie1nt2tj9tivs3c7alp58/-S150x150-FJPG/235877-004_PRM_1.jpg</t>
  </si>
  <si>
    <t>https://dd3ka9h4chfr8.cloudfront.net/image/725136000567/image_982j24jur94hn8pt220q8o1v14/-FJPG/235877-004_FRT_1.jpg</t>
  </si>
  <si>
    <t>https://dd3ka9h4chfr8.cloudfront.net/image/725136000567/image_slunlie1nt2tj9tivs3c7alp58/-FJPG/235877-004_PRM_1.jpg</t>
  </si>
  <si>
    <t>https://dd3ka9h4chfr8.cloudfront.net/image/725136000567/image_3jj74fp94p77l6d7gmmt3m7o3m/-FJPG/235877-004_SID_1.jpg</t>
  </si>
  <si>
    <t>https://dd3ka9h4chfr8.cloudfront.net/image/725136000567/image_a4c1j6nms95c10q4tqdkl1c31t/-FJPG/235877-004_ESS_1.jpg</t>
  </si>
  <si>
    <t>https://dd3ka9h4chfr8.cloudfront.net/image/725136000567/image_9jhkl3ufid71d4v0tlctca2o6j/-FJPG/235877-004_DET_2.jpg</t>
  </si>
  <si>
    <t>https://dd3ka9h4chfr8.cloudfront.net/image/725136000567/image_fk3rhf73il0vd36q3lju9i752b/-FJPG/235877-004_BCK_1.jpg</t>
  </si>
  <si>
    <t>https://dd3ka9h4chfr8.cloudfront.net/image/725136000567/image_lrdqbjnmc97611sutt3tfkak6r/-FJPG/235877-004_DET_1.jpg</t>
  </si>
  <si>
    <t>https://dd3ka9h4chfr8.cloudfront.net/image/725136000567/image_bm13638ts13cvd0lbig6mgr66s/-FJPG/235877-004_DET_3.jpg</t>
  </si>
  <si>
    <t>https://dd3ka9h4chfr8.cloudfront.net/image/725136000567/image_f2i89q2135169en1krqs5q774i/-FJPG/235877-004_DET_4.jpg</t>
  </si>
  <si>
    <t>https://dd3ka9h4chfr8.cloudfront.net/image/725136000567/image_9fo1gmmemd0nj25ehiqe6l244q/-FJPG/235877-004_DET_5.jpg</t>
  </si>
  <si>
    <t>https://dd3ka9h4chfr8.cloudfront.net/image/725136000567/image_9qdb00ve110tleauvtku7hfv6k/-FJPG/235877-004_DET_6.jpg</t>
  </si>
  <si>
    <t>https://dd3ka9h4chfr8.cloudfront.net/image/725136000567/image_d604sc59i94rpeng20plpc9825/-FJPG/235877-004_DET_7.jpg</t>
  </si>
  <si>
    <t>https://dd3ka9h4chfr8.cloudfront.net/image/725136000567/image_ucue316bkl30t71i9n8vilo54s/-FJPG/235877-004_DET_8.jpg</t>
  </si>
  <si>
    <t>Side Rails, Slats, Support Slalts</t>
  </si>
  <si>
    <t>235916-001</t>
  </si>
  <si>
    <t>Radley Power Recliner 2-Piece Sectional - Sonoma Butterscotch</t>
  </si>
  <si>
    <t>Modular</t>
  </si>
  <si>
    <t>A modern take on the classic recliner. Customize your comfort level with the push of hidden buttons with pieces in our Power Motion collection. Sectional features wide arms with a medium to supportive sit and seat height, plus an adjustable headrest. Zero-clearance design means the sectional can be placed up against a wall. Upholstered in top-grain leather exclusive to Four Hands with slightly distressed character. Includes 9'5" power cord. There is a six-motor maximum per power outlet. Each motor comes with a two-year warranty.</t>
  </si>
  <si>
    <t>https://dd3ka9h4chfr8.cloudfront.net/image/725136000567/image_hk8oq2kab50v97qqf762lkn11g/-S150x150-FJPG/235916-001_PRM_1.jpg</t>
  </si>
  <si>
    <t>https://dd3ka9h4chfr8.cloudfront.net/image/725136000567/image_3qnogme5ml29h08cqvu0uig412/-FJPG/235916-001_FRT_1.jpg</t>
  </si>
  <si>
    <t>https://dd3ka9h4chfr8.cloudfront.net/image/725136000567/image_hk8oq2kab50v97qqf762lkn11g/-FJPG/235916-001_PRM_1.jpg</t>
  </si>
  <si>
    <t>https://dd3ka9h4chfr8.cloudfront.net/image/725136000567/image_psp2siup5t4svbh3g0hifjni1t/-FJPG/235916-001_SID_1.jpg</t>
  </si>
  <si>
    <t>https://dd3ka9h4chfr8.cloudfront.net/image/725136000567/image_21kosacr2914h2ine5fuga1l51/-FJPG/235916-001_ESS.tif</t>
  </si>
  <si>
    <t>https://dd3ka9h4chfr8.cloudfront.net/image/725136000567/image_f8qtaegbk511va5q4mniomgs2d/-FJPG/235916-001_DET_2.jpg</t>
  </si>
  <si>
    <t>https://dd3ka9h4chfr8.cloudfront.net/image/725136000567/image_j9rlaegftp4htanmbbpum5ke17/-FJPG/235916-001_BCK_1.jpg</t>
  </si>
  <si>
    <t>https://dd3ka9h4chfr8.cloudfront.net/image/725136000567/image_8rk0eiu4q97j124epo06m0oi6j/-FJPG/235916-001_DET_1.jpg</t>
  </si>
  <si>
    <t>https://dd3ka9h4chfr8.cloudfront.net/image/725136000567/image_qs19lb4vst4h9e1ovsi98rbr25/-FJPG/235916-001_DET_3.jpg</t>
  </si>
  <si>
    <t>https://dd3ka9h4chfr8.cloudfront.net/image/725136000567/image_k033tk5kbl603cnroah0mmqa3o/-FJPG/235916-001_DET_4.jpg</t>
  </si>
  <si>
    <t>https://dd3ka9h4chfr8.cloudfront.net/image/725136000567/image_2b3mvtprld0bjattjn6vpiur4n/-FJPG/235916-001_DET_5.jpg</t>
  </si>
  <si>
    <t>https://dd3ka9h4chfr8.cloudfront.net/image/725136000567/image_ap620ao37d4rd5cr53mjp2ha3v/-FJPG/235916-001_DET_9.tif</t>
  </si>
  <si>
    <t>https://dd3ka9h4chfr8.cloudfront.net/image/725136000567/image_06l3dcni9p5jt99ikhpq53k67p/-FJPG/238970-001_DET_9.tif</t>
  </si>
  <si>
    <t>https://dd3ka9h4chfr8.cloudfront.net/image/725136000567/image_o93ahc0s655i72umhrj96jrj1b/-FJPG/235916-001_PRM_2.jpg</t>
  </si>
  <si>
    <t>https://dd3ka9h4chfr8.cloudfront.net/image/725136000567/image_njqt96u2o566rf2ndc8s0lr317/-FJPG/235916-001_FRT_2.jpg</t>
  </si>
  <si>
    <t>https://dd3ka9h4chfr8.cloudfront.net/image/725136000567/image_3us7flbart7op9d8kuoq3gvk70/-FJPG/235916-001_ESS_2.tif</t>
  </si>
  <si>
    <t>Radley</t>
  </si>
  <si>
    <t>50% Polyurethane Foam, 30% Duck Feather, 20% Fiber</t>
  </si>
  <si>
    <t>235916-002</t>
  </si>
  <si>
    <t>Radley Power Recliner 2-Piece Sectional - Antigo Natural</t>
  </si>
  <si>
    <t>A modern take on the classic recliner. Customize your comfort level with the push of hidden buttons with pieces in our Power Motion collection. Sectional features wide arms with a medium to supportive sit and seat height, plus an adjustable headrest. Zero-clearance design means the sectional can be placed up against a wall. Performance fabrics are specially created to withstand spills, stains, high traffic and wear, ensuring long-term comfort and unmatched durability. Includes 9'5" power cord. There is a six-motor maximum per power outlet. Each motor comes with a two-year warranty.</t>
  </si>
  <si>
    <t>https://dd3ka9h4chfr8.cloudfront.net/image/725136000567/image_87pl9ld5cl59jd8k6s3kl4uu13/-S150x150-FJPG/235916-002_PRM_1.jpg</t>
  </si>
  <si>
    <t>https://dd3ka9h4chfr8.cloudfront.net/image/725136000567/image_7moakjh5g93blf2cl5r6ikp219/-FJPG/235916-002_FRT_1.jpg</t>
  </si>
  <si>
    <t>https://dd3ka9h4chfr8.cloudfront.net/image/725136000567/image_87pl9ld5cl59jd8k6s3kl4uu13/-FJPG/235916-002_PRM_1.jpg</t>
  </si>
  <si>
    <t>https://dd3ka9h4chfr8.cloudfront.net/image/725136000567/image_fckkbqnvh12bl1vj1nnu275v4o/-FJPG/235916-002_SID_1.jpg</t>
  </si>
  <si>
    <t>https://dd3ka9h4chfr8.cloudfront.net/image/725136000567/image_rfvmk0mc9d4srbk78mhs3l4f7j/-FJPG/235916-002_ESS_1.jpg</t>
  </si>
  <si>
    <t>https://dd3ka9h4chfr8.cloudfront.net/image/725136000567/image_h077est86h50h900k98hs1kp47/-FJPG/235916-002_DET_2.jpg</t>
  </si>
  <si>
    <t>https://dd3ka9h4chfr8.cloudfront.net/image/725136000567/image_3t46mslk4h3p17kqo3o8m0n81k/-FJPG/235916-002_BCK_1.jpg</t>
  </si>
  <si>
    <t>https://dd3ka9h4chfr8.cloudfront.net/image/725136000567/image_029kf8efv16v9aispr3pt7ef1c/-FJPG/235916-002_DET_1.jpg</t>
  </si>
  <si>
    <t>https://dd3ka9h4chfr8.cloudfront.net/image/725136000567/image_0v21q6ctkl1h76mn5n452kie29/-FJPG/235916-002_DET_3.jpg</t>
  </si>
  <si>
    <t>https://dd3ka9h4chfr8.cloudfront.net/image/725136000567/image_0r8cgq9k9t0odchbsfuhs3f14e/-FJPG/235916-002_PRM_2.jpg</t>
  </si>
  <si>
    <t>https://dd3ka9h4chfr8.cloudfront.net/image/725136000567/image_u56pt8inot4k7bq4906oj0db6o/-FJPG/235916-002_FRT_2.jpg</t>
  </si>
  <si>
    <t>https://dd3ka9h4chfr8.cloudfront.net/image/725136000567/image_9nvs8qrp9t34bakd0d490u001e/-FJPG/235916-002_ESS_2.jpg</t>
  </si>
  <si>
    <t>235916-003</t>
  </si>
  <si>
    <t>Radley Power Recliner 2-Piece Sectional - Laken Stone</t>
  </si>
  <si>
    <t>Laken Stone</t>
  </si>
  <si>
    <t>10% Viscose (Rayon)</t>
  </si>
  <si>
    <t>A modern take on the classic recliner. Customize your comfort level with the push of hidden buttons with pieces in our Power Motion collection. Sectional features wide arms with a medium to supportive sit and seat height, plus an adjustable headrest. Zero-clearance design means the sectional can be placed up against a wall. There is a six-motor maximum per power outlet. Each motor comes with a two-year warranty.</t>
  </si>
  <si>
    <t>https://dd3ka9h4chfr8.cloudfront.net/image/725136000567/image_fk7o7fcuah2tj2rt381chrga0d/-S150x150-FJPG/235916-003_PRM_1.JPG</t>
  </si>
  <si>
    <t>https://dd3ka9h4chfr8.cloudfront.net/image/725136000567/image_cq5k2ivn4p5kf9tvrbhr2pet3k/-FJPG/235916-003_FRT_1.JPG</t>
  </si>
  <si>
    <t>https://dd3ka9h4chfr8.cloudfront.net/image/725136000567/image_fk7o7fcuah2tj2rt381chrga0d/-FJPG/235916-003_PRM_1.JPG</t>
  </si>
  <si>
    <t>https://dd3ka9h4chfr8.cloudfront.net/image/725136000567/image_a5u0m3ci911cr645v6aq3kvd43/-FJPG/235916-003_BCK_1.JPG</t>
  </si>
  <si>
    <t>https://dd3ka9h4chfr8.cloudfront.net/image/725136000567/image_grcce2q58h5ef75j84t7pmbp0e/-FJPG/235916-003_OPN_1.JPG</t>
  </si>
  <si>
    <t>https://dd3ka9h4chfr8.cloudfront.net/image/725136000567/image_ing5rdm3ml0e1e07agvjv2oc21/-FJPG/235916-003_OPN_2.JPG</t>
  </si>
  <si>
    <t>235916-004</t>
  </si>
  <si>
    <t>Radley Power Recliner 2-Piece Sectional - Crypton Nomad Taupe</t>
  </si>
  <si>
    <t>A modern take on the classic recliner. Customize your comfort level with the push of hidden buttons with pieces in our Power Motion collection. Sectional features wide arms with a medium to supportive sit and seat height, plus an adjustable headrest. Free of PFAS, soft and easy to clean, CryptonÂ® performance fabric is specially engineered for protection against stains, moisture and odor. Zero-clearance design means the sectional can be placed up against a wall. There is a six-motor maximum per power outlet. Each motor comes with a two-year warranty.</t>
  </si>
  <si>
    <t>https://dd3ka9h4chfr8.cloudfront.net/image/725136000567/image_n3us52e81t4c581j5p7v5cms2r/-S150x150-FJPG/235916-004_PRM_1.jpg</t>
  </si>
  <si>
    <t>https://dd3ka9h4chfr8.cloudfront.net/image/725136000567/image_o2v3lv2os144ffmg6jlrlg2h0h/-FJPG/235916-004_FRT_1.jpg</t>
  </si>
  <si>
    <t>https://dd3ka9h4chfr8.cloudfront.net/image/725136000567/image_n3us52e81t4c581j5p7v5cms2r/-FJPG/235916-004_PRM_1.jpg</t>
  </si>
  <si>
    <t>https://dd3ka9h4chfr8.cloudfront.net/image/725136000567/image_av16r63sfh2175vq5tvv8m3523/-FJPG/235916-004_SID_1.jpg</t>
  </si>
  <si>
    <t>https://dd3ka9h4chfr8.cloudfront.net/image/725136000567/image_ica5ln8qc53i51mvkqguo3n11p/-FJPG/235916-004_ESS.tif</t>
  </si>
  <si>
    <t>https://dd3ka9h4chfr8.cloudfront.net/image/725136000567/image_p58u70b7qp1dp1b72ff63c3f0a/-FJPG/235916-004_DET_2.jpg</t>
  </si>
  <si>
    <t>https://dd3ka9h4chfr8.cloudfront.net/image/725136000567/image_nf0mlmqsed51l7qlnripnalo74/-FJPG/235916-004_BCK_1.jpg</t>
  </si>
  <si>
    <t>https://dd3ka9h4chfr8.cloudfront.net/image/725136000567/image_u9ndtv7u253gp52hiu5rdqs95d/-FJPG/235916-004_DET_1.jpg</t>
  </si>
  <si>
    <t>https://dd3ka9h4chfr8.cloudfront.net/image/725136000567/image_ro6ssae0v54uh8230u3t4s8r3u/-FJPG/235916-004_DET_3.jpg</t>
  </si>
  <si>
    <t>https://dd3ka9h4chfr8.cloudfront.net/image/725136000567/image_aqhdpqjsq925931gr1refr6p4h/-FJPG/235916-004_DET_4.jpg</t>
  </si>
  <si>
    <t>https://dd3ka9h4chfr8.cloudfront.net/image/725136000567/image_nk35ft429173f6fbpd7sk4s31q/-FJPG/235916-004_PRM_2.jpg</t>
  </si>
  <si>
    <t>https://dd3ka9h4chfr8.cloudfront.net/image/725136000567/image_bfh994ejed7mn1s1kjf74cg41s/-FJPG/235916-004_SID_2.jpg</t>
  </si>
  <si>
    <t>https://dd3ka9h4chfr8.cloudfront.net/image/725136000567/image_1ve4msva0h3even5knpsgapc58/-FJPG/235916-004_FRT_2.jpg</t>
  </si>
  <si>
    <t>https://dd3ka9h4chfr8.cloudfront.net/image/725136000567/image_hqev6clmdt4qn3lac790b9562g/-FJPG/235916-004_ESS_2.tif</t>
  </si>
  <si>
    <t>https://dd3ka9h4chfr8.cloudfront.net/image/725136000567/image_nkk7ug76rd3h79vqoo8fat0c4a/-FJPG/235916-004_BCK_2.jpg</t>
  </si>
  <si>
    <t>235916-005</t>
  </si>
  <si>
    <t>Radley Power Recliner 2-Piece Sectional - Sonoma Coco</t>
  </si>
  <si>
    <t>https://dd3ka9h4chfr8.cloudfront.net/image/725136000567/image_ohofjdobht06l1rjod39s3e13p/-S150x150-FJPG/235916-005_PRM_1.jpg</t>
  </si>
  <si>
    <t>https://dd3ka9h4chfr8.cloudfront.net/image/725136000567/image_qpjf6rbqnt713esd9nbf7a9o2e/-FJPG/235916-005_FRT_1.jpg</t>
  </si>
  <si>
    <t>https://dd3ka9h4chfr8.cloudfront.net/image/725136000567/image_ohofjdobht06l1rjod39s3e13p/-FJPG/235916-005_PRM_1.jpg</t>
  </si>
  <si>
    <t>https://dd3ka9h4chfr8.cloudfront.net/image/725136000567/image_aman3le26l7s9ajci76plv0v4u/-FJPG/235916-005_SID_1.jpg</t>
  </si>
  <si>
    <t>https://dd3ka9h4chfr8.cloudfront.net/image/725136000567/image_qsgb06d3813uj1b8lsidnf5t08/-FJPG/235916-005_ESS.tif</t>
  </si>
  <si>
    <t>https://dd3ka9h4chfr8.cloudfront.net/image/725136000567/image_v6kmnmhkqp10lab39jmbtkb01i/-FJPG/235916-005_DET_2.jpg</t>
  </si>
  <si>
    <t>https://dd3ka9h4chfr8.cloudfront.net/image/725136000567/image_tlfdffp15d4e9ed58b9q964941/-FJPG/235916-005_BCK_1.jpg</t>
  </si>
  <si>
    <t>https://dd3ka9h4chfr8.cloudfront.net/image/725136000567/image_h16evfqg7p5of2v7dna30nrj69/-FJPG/235916-005_DET_1.jpg</t>
  </si>
  <si>
    <t>https://dd3ka9h4chfr8.cloudfront.net/image/725136000567/image_mn76dg05np1uteo82nnaam473l/-FJPG/235916-005_DET_3.jpg</t>
  </si>
  <si>
    <t>https://dd3ka9h4chfr8.cloudfront.net/image/725136000567/image_epu5p3sl7p15n5ppdjnbg0ar7n/-FJPG/235916-005_DET_9.tif</t>
  </si>
  <si>
    <t>https://dd3ka9h4chfr8.cloudfront.net/image/725136000567/image_2julqchj4p3q90ep62h4jobl5p/-FJPG/235916-005_PRM_2.jpg</t>
  </si>
  <si>
    <t>https://dd3ka9h4chfr8.cloudfront.net/image/725136000567/image_kthe5uu78h7vfdd6md53pomh7j/-FJPG/235916-005_BCK_2.jpg</t>
  </si>
  <si>
    <t>https://dd3ka9h4chfr8.cloudfront.net/image/725136000567/image_41aq6vqgih2bt5elord1ou0c7n/-FJPG/235916-005_FRT_2.jpg</t>
  </si>
  <si>
    <t>https://dd3ka9h4chfr8.cloudfront.net/image/725136000567/image_3jbusvqc1p7uh26htusqm4f552/-FJPG/235916-005_ESS_2.tif</t>
  </si>
  <si>
    <t>235918-001</t>
  </si>
  <si>
    <t>Briarbrook Sideboard - Distressed Light Pine</t>
  </si>
  <si>
    <t>Distressed Light Pine</t>
  </si>
  <si>
    <t>A large, waterfall-style sideboard inspired by Chinese antiques is made from solid pine with a light, distressed finish and butterfly joint connections. Rear cutouts for cord management.</t>
  </si>
  <si>
    <t>https://dd3ka9h4chfr8.cloudfront.net/image/725136000567/image_i2k0ufq98l4gf0rjigigs3is30/-S150x150-FJPG/235918-001_PRM_1.jpg</t>
  </si>
  <si>
    <t>https://dd3ka9h4chfr8.cloudfront.net/image/725136000567/image_m8piiq1ghl2rj8c9d2rsv75829/-FJPG/235918-001_FRT_1.jpg</t>
  </si>
  <si>
    <t>https://dd3ka9h4chfr8.cloudfront.net/image/725136000567/image_i2k0ufq98l4gf0rjigigs3is30/-FJPG/235918-001_PRM_1.jpg</t>
  </si>
  <si>
    <t>https://dd3ka9h4chfr8.cloudfront.net/image/725136000567/image_f3vuivvt495t77tb88o16r4b7c/-FJPG/235918-001_SID_1.jpg</t>
  </si>
  <si>
    <t>https://dd3ka9h4chfr8.cloudfront.net/image/725136000567/image_sfru7027vt0v730uq6237gdj7r/-FJPG/235918-001_ESS_1.tif</t>
  </si>
  <si>
    <t>https://dd3ka9h4chfr8.cloudfront.net/image/725136000567/image_q6jik2bfo91prcmqb1gtqn6a2r/-FJPG/235918-001_DET_2.jpg</t>
  </si>
  <si>
    <t>https://dd3ka9h4chfr8.cloudfront.net/image/725136000567/image_3to6e7isfh1iv40p0u0obp6m6l/-FJPG/235918-001_BCK_1.jpg</t>
  </si>
  <si>
    <t>https://dd3ka9h4chfr8.cloudfront.net/image/725136000567/image_g8jfoi5uo17tfcngpri1rl576f/-FJPG/235918-001_DET_1.jpg</t>
  </si>
  <si>
    <t>https://dd3ka9h4chfr8.cloudfront.net/image/725136000567/image_gfl5osuje1157brsjplfqtjv4t/-FJPG/235918-001_DET_3.jpg</t>
  </si>
  <si>
    <t>https://dd3ka9h4chfr8.cloudfront.net/image/725136000567/image_hfijt7uva91gd9ottpg7jtvc0b/-FJPG/235918-001_TOP_1.jpg</t>
  </si>
  <si>
    <t>https://dd3ka9h4chfr8.cloudfront.net/image/725136000567/image_g917or1u4d3qjf6bavpv18634e/-FJPG/235918-001_DET_4.jpg</t>
  </si>
  <si>
    <t>https://dd3ka9h4chfr8.cloudfront.net/image/725136000567/image_ma463ahkmt1hf0bv9cf1vqsa61/-FJPG/235918-001_DET_5.jpg</t>
  </si>
  <si>
    <t>https://dd3ka9h4chfr8.cloudfront.net/image/725136000567/image_7jpon0ldj979p21e2g530k3k3v/-FJPG/235918-001_DET_6.jpg</t>
  </si>
  <si>
    <t>https://dd3ka9h4chfr8.cloudfront.net/image/725136000567/image_pue5qbn2lh551es8u9h6i0h745/-FJPG/235918-001_DET_9.tif</t>
  </si>
  <si>
    <t>Briarbrook</t>
  </si>
  <si>
    <t>235937-003</t>
  </si>
  <si>
    <t>Laker Media Console - Black Oak Veneer</t>
  </si>
  <si>
    <t>Black Oak Veneer</t>
  </si>
  <si>
    <t>Black Paper Cord</t>
  </si>
  <si>
    <t>Clean casing of black oak features glass-front doors which open to generous storage and display space for modern media needs. Linear drawer handles are wrapped in paper cord for a textural touch.</t>
  </si>
  <si>
    <t>https://dd3ka9h4chfr8.cloudfront.net/image/725136000567/image_qflq1dusll40j6aa2bonnhc106/-S150x150-FJPG/235937-003_PRM_1.jpg</t>
  </si>
  <si>
    <t>https://dd3ka9h4chfr8.cloudfront.net/image/725136000567/image_pgdl9itg1919j0emp0r61rlh26/-FJPG/235937-003_FRT_1.jpg</t>
  </si>
  <si>
    <t>https://dd3ka9h4chfr8.cloudfront.net/image/725136000567/image_qflq1dusll40j6aa2bonnhc106/-FJPG/235937-003_PRM_1.jpg</t>
  </si>
  <si>
    <t>https://dd3ka9h4chfr8.cloudfront.net/image/725136000567/image_bptorfnpmd15t98vcsg9s5rg7q/-FJPG/235937-003_SID_1.jpg</t>
  </si>
  <si>
    <t>https://dd3ka9h4chfr8.cloudfront.net/image/725136000567/image_n3vgem6n9h18jaagdqrp50pt3s/-FJPG/235937-003_ESS.tif</t>
  </si>
  <si>
    <t>https://dd3ka9h4chfr8.cloudfront.net/image/725136000567/image_8me3p5b92921d32q19vumjhc60/-FJPG/235937-003_DET_2.jpg</t>
  </si>
  <si>
    <t>https://dd3ka9h4chfr8.cloudfront.net/image/725136000567/image_3544asslel0ah03ht3iom93s43/-FJPG/235937-003_BCK_1.jpg</t>
  </si>
  <si>
    <t>https://dd3ka9h4chfr8.cloudfront.net/image/725136000567/image_695c4q65f97ehaa1sm07iffa6k/-FJPG/235937-003_DET_1.jpg</t>
  </si>
  <si>
    <t>https://dd3ka9h4chfr8.cloudfront.net/image/725136000567/image_bbgqrnips16dpb1tkhvk9hnc10/-FJPG/235937-003_DET_3.jpg</t>
  </si>
  <si>
    <t>https://dd3ka9h4chfr8.cloudfront.net/image/725136000567/image_7o35kbj5ol7mrfa9pra9mag54j/-FJPG/235937-003_OPN_1.jpg</t>
  </si>
  <si>
    <t>https://dd3ka9h4chfr8.cloudfront.net/image/725136000567/image_ggn3vduhu5607do05ue6dvk95r/-FJPG/235937-003_DET_4.jpg</t>
  </si>
  <si>
    <t>https://dd3ka9h4chfr8.cloudfront.net/image/725136000567/image_nu3l9qlfn57715cf4r7mnb467d/-FJPG/235937-003_DET_5.jpg</t>
  </si>
  <si>
    <t>https://dd3ka9h4chfr8.cloudfront.net/image/725136000567/image_m19fpt7g4t0f5cq6d9vvi1dd4m/-FJPG/235937-003_DET_6.jpg</t>
  </si>
  <si>
    <t>7.66"</t>
  </si>
  <si>
    <t>28.70"</t>
  </si>
  <si>
    <t>Laker</t>
  </si>
  <si>
    <t>20.93"</t>
  </si>
  <si>
    <t>235944-002</t>
  </si>
  <si>
    <t>Lancaster Sideboard - Drifted Oak</t>
  </si>
  <si>
    <t>Drifted Oak</t>
  </si>
  <si>
    <t>For a more traditional take on industrial design, an oak frame pairs with a metal base and simple hardware. Interior shelving and drawers bring generous storage space to the media room and beyond, while glass doors add lightness.</t>
  </si>
  <si>
    <t>https://dd3ka9h4chfr8.cloudfront.net/image/725136000567/image_ss5r5tj5f10u31fphqg4f8vh2t/-S150x150-FJPG/235944-002_PRM_1.JPG</t>
  </si>
  <si>
    <t>https://dd3ka9h4chfr8.cloudfront.net/image/725136000567/image_ohl5blfih522r2qjf5f023bl1j/-FJPG/235944-002_FRT_1.JPG</t>
  </si>
  <si>
    <t>https://dd3ka9h4chfr8.cloudfront.net/image/725136000567/image_ss5r5tj5f10u31fphqg4f8vh2t/-FJPG/235944-002_PRM_1.JPG</t>
  </si>
  <si>
    <t>https://dd3ka9h4chfr8.cloudfront.net/image/725136000567/image_8jobp71bl16cr7h4aandldb300/-FJPG/235944-002_SID_1.JPG</t>
  </si>
  <si>
    <t>https://dd3ka9h4chfr8.cloudfront.net/image/725136000567/image_kf1pfrlpv93hb3oco7332i907u/-FJPG/235944-002_ESS.tif</t>
  </si>
  <si>
    <t>https://dd3ka9h4chfr8.cloudfront.net/image/725136000567/image_f96h8ug12t0ujc510bi96cnq59/-FJPG/235944-002_DET_2.JPG</t>
  </si>
  <si>
    <t>https://dd3ka9h4chfr8.cloudfront.net/image/725136000567/image_in631s0ddh0gp1v69e1a1f001r/-FJPG/235944-002_BCK_1.JPG</t>
  </si>
  <si>
    <t>https://dd3ka9h4chfr8.cloudfront.net/image/725136000567/image_rdd8prufbt1jn1mlg30vqfo14r/-FJPG/235944-002_DET_1.JPG</t>
  </si>
  <si>
    <t>https://dd3ka9h4chfr8.cloudfront.net/image/725136000567/image_u8ruvecnu54v18ah3vuep1rp2d/-FJPG/235944-002_DET_3.JPG</t>
  </si>
  <si>
    <t>https://dd3ka9h4chfr8.cloudfront.net/image/725136000567/image_8rn3r2rdet0elee4v7trm6ee2j/-FJPG/235944-002_OPN_1.JPG</t>
  </si>
  <si>
    <t>https://dd3ka9h4chfr8.cloudfront.net/image/725136000567/image_emof23g92579f8h64g0mii6e06/-FJPG/235944-002_DET_4.JPG</t>
  </si>
  <si>
    <t>https://dd3ka9h4chfr8.cloudfront.net/image/725136000567/image_7hggg3607d49r1vms8rerbd15l/-FJPG/235944-002_DET_5.JPG</t>
  </si>
  <si>
    <t>https://dd3ka9h4chfr8.cloudfront.net/image/725136000567/image_a3l5a19erd7lf1d19391k7i626/-FJPG/235944-002_DET_9.tif</t>
  </si>
  <si>
    <t>https://dd3ka9h4chfr8.cloudfront.net/image/725136000567/image_aohsgv0oop2h5amthpbuusi319/-FJPG/235944-002_DET_10.tif</t>
  </si>
  <si>
    <t>https://dd3ka9h4chfr8.cloudfront.net/image/725136000567/image_pgll4plt297an86cv3mfie9c61/-FJPG/235944-002_OPN_2.JPG</t>
  </si>
  <si>
    <t>31.25"</t>
  </si>
  <si>
    <t>Lancaster</t>
  </si>
  <si>
    <t>235958-001</t>
  </si>
  <si>
    <t>Stevie Chaise Lounge - Gibson Wheat</t>
  </si>
  <si>
    <t>Equal parts casual and chic. Feather-blend cushioning and high-performance upholstery with a heavily textured boucle feel make this chaise lounge an easy go-to. Fluff cushions regularly to maintain appearance, and steam fabric for a more tailored look. Performance fabrics are specially created to withstand spills, stains, high traffic and wear, ensuring long-term comfort and unmatched durability.</t>
  </si>
  <si>
    <t>https://dd3ka9h4chfr8.cloudfront.net/image/725136000567/image_lvtaosj9k575dbonra3on8gs0i/-S150x150-FJPG/235958-001_PRM_1.jpg</t>
  </si>
  <si>
    <t>https://dd3ka9h4chfr8.cloudfront.net/image/725136000567/image_7f7sgo4tgp6kt93kkrghnsgb72/-FJPG/235958-001_FRT_1.jpg</t>
  </si>
  <si>
    <t>https://dd3ka9h4chfr8.cloudfront.net/image/725136000567/image_lvtaosj9k575dbonra3on8gs0i/-FJPG/235958-001_PRM_1.jpg</t>
  </si>
  <si>
    <t>https://dd3ka9h4chfr8.cloudfront.net/image/725136000567/image_uvicv77agh4atem40v2vos737j/-FJPG/235958-001_SID_1.jpg</t>
  </si>
  <si>
    <t>https://dd3ka9h4chfr8.cloudfront.net/image/725136000567/image_scj3heg68d1nldtj01n94e0d01/-FJPG/235958-001_ESS_1.jpg</t>
  </si>
  <si>
    <t>https://dd3ka9h4chfr8.cloudfront.net/image/725136000567/image_0rf8o3okk93ffc231998hctk1o/-FJPG/235958-001_DET_2.jpg</t>
  </si>
  <si>
    <t>https://dd3ka9h4chfr8.cloudfront.net/image/725136000567/image_ccpacifg4p5s72la1p0g2sn26h/-FJPG/235958-001_BCK_1.jpg</t>
  </si>
  <si>
    <t>https://dd3ka9h4chfr8.cloudfront.net/image/725136000567/image_j0fnfo9ukp6pl2918nnlagtt2v/-FJPG/235958-001_DET_1.jpg</t>
  </si>
  <si>
    <t>https://dd3ka9h4chfr8.cloudfront.net/image/725136000567/image_8erflou63d4c77usfjaldpju5f/-FJPG/235958-001_DET_3.jpg</t>
  </si>
  <si>
    <t>https://dd3ka9h4chfr8.cloudfront.net/image/725136000567/image_r06m5hdfcl5pl43gkgeu3k8c58/-FJPG/235958-001_DET_4.jpg</t>
  </si>
  <si>
    <t>https://dd3ka9h4chfr8.cloudfront.net/image/725136000567/image_9d42bi1iq93rn6vj590lnnnc3p/-FJPG/235958-001_DET_5.jpg</t>
  </si>
  <si>
    <t>https://dd3ka9h4chfr8.cloudfront.net/image/725136000567/image_0imkojh6od4a3egpqiusb9lr26/-FJPG/235958-001_DET_6.jpg</t>
  </si>
  <si>
    <t>https://dd3ka9h4chfr8.cloudfront.net/image/725136000567/image_vivnjosqot40j49m69fbdccb7r/-FJPG/235958-001_ESS_2.jpg</t>
  </si>
  <si>
    <t>63.00"</t>
  </si>
  <si>
    <t>Stevie</t>
  </si>
  <si>
    <t>47.00"</t>
  </si>
  <si>
    <t>235958-002</t>
  </si>
  <si>
    <t>Stevie Chaise Lounge - Anders Ivory</t>
  </si>
  <si>
    <t>Anders Ivory</t>
  </si>
  <si>
    <t>Equal parts casual and chic. Feather-blend cushioning and high-performance upholstery with a crisp, tight weave make this chaise lounge an easy go-to. Fluff cushions regularly to maintain appearance, and steam fabric for a more tailored look. Performance fabrics are specially created to withstand spills, stains, high traffic and wear, ensuring long-term comfort and unmatched durability.</t>
  </si>
  <si>
    <t>https://dd3ka9h4chfr8.cloudfront.net/image/725136000567/image_pdsdlfu0794mr46sk4d1fnp446/-S150x150-FJPG/235958-002_PRM_1.jpg</t>
  </si>
  <si>
    <t>https://dd3ka9h4chfr8.cloudfront.net/image/725136000567/image_o5phfvtfg96rb7gujbnioq3n2d/-FJPG/235958-002_FRT_1.jpg</t>
  </si>
  <si>
    <t>https://dd3ka9h4chfr8.cloudfront.net/image/725136000567/image_pdsdlfu0794mr46sk4d1fnp446/-FJPG/235958-002_PRM_1.jpg</t>
  </si>
  <si>
    <t>https://dd3ka9h4chfr8.cloudfront.net/image/725136000567/image_2e5r8va5ft0r79t8d9bkuq465q/-FJPG/235958-002_SID_1.jpg</t>
  </si>
  <si>
    <t>https://dd3ka9h4chfr8.cloudfront.net/image/725136000567/image_5653khmmrp1l3275rbgm3uqq1g/-FJPG/235958-002_ESS_1.jpg</t>
  </si>
  <si>
    <t>https://dd3ka9h4chfr8.cloudfront.net/image/725136000567/image_s5f25mro356j9ep4sa942dnb3q/-FJPG/235958-002_DET_2.jpg</t>
  </si>
  <si>
    <t>https://dd3ka9h4chfr8.cloudfront.net/image/725136000567/image_9r62hukird0g7d0na50q3td57n/-FJPG/235958-002_BCK_1.jpg</t>
  </si>
  <si>
    <t>https://dd3ka9h4chfr8.cloudfront.net/image/725136000567/image_4l4cjv30551bf26ddrotf2g80b/-FJPG/235958-002_DET_1.jpg</t>
  </si>
  <si>
    <t>https://dd3ka9h4chfr8.cloudfront.net/image/725136000567/image_n01f5kb5kp5ef3vk1vl163hn1u/-FJPG/235958-002_DET_3.jpg</t>
  </si>
  <si>
    <t>https://dd3ka9h4chfr8.cloudfront.net/image/725136000567/image_as38saore90hpd7uaet4o5qk59/-FJPG/235958-002_DET_4.jpg</t>
  </si>
  <si>
    <t>https://dd3ka9h4chfr8.cloudfront.net/image/725136000567/image_5pog5rq2f16jj1qb0s8pct2i0d/-FJPG/235958-002_DET_5.jpg</t>
  </si>
  <si>
    <t>https://dd3ka9h4chfr8.cloudfront.net/image/725136000567/image_mqgg2l1mip4prc8tpf3geirq4j/-FJPG/235958-002_DET_6.jpg</t>
  </si>
  <si>
    <t>https://dd3ka9h4chfr8.cloudfront.net/image/725136000567/image_q08rb695jl4cl2a17upc6j1k1p/-FJPG/235958-002_ESS_2.jpg</t>
  </si>
  <si>
    <t>235958-003</t>
  </si>
  <si>
    <t>Stevie Chaise Lounge - Destin Flannel</t>
  </si>
  <si>
    <t>Destin Flannel</t>
  </si>
  <si>
    <t>3% Nylon</t>
  </si>
  <si>
    <t>2% Cotton</t>
  </si>
  <si>
    <t>Equal parts casual and chic. Feather-blend cushioning and high-performance upholstery with a soft brushed flannel feel make this chaise lounge an easy go-to. Fluff cushions regularly to maintain appearance, and steam fabric for a more tailored look. Performance fabrics are specially created to withstand spills, stains, high traffic and wear, ensuring long-term comfort and unmatched durability.</t>
  </si>
  <si>
    <t>https://dd3ka9h4chfr8.cloudfront.net/image/725136000567/image_n5rqbnqd111n1b67h6rk1dee13/-S150x150-FJPG/235958-003_PRM_1.jpg</t>
  </si>
  <si>
    <t>https://dd3ka9h4chfr8.cloudfront.net/image/725136000567/image_k761i2fg75375crd55fn416j6b/-FJPG/235958-003_FRT_1.jpg</t>
  </si>
  <si>
    <t>https://dd3ka9h4chfr8.cloudfront.net/image/725136000567/image_n5rqbnqd111n1b67h6rk1dee13/-FJPG/235958-003_PRM_1.jpg</t>
  </si>
  <si>
    <t>https://dd3ka9h4chfr8.cloudfront.net/image/725136000567/image_ehlqtarqp90tfcs4fc8vspj43k/-FJPG/235958-003_SID_1.jpg</t>
  </si>
  <si>
    <t>https://dd3ka9h4chfr8.cloudfront.net/image/725136000567/image_cd6u7it1oh2plakbguuodft105/-FJPG/235958-003_ESS_1.jpg</t>
  </si>
  <si>
    <t>https://dd3ka9h4chfr8.cloudfront.net/image/725136000567/image_bub431vtal2ht5pre0roooga1o/-FJPG/235958-003_DET_2.jpg</t>
  </si>
  <si>
    <t>https://dd3ka9h4chfr8.cloudfront.net/image/725136000567/image_61gfi9ots97gj1i9kl2u76065p/-FJPG/235958-003_BCK_1.jpg</t>
  </si>
  <si>
    <t>https://dd3ka9h4chfr8.cloudfront.net/image/725136000567/image_vk5r08e2417vf924mt6fd3ak0t/-FJPG/235958-003_DET_1.jpg</t>
  </si>
  <si>
    <t>https://dd3ka9h4chfr8.cloudfront.net/image/725136000567/image_d3r3ck9d4p7gj1kqm5blr0ns7l/-FJPG/235958-003_DET_3.jpg</t>
  </si>
  <si>
    <t>https://dd3ka9h4chfr8.cloudfront.net/image/725136000567/image_c8ktv2hbjl7cndm109sbds1962/-FJPG/235958-003_DET_4.jpg</t>
  </si>
  <si>
    <t>https://dd3ka9h4chfr8.cloudfront.net/image/725136000567/image_gc2cgv0r8t5epeoqch4bmltt33/-FJPG/235958-003_DET_5.jpg</t>
  </si>
  <si>
    <t>https://dd3ka9h4chfr8.cloudfront.net/image/725136000567/image_catp67bbqt4on0586bkrbi3q3d/-FJPG/235958-003_DET_6.jpg</t>
  </si>
  <si>
    <t>https://dd3ka9h4chfr8.cloudfront.net/image/725136000567/image_qsg56tnsdl4ub4ggts8u9j7f4p/-FJPG/235958-003_ESS_2.jpg</t>
  </si>
  <si>
    <t>235998-001</t>
  </si>
  <si>
    <t>Posada Small Cabinet - Amber Oak Veneer</t>
  </si>
  <si>
    <t>Smaller scale cabinetry of amber-finished oak, with door fronts of cognac top-grain leather and inset legs.</t>
  </si>
  <si>
    <t>https://dd3ka9h4chfr8.cloudfront.net/image/725136000567/image_gfg0ofi5e961penk4e11qmlr07/-S150x150-FJPG/235998-001_PRM_1.jpg</t>
  </si>
  <si>
    <t>https://dd3ka9h4chfr8.cloudfront.net/image/725136000567/image_qt50m0lb591jp31q8es69osv7v/-FJPG/235998-001_FRT_1.jpg</t>
  </si>
  <si>
    <t>https://dd3ka9h4chfr8.cloudfront.net/image/725136000567/image_gfg0ofi5e961penk4e11qmlr07/-FJPG/235998-001_PRM_1.jpg</t>
  </si>
  <si>
    <t>https://dd3ka9h4chfr8.cloudfront.net/image/725136000567/image_jvkdg0e4s141d1jpcq6nb18929/-FJPG/235998-001_SID_1.jpg</t>
  </si>
  <si>
    <t>https://dd3ka9h4chfr8.cloudfront.net/image/725136000567/image_61r80ov6up3gn4235n3jsjsa49/-FJPG/235998-001_DET_2.jpg</t>
  </si>
  <si>
    <t>https://dd3ka9h4chfr8.cloudfront.net/image/725136000567/image_uv31vh8e4h1gl7rrocmc5tm57m/-FJPG/235998-001_BCK_1.jpg</t>
  </si>
  <si>
    <t>https://dd3ka9h4chfr8.cloudfront.net/image/725136000567/image_g0hoqhsa5d3qje07074hs17g0i/-FJPG/235998-001_DET_1.jpg</t>
  </si>
  <si>
    <t>https://dd3ka9h4chfr8.cloudfront.net/image/725136000567/image_kh4vqioumt6078avrgekbdpi0c/-FJPG/235998-001_DET_3.jpg</t>
  </si>
  <si>
    <t>https://dd3ka9h4chfr8.cloudfront.net/image/725136000567/image_n5p0hqkr313jv5a3u6po63g437/-FJPG/235998-001_OPN_1.jpg</t>
  </si>
  <si>
    <t>https://dd3ka9h4chfr8.cloudfront.net/image/725136000567/image_ji3b9nddip5s71qd5hiu37fg2e/-FJPG/235998-001_DET_4.jpg</t>
  </si>
  <si>
    <t>https://dd3ka9h4chfr8.cloudfront.net/image/725136000567/image_87jcrdhjlh1d52pktctfd5vv1o/-FJPG/235998-001_DET_5.jpg</t>
  </si>
  <si>
    <t>https://dd3ka9h4chfr8.cloudfront.net/image/725136000567/image_h57c83m7o92ap4lae8ruemd935/-FJPG/235998-001_DET_7.jpg</t>
  </si>
  <si>
    <t>https://dd3ka9h4chfr8.cloudfront.net/image/725136000567/image_agfho701kh1q50ompd4dj71m32/-FJPG/235998-001_ESS.tif</t>
  </si>
  <si>
    <t>Posada Small Cabinet</t>
  </si>
  <si>
    <t>33.27"</t>
  </si>
  <si>
    <t>27.28"</t>
  </si>
  <si>
    <t>236048-001</t>
  </si>
  <si>
    <t>Flip Top Console Table - Toasted Ash</t>
  </si>
  <si>
    <t>Toasted Ash</t>
  </si>
  <si>
    <t>The classic flip-top table, reimagined. Made from solid ash with a light, toasted finish, with inset hinges. Routing detail on legs modernizes the whole look of this anchoring piece. Depth with one side extended measures 33"; depth with both sides extended measures 44".</t>
  </si>
  <si>
    <t>https://dd3ka9h4chfr8.cloudfront.net/image/725136000567/image_2d4vfur4753a32j0orh6qggm7n/-S150x150-FJPG/236048-001_PRM_1.jpg</t>
  </si>
  <si>
    <t>https://dd3ka9h4chfr8.cloudfront.net/image/725136000567/image_2d4vfur4753a32j0orh6qggm7n/-FJPG/236048-001_PRM_1.jpg</t>
  </si>
  <si>
    <t>https://dd3ka9h4chfr8.cloudfront.net/image/725136000567/image_cqkjq1k2o911v10c6on7flji01/-FJPG/236048-001_SID_1.jpg</t>
  </si>
  <si>
    <t>https://dd3ka9h4chfr8.cloudfront.net/image/725136000567/image_qsc6dnbh9t6lda6i36ar9poh0d/-FJPG/236048-001_ESS_1.jpg</t>
  </si>
  <si>
    <t>https://dd3ka9h4chfr8.cloudfront.net/image/725136000567/image_js32clc7vp44re0ejc07cfnj7o/-FJPG/236048-001_DET_2.jpg</t>
  </si>
  <si>
    <t>https://dd3ka9h4chfr8.cloudfront.net/image/725136000567/image_p5mg9oe39d03t52h6sk3217c31/-FJPG/236048-001_DET_1.jpg</t>
  </si>
  <si>
    <t>https://dd3ka9h4chfr8.cloudfront.net/image/725136000567/image_39i8g5dpc913td7gavv2dhs87s/-FJPG/236048-001_DET_3.jpg</t>
  </si>
  <si>
    <t>https://dd3ka9h4chfr8.cloudfront.net/image/725136000567/image_oolcbi1bs93p73kqrq9glslh1m/-FJPG/236048-001_DET_4.jpg</t>
  </si>
  <si>
    <t>https://dd3ka9h4chfr8.cloudfront.net/image/725136000567/image_btq2klrur148naurb41q5v7v1n/-FJPG/236048-001_DET_5.jpg</t>
  </si>
  <si>
    <t>https://dd3ka9h4chfr8.cloudfront.net/image/725136000567/image_sttvjhev6l7n703ceidpkf3232/-FJPG/236048-001_DET_6.jpg</t>
  </si>
  <si>
    <t>https://dd3ka9h4chfr8.cloudfront.net/image/725136000567/image_v5u3l3oni53p9ej1lipmbknl0r/-FJPG/236048-001_DET_7.jpg</t>
  </si>
  <si>
    <t>https://dd3ka9h4chfr8.cloudfront.net/image/725136000567/image_b88eishdeh0jb2l4vvojl3u73e/-FJPG/236048-001_DET_8.jpg</t>
  </si>
  <si>
    <t>https://dd3ka9h4chfr8.cloudfront.net/image/725136000567/image_dv48o1te114ud9e9jmncbq9u4u/-FJPG/236048-001_SID_2.jpg</t>
  </si>
  <si>
    <t>https://dd3ka9h4chfr8.cloudfront.net/image/725136000567/image_ahejl1v3q917lfk9sma54eof3n/-FJPG/236048-001_ESS_2.jpg</t>
  </si>
  <si>
    <t>https://dd3ka9h4chfr8.cloudfront.net/image/725136000567/image_3rk56k9jn109dfc003te06mq59/-FJPG/236048-001_ESS_3.jpg</t>
  </si>
  <si>
    <t>https://dd3ka9h4chfr8.cloudfront.net/image/725136000567/image_76o9ndslil1bb9qoqtikq8i459/-FJPG/236048-001_ESS_4.jpg</t>
  </si>
  <si>
    <t>https://dd3ka9h4chfr8.cloudfront.net/image/725136000567/image_ftd3qqvra91pjap016g7c8680b/-FJPG/236048-001_ESS_5.jpg</t>
  </si>
  <si>
    <t>1 Complete Item</t>
  </si>
  <si>
    <t>Flip Top</t>
  </si>
  <si>
    <t>83.00"</t>
  </si>
  <si>
    <t>FlipTop/ Refectory/ Breadboard</t>
  </si>
  <si>
    <t>Butterfly self-storing</t>
  </si>
  <si>
    <t>236078-001</t>
  </si>
  <si>
    <t>Rutherford End Table - Reclaimed Ashen Brown</t>
  </si>
  <si>
    <t>Reclaimed Ashen Brown</t>
  </si>
  <si>
    <t>Inspired by dÃ©cor in the majestic palaces of Jaipur, a conversation-starting end table is made from mixed reclaimed woods, with a rounded top and base with vertical reeding.</t>
  </si>
  <si>
    <t>https://dd3ka9h4chfr8.cloudfront.net/image/725136000567/image_ukm9sq893h3ldcfieg8brbqn2f/-S150x150-FJPG/236078-001_PRM_1.jpg</t>
  </si>
  <si>
    <t>https://dd3ka9h4chfr8.cloudfront.net/image/725136000567/image_ukm9sq893h3ldcfieg8brbqn2f/-FJPG/236078-001_PRM_1.jpg</t>
  </si>
  <si>
    <t>https://dd3ka9h4chfr8.cloudfront.net/image/725136000567/image_fbd7hdbrdt17128hmnulqt1n4p/-FJPG/236078-001_DET_2.jpg</t>
  </si>
  <si>
    <t>https://dd3ka9h4chfr8.cloudfront.net/image/725136000567/image_i1daes8en94ghads026sdrle66/-FJPG/236078-001_DET_1.jpg</t>
  </si>
  <si>
    <t>https://dd3ka9h4chfr8.cloudfront.net/image/725136000567/image_v4d1ku7bjh1r3c92uhm8smak65/-FJPG/236078-001_DET_3.jpg</t>
  </si>
  <si>
    <t>https://dd3ka9h4chfr8.cloudfront.net/image/725136000567/image_its2gsjacl583fg96q1cbsfm2i/-FJPG/236078-001_TOP_1.jpg</t>
  </si>
  <si>
    <t>https://dd3ka9h4chfr8.cloudfront.net/image/725136000567/image_da6nivctu56mff2r91bslpv65n/-FJPG/236078-001_DET_4.jpg</t>
  </si>
  <si>
    <t>https://dd3ka9h4chfr8.cloudfront.net/image/725136000567/image_0g8nkqm8s55o7dml25bnicf82f/-FJPG/236078-001_DET_5.jpg</t>
  </si>
  <si>
    <t>Rutherford</t>
  </si>
  <si>
    <t>236081-001</t>
  </si>
  <si>
    <t>Habitat Chaise Lounge - Bennett Moon</t>
  </si>
  <si>
    <t>Designed for lounging. High-performance fabric covers shelter arms and pillow-inspired cushion. Performance fabrics are specially created to withstand spills, stains, high traffic and wear, ensuring long-term comfort and unmatched durability.</t>
  </si>
  <si>
    <t>https://dd3ka9h4chfr8.cloudfront.net/image/725136000567/image_p1c2uj7pct7b1760mokiamkc0v/-S150x150-FJPG/236081-001_PRM_1.jpg</t>
  </si>
  <si>
    <t>https://dd3ka9h4chfr8.cloudfront.net/image/725136000567/image_pvigar95f5453fu227pn8br76f/-FJPG/236081-001_FRT_1.jpg</t>
  </si>
  <si>
    <t>https://dd3ka9h4chfr8.cloudfront.net/image/725136000567/image_p1c2uj7pct7b1760mokiamkc0v/-FJPG/236081-001_PRM_1.jpg</t>
  </si>
  <si>
    <t>https://dd3ka9h4chfr8.cloudfront.net/image/725136000567/image_r4rnkideo16brdmmc30t9q873o/-FJPG/236081-001_SID_1.jpg</t>
  </si>
  <si>
    <t>https://dd3ka9h4chfr8.cloudfront.net/image/725136000567/image_8tpk29qc6l1ul4pu13kd7m335p/-FJPG/236081-001_DET_2.jpg</t>
  </si>
  <si>
    <t>https://dd3ka9h4chfr8.cloudfront.net/image/725136000567/image_u6g28lgk9t1975e3g50c6t1s17/-FJPG/236081-001_BCK_1.jpg</t>
  </si>
  <si>
    <t>https://dd3ka9h4chfr8.cloudfront.net/image/725136000567/image_40gbstm0j538bflbsa0oarhk3h/-FJPG/236081-001_DET_1.jpg</t>
  </si>
  <si>
    <t>https://dd3ka9h4chfr8.cloudfront.net/image/725136000567/image_0of18dk6ud6u38c1aopfn5g248/-FJPG/236081-001_DET_3.jpg</t>
  </si>
  <si>
    <t>https://dd3ka9h4chfr8.cloudfront.net/image/725136000567/image_flbl1j9nnt6s9f3oh5ce6gg07g/-FJPG/236081-001_DET_4.jpg</t>
  </si>
  <si>
    <t>https://dd3ka9h4chfr8.cloudfront.net/image/725136000567/image_u0kvvspedd0krca9veaj54rb2c/-FJPG/236081-001_DET_5.jpg</t>
  </si>
  <si>
    <t>https://dd3ka9h4chfr8.cloudfront.net/image/725136000567/image_cesnbni1590avcverlsr6jjc5o/-FJPG/236081-001_DET_6.jpg</t>
  </si>
  <si>
    <t>https://dd3ka9h4chfr8.cloudfront.net/image/725136000567/image_i5lvn69bdh7gt540mfk1k7ha6b/-FJPG/236081-001_DET_7.jpg</t>
  </si>
  <si>
    <t>https://dd3ka9h4chfr8.cloudfront.net/image/725136000567/image_m3bcc26qj53qd3v7s55p0vi25g/-FJPG/236081-001_ESS.jpg</t>
  </si>
  <si>
    <t>53.00"</t>
  </si>
  <si>
    <t>236081-002</t>
  </si>
  <si>
    <t>Habitat Chaise Lounge - Valley Nimbus</t>
  </si>
  <si>
    <t>Valley Nimbus</t>
  </si>
  <si>
    <t>35% Viscose (Rayon)</t>
  </si>
  <si>
    <t>Designed for lounging. High-performance fabric covers shelter arms and oversize pillow-inspired cushion. Performance fabrics are specially created to withstand spills, stains, high traffic and wear, ensuring long-term comfort and unmatched durability.</t>
  </si>
  <si>
    <t>https://dd3ka9h4chfr8.cloudfront.net/image/725136000567/image_t9gekj9ojt2enah2cpnbu9tl0d/-S150x150-FJPG/236081-002_PRM_1.jpg</t>
  </si>
  <si>
    <t>https://dd3ka9h4chfr8.cloudfront.net/image/725136000567/image_mbeff2ges13qb9cs7ogk8uq46m/-FJPG/236081-002_FRT_1.jpg</t>
  </si>
  <si>
    <t>https://dd3ka9h4chfr8.cloudfront.net/image/725136000567/image_t9gekj9ojt2enah2cpnbu9tl0d/-FJPG/236081-002_PRM_1.jpg</t>
  </si>
  <si>
    <t>https://dd3ka9h4chfr8.cloudfront.net/image/725136000567/image_bqd100push4u1a4bbnb736q73f/-FJPG/236081-002_SID_1.jpg</t>
  </si>
  <si>
    <t>https://dd3ka9h4chfr8.cloudfront.net/image/725136000567/image_vlstncl4c96cf3hk85uam18h4g/-FJPG/236081-002_ESS_1.jpg</t>
  </si>
  <si>
    <t>https://dd3ka9h4chfr8.cloudfront.net/image/725136000567/image_6a93o2eb6520hcvqsidstfb36q/-FJPG/236081-002_DET_2.jpg</t>
  </si>
  <si>
    <t>https://dd3ka9h4chfr8.cloudfront.net/image/725136000567/image_j02e2dfbtl7grcobdcsemua67m/-FJPG/236081-002_BCK_1.jpg</t>
  </si>
  <si>
    <t>https://dd3ka9h4chfr8.cloudfront.net/image/725136000567/image_s2cv7rds4p4314b2v7niusei7e/-FJPG/236081-002_DET_1.jpg</t>
  </si>
  <si>
    <t>https://dd3ka9h4chfr8.cloudfront.net/image/725136000567/image_r1j68a8kk90jl5rd4lbhprsg0a/-FJPG/236081-002_DET_3.jpg</t>
  </si>
  <si>
    <t>https://dd3ka9h4chfr8.cloudfront.net/image/725136000567/image_7qgnf9seip66n2fehpd22bf34f/-FJPG/236081-002_DET_4.jpg</t>
  </si>
  <si>
    <t>https://dd3ka9h4chfr8.cloudfront.net/image/725136000567/image_3449g2pn1p4q507uv5hm7oav7m/-FJPG/236081-002_DET_5.jpg</t>
  </si>
  <si>
    <t>https://dd3ka9h4chfr8.cloudfront.net/image/725136000567/image_vperi7dqgp367al12o7pkm5550/-FJPG/236081-002_DET_6.jpg</t>
  </si>
  <si>
    <t>236084-001</t>
  </si>
  <si>
    <t>Heavy Wood Accent Bench - Alcala Cream</t>
  </si>
  <si>
    <t>Alcala Cream</t>
  </si>
  <si>
    <t>Twin pillar legs flank the soft seat of this accent bench.</t>
  </si>
  <si>
    <t>https://dd3ka9h4chfr8.cloudfront.net/image/725136000567/image_t5ht62i7od1ej108lf30cgeb34/-S150x150-FJPG/236084-001_PRM_1.jpg</t>
  </si>
  <si>
    <t>https://dd3ka9h4chfr8.cloudfront.net/image/725136000567/image_9109ii210d4rt36k54pe6lck7o/-FJPG/236084-001_FRT_1.jpg</t>
  </si>
  <si>
    <t>https://dd3ka9h4chfr8.cloudfront.net/image/725136000567/image_t5ht62i7od1ej108lf30cgeb34/-FJPG/236084-001_PRM_1.jpg</t>
  </si>
  <si>
    <t>https://dd3ka9h4chfr8.cloudfront.net/image/725136000567/image_s5j4rvd3750ttcdbp5ldmfif3q/-FJPG/236084-001_SID_1.jpg</t>
  </si>
  <si>
    <t>https://dd3ka9h4chfr8.cloudfront.net/image/725136000567/image_1tt0cus9vt7o32d169ukuelu4r/-FJPG/236084-001_DET_2.jpg</t>
  </si>
  <si>
    <t>https://dd3ka9h4chfr8.cloudfront.net/image/725136000567/image_21omvtlfq9133ckrfa66c9he19/-FJPG/236084-001_DET_1.jpg</t>
  </si>
  <si>
    <t>https://dd3ka9h4chfr8.cloudfront.net/image/725136000567/image_3i2qciobe15h160hrfksap282f/-FJPG/236084-001_DET_3.jpg</t>
  </si>
  <si>
    <t>https://dd3ka9h4chfr8.cloudfront.net/image/725136000567/image_enri1pk9cl4jjao4fgut0esj0c/-FJPG/236084-001_DET_4.jpg</t>
  </si>
  <si>
    <t>https://dd3ka9h4chfr8.cloudfront.net/image/725136000567/image_d3pqb9b3od7inc65304p2ruk22/-FJPG/236084-001_DET_5.jpg</t>
  </si>
  <si>
    <t>https://dd3ka9h4chfr8.cloudfront.net/image/725136000567/image_5cpptk19vl3tfdltorrqc27828/-FJPG/FHMPRJ23-004_Shot_15A_.jpg</t>
  </si>
  <si>
    <t>Heavy Wood</t>
  </si>
  <si>
    <t>236088-002</t>
  </si>
  <si>
    <t>Cairo Sofa - Palermo Cognac</t>
  </si>
  <si>
    <t>A silhouette that commands attention from all angles. Inspired by vintage Brazilian designs, wide plank legs form an architectural frame for floating cushion seats. Tight upholstered back with wraparound arms and plush feather-blend cushions.</t>
  </si>
  <si>
    <t>https://dd3ka9h4chfr8.cloudfront.net/image/725136000567/image_id3gi8bd0t05pfrrg6vfh8qg01/-S150x150-FJPG/236088-002_PRM_1.jpg</t>
  </si>
  <si>
    <t>https://dd3ka9h4chfr8.cloudfront.net/image/725136000567/image_q1au1e0vd946rekracn2ag081v/-FJPG/236088-002_FRT_1.jpg</t>
  </si>
  <si>
    <t>https://dd3ka9h4chfr8.cloudfront.net/image/725136000567/image_id3gi8bd0t05pfrrg6vfh8qg01/-FJPG/236088-002_PRM_1.jpg</t>
  </si>
  <si>
    <t>https://dd3ka9h4chfr8.cloudfront.net/image/725136000567/image_41kk16h78l7sr4douo7et18u5q/-FJPG/236088-002_SID_1.jpg</t>
  </si>
  <si>
    <t>https://dd3ka9h4chfr8.cloudfront.net/image/725136000567/image_qrllr5b1013rj3orao7q2ffl3h/-FJPG/236088-002_ESS_1.jpg</t>
  </si>
  <si>
    <t>https://dd3ka9h4chfr8.cloudfront.net/image/725136000567/image_kj8n7dmq7l2f9d3g701u39jp5q/-FJPG/236088-002_DET_2.jpg</t>
  </si>
  <si>
    <t>https://dd3ka9h4chfr8.cloudfront.net/image/725136000567/image_8eqhj7lmkp6nd5l826i45bqu6u/-FJPG/236088-002_BCK_1.jpg</t>
  </si>
  <si>
    <t>https://dd3ka9h4chfr8.cloudfront.net/image/725136000567/image_geligb201h5cb5889omcantq2l/-FJPG/236088-002_DET_1.jpg</t>
  </si>
  <si>
    <t>https://dd3ka9h4chfr8.cloudfront.net/image/725136000567/image_kv92rf8kp55v93f1aeigu43n6q/-FJPG/236088-002_DET_3.jpg</t>
  </si>
  <si>
    <t>https://dd3ka9h4chfr8.cloudfront.net/image/725136000567/image_5qiibdbv810890f18a358jc913/-FJPG/236088-002_DET_4.jpg</t>
  </si>
  <si>
    <t>https://dd3ka9h4chfr8.cloudfront.net/image/725136000567/image_fh217ltci52ld39q9g24e52r2c/-FJPG/236088-002_DET_5.jpg</t>
  </si>
  <si>
    <t>https://dd3ka9h4chfr8.cloudfront.net/image/725136000567/image_u0kv92mqvd1fvf299guvftaj21/-FJPG/236088-002_DET_6.jpg</t>
  </si>
  <si>
    <t>79.72"</t>
  </si>
  <si>
    <t>84.06"</t>
  </si>
  <si>
    <t>236088-003</t>
  </si>
  <si>
    <t>Cairo Sofa - Thames Cream</t>
  </si>
  <si>
    <t>A silhouette that commands attention from all angles. Inspired by vintage Brazilian designs, wide plank legs form an architectural frame for floating cushion seats. Tight back is upholstered in high-performance fabric, with wraparound arms and plush feather-blend cushions.</t>
  </si>
  <si>
    <t>https://dd3ka9h4chfr8.cloudfront.net/image/725136000567/image_i9bflbn8d557d43jnm4l948j1l/-S150x150-FJPG/236088-003_PRM_1.jpg</t>
  </si>
  <si>
    <t>https://dd3ka9h4chfr8.cloudfront.net/image/725136000567/image_ca31osdogh5d3510vnfa1crn3s/-FJPG/236088-003_FRT_1.jpg</t>
  </si>
  <si>
    <t>https://dd3ka9h4chfr8.cloudfront.net/image/725136000567/image_i9bflbn8d557d43jnm4l948j1l/-FJPG/236088-003_PRM_1.jpg</t>
  </si>
  <si>
    <t>https://dd3ka9h4chfr8.cloudfront.net/image/725136000567/image_icqql04avd20p2gsr9ig3pts63/-FJPG/236088-003_SID_1.jpg</t>
  </si>
  <si>
    <t>https://dd3ka9h4chfr8.cloudfront.net/image/725136000567/image_7sb7fnbknd15l587974agtsl4r/-FJPG/236088-003_ESS_1.tif</t>
  </si>
  <si>
    <t>https://dd3ka9h4chfr8.cloudfront.net/image/725136000567/image_sak06mg0sd5fhel7m934m81d08/-FJPG/236088-003_DET_2.jpg</t>
  </si>
  <si>
    <t>https://dd3ka9h4chfr8.cloudfront.net/image/725136000567/image_c0q4h226t94j1db09f20j5l26p/-FJPG/236088-003_BCK_1.jpg</t>
  </si>
  <si>
    <t>https://dd3ka9h4chfr8.cloudfront.net/image/725136000567/image_94oonrmivd5avd39b86jfmu501/-FJPG/236088-003_DET_1.jpg</t>
  </si>
  <si>
    <t>https://dd3ka9h4chfr8.cloudfront.net/image/725136000567/image_9codn42r316jn31ldaherrt751/-FJPG/236088-003_DET_3.jpg</t>
  </si>
  <si>
    <t>https://dd3ka9h4chfr8.cloudfront.net/image/725136000567/image_48d8b0ka6h71d8rf0g6sl60o6v/-FJPG/236088-003_DET_4.jpg</t>
  </si>
  <si>
    <t>https://dd3ka9h4chfr8.cloudfront.net/image/725136000567/image_56npjgoo0d337b36dsi930tg6d/-FJPG/236088-003_DET_5.jpg</t>
  </si>
  <si>
    <t>https://dd3ka9h4chfr8.cloudfront.net/image/725136000567/image_c98r18aad53ctfecemadsl2l75/-FJPG/236088-003_ESS.tif</t>
  </si>
  <si>
    <t>236088-004</t>
  </si>
  <si>
    <t>Cairo Sofa - Modern Velvet Smoke</t>
  </si>
  <si>
    <t>https://dd3ka9h4chfr8.cloudfront.net/image/725136000567/image_a58icfqk554ltd1ej2hpgh9n1g/-S150x150-FJPG/236088-004_PRM_1.jpg</t>
  </si>
  <si>
    <t>https://dd3ka9h4chfr8.cloudfront.net/image/725136000567/image_09itijrv1h3n76nhhb1l8efl5j/-FJPG/236088-004_FRT_1.jpg</t>
  </si>
  <si>
    <t>https://dd3ka9h4chfr8.cloudfront.net/image/725136000567/image_a58icfqk554ltd1ej2hpgh9n1g/-FJPG/236088-004_PRM_1.jpg</t>
  </si>
  <si>
    <t>https://dd3ka9h4chfr8.cloudfront.net/image/725136000567/image_bnhim5i7gl4l19jp7pgasavk0k/-FJPG/236088-004_SID_1.jpg</t>
  </si>
  <si>
    <t>https://dd3ka9h4chfr8.cloudfront.net/image/725136000567/image_bgbpqbu1910cl10d8bljsl7175/-FJPG/236088-004_ESS_1.jpg</t>
  </si>
  <si>
    <t>https://dd3ka9h4chfr8.cloudfront.net/image/725136000567/image_cflr10bu6h3a9adh2f5l4k3d28/-FJPG/236088-004_DET_2.jpg</t>
  </si>
  <si>
    <t>https://dd3ka9h4chfr8.cloudfront.net/image/725136000567/image_3kfqsaeuv50sr8d4lk9sp5ac1k/-FJPG/236088-004_BCK_1.jpg</t>
  </si>
  <si>
    <t>https://dd3ka9h4chfr8.cloudfront.net/image/725136000567/image_keblr3m4dd2dvfs92n5m606r0d/-FJPG/236088-004_DET_1.jpg</t>
  </si>
  <si>
    <t>https://dd3ka9h4chfr8.cloudfront.net/image/725136000567/image_ndmc2s06j96hd75sqcmkn7cb16/-FJPG/236088-004_DET_3.jpg</t>
  </si>
  <si>
    <t>https://dd3ka9h4chfr8.cloudfront.net/image/725136000567/image_pems30hd017elc94o6une5ne0p/-FJPG/236088-004_DET_4.jpg</t>
  </si>
  <si>
    <t>https://dd3ka9h4chfr8.cloudfront.net/image/725136000567/image_uu1qio4v8d18p44i0tu5doh564/-FJPG/236088-004_DET_5.jpg</t>
  </si>
  <si>
    <t>https://dd3ka9h4chfr8.cloudfront.net/image/725136000567/image_5ee9v3emfl5h9cupsbltq1mt7n/-FJPG/236088-004_DET_6.jpg</t>
  </si>
  <si>
    <t>236092-001</t>
  </si>
  <si>
    <t>Olson Swivel Chair - Emerald Worn Velvet</t>
  </si>
  <si>
    <t>Work some color into your mix with low, structured seating upholstered in an emerald performance fabric â€“ all atop a 360-degree swivel. Performance fabrics are specially created to withstand spills, stains, high traffic and wear, ensuring long-term comfort and unmatched durability.</t>
  </si>
  <si>
    <t>https://dd3ka9h4chfr8.cloudfront.net/image/725136000567/image_8rb80922h912f8m40kp5v85v5t/-S150x150-FJPG/236092-001_PRM_1.jpg</t>
  </si>
  <si>
    <t>https://dd3ka9h4chfr8.cloudfront.net/image/725136000567/image_0fkkn6hdlt23t1um0j4ss0re3d/-FJPG/236092-001_FRT_1.jpg</t>
  </si>
  <si>
    <t>https://dd3ka9h4chfr8.cloudfront.net/image/725136000567/image_8rb80922h912f8m40kp5v85v5t/-FJPG/236092-001_PRM_1.jpg</t>
  </si>
  <si>
    <t>https://dd3ka9h4chfr8.cloudfront.net/image/725136000567/image_8hs1pr2fql2utbpbj6u1459d66/-FJPG/236092-001_SID_1.jpg</t>
  </si>
  <si>
    <t>https://dd3ka9h4chfr8.cloudfront.net/image/725136000567/image_dfsru0hqmd51r3itoah7gjfo16/-FJPG/236092-001_ESS_1.jpg</t>
  </si>
  <si>
    <t>https://dd3ka9h4chfr8.cloudfront.net/image/725136000567/image_9sbtt6es911q16te75j0h2g67h/-FJPG/236092-001_DET_2.jpg</t>
  </si>
  <si>
    <t>https://dd3ka9h4chfr8.cloudfront.net/image/725136000567/image_ov3n4nb27174vdhv00hnam6g7u/-FJPG/236092-001_BCK_1.jpg</t>
  </si>
  <si>
    <t>https://dd3ka9h4chfr8.cloudfront.net/image/725136000567/image_85dt342c0p4353k8jvvgq01h4l/-FJPG/236092-001_DET_1.jpg</t>
  </si>
  <si>
    <t>https://dd3ka9h4chfr8.cloudfront.net/image/725136000567/image_66n1ndtkih3v55fmt13f75dm6i/-FJPG/236092-001_DET_3.jpg</t>
  </si>
  <si>
    <t>https://dd3ka9h4chfr8.cloudfront.net/image/725136000567/image_i9am6nmc9t7c543cv08rodub37/-FJPG/236092-001_DET_4.jpg</t>
  </si>
  <si>
    <t>https://dd3ka9h4chfr8.cloudfront.net/image/725136000567/image_eq30j5dpn905v7vrbd9oe2cb70/-FJPG/236092-001_DET_5.jpg</t>
  </si>
  <si>
    <t>https://dd3ka9h4chfr8.cloudfront.net/image/725136000567/image_u3eqn22ps521310vo7i3o9uq3f/-FJPG/236092-001_DET_6.jpg</t>
  </si>
  <si>
    <t>Complete Item, Bevel Box</t>
  </si>
  <si>
    <t>236092-003</t>
  </si>
  <si>
    <t>Olson Swivel Chair - Sonoma Black</t>
  </si>
  <si>
    <t>Low, structured seating upholstered in black top-grain leather exclusive to Four Hands, atop a modern 360-degree swivel.</t>
  </si>
  <si>
    <t>https://dd3ka9h4chfr8.cloudfront.net/image/725136000567/image_mb12ag1b2h71vcr477b8igvf6i/-S150x150-FJPG/236092-003_PRM_1.jpg</t>
  </si>
  <si>
    <t>https://dd3ka9h4chfr8.cloudfront.net/image/725136000567/image_b4kur109u93j7cnglq8kurds1b/-FJPG/236092-003_FRT_1.jpg</t>
  </si>
  <si>
    <t>https://dd3ka9h4chfr8.cloudfront.net/image/725136000567/image_mb12ag1b2h71vcr477b8igvf6i/-FJPG/236092-003_PRM_1.jpg</t>
  </si>
  <si>
    <t>https://dd3ka9h4chfr8.cloudfront.net/image/725136000567/image_nvvf02qq4h5tb3s2hlgvei2o5o/-FJPG/236092-003_SID_1.jpg</t>
  </si>
  <si>
    <t>https://dd3ka9h4chfr8.cloudfront.net/image/725136000567/image_rrpnebtr757o97702gkpd5er3r/-FJPG/236092-003_DET_2.jpg</t>
  </si>
  <si>
    <t>https://dd3ka9h4chfr8.cloudfront.net/image/725136000567/image_7h55icsq055gf4j4fderftp86v/-FJPG/236092-003_BCK_1.jpg</t>
  </si>
  <si>
    <t>https://dd3ka9h4chfr8.cloudfront.net/image/725136000567/image_jfi519b9vh5cv4tdv6ivhsf345/-FJPG/236092-003_DET_1.jpg</t>
  </si>
  <si>
    <t>https://dd3ka9h4chfr8.cloudfront.net/image/725136000567/image_s12a3dll8978f6843ejmeb3208/-FJPG/236092-003_DET_3.jpg</t>
  </si>
  <si>
    <t>https://dd3ka9h4chfr8.cloudfront.net/image/725136000567/image_rvhh77h8nl795act2c1u92an6k/-FJPG/236092-003_DET_4.jpg</t>
  </si>
  <si>
    <t>https://dd3ka9h4chfr8.cloudfront.net/image/725136000567/image_goe7agtj3h7mh5i6mirbv4u24s/-FJPG/236092-003_DET_5.jpg</t>
  </si>
  <si>
    <t>236092-004</t>
  </si>
  <si>
    <t>Olson Swivel Chair - Sonoma Butterscotch</t>
  </si>
  <si>
    <t>Low, structured seating upholstered in butterscotch-finished top-grain leather atop a 360-degree swivel.</t>
  </si>
  <si>
    <t>https://dd3ka9h4chfr8.cloudfront.net/image/725136000567/image_5d2qqmmg657kt3c0457fuktj0j/-S150x150-FJPG/236092-004_PRM_1.jpg</t>
  </si>
  <si>
    <t>https://dd3ka9h4chfr8.cloudfront.net/image/725136000567/image_00hgsan86l37hfp2qpo77bb63k/-FJPG/236092-004_FRT_1.jpg</t>
  </si>
  <si>
    <t>https://dd3ka9h4chfr8.cloudfront.net/image/725136000567/image_5d2qqmmg657kt3c0457fuktj0j/-FJPG/236092-004_PRM_1.jpg</t>
  </si>
  <si>
    <t>https://dd3ka9h4chfr8.cloudfront.net/image/725136000567/image_pogco6u3st6a5b182hd7m9ra2c/-FJPG/236092-004_SID_1.jpg</t>
  </si>
  <si>
    <t>https://dd3ka9h4chfr8.cloudfront.net/image/725136000567/image_mu0eivei9p2bf2eaaqjvb65e7k/-FJPG/236092-004_ESS_1.jpg</t>
  </si>
  <si>
    <t>https://dd3ka9h4chfr8.cloudfront.net/image/725136000567/image_d1ufnvb6ht7392bajjlvhpu81k/-FJPG/236092-004_DET_2.jpg</t>
  </si>
  <si>
    <t>https://dd3ka9h4chfr8.cloudfront.net/image/725136000567/image_qfaf6k0pg51kddnog2isfgh051/-FJPG/236092-004_BCK_1.jpg</t>
  </si>
  <si>
    <t>https://dd3ka9h4chfr8.cloudfront.net/image/725136000567/image_df6484sall581btn6jdrsc8s79/-FJPG/236092-004_DET_1.jpg</t>
  </si>
  <si>
    <t>https://dd3ka9h4chfr8.cloudfront.net/image/725136000567/image_dpjq4ps2kp3v31mj3nfqv95e38/-FJPG/236092-004_DET_3.jpg</t>
  </si>
  <si>
    <t>https://dd3ka9h4chfr8.cloudfront.net/image/725136000567/image_tku86j5dq529b6j1a1kptj163o/-FJPG/236092-004_DET_4.jpg</t>
  </si>
  <si>
    <t>https://dd3ka9h4chfr8.cloudfront.net/image/725136000567/image_dfhqqb82v5575fpv1mupub1m1i/-FJPG/236092-004_DET_5.jpg</t>
  </si>
  <si>
    <t>https://dd3ka9h4chfr8.cloudfront.net/image/725136000567/image_i077rcvoc11198dt0kg1t8uv26/-FJPG/236092-004_DET_6.jpg</t>
  </si>
  <si>
    <t>Complete Item,L-Shaped Box</t>
  </si>
  <si>
    <t>236117-001</t>
  </si>
  <si>
    <t>Westhoff Sideboard - Rubbed Black Oak</t>
  </si>
  <si>
    <t>Rubbed Black Oak Veneer</t>
  </si>
  <si>
    <t>Dark Iron</t>
  </si>
  <si>
    <t>Structured and minimalist, this sideboard's simple box-shape makes it a seamless complementary piece. Its mixed materials â€” black oak, metal framework and dark iron pulls â€” add visual interest.</t>
  </si>
  <si>
    <t>https://dd3ka9h4chfr8.cloudfront.net/image/725136000567/image_nepa9m2n9138r04onpqkjdg51j/-S150x150-FJPG/236117-001_PRM_1.jpg</t>
  </si>
  <si>
    <t>https://dd3ka9h4chfr8.cloudfront.net/image/725136000567/image_dmefg449bl52nbdk3bnsjvs70o/-FJPG/236117-001_FRT_1.jpg</t>
  </si>
  <si>
    <t>https://dd3ka9h4chfr8.cloudfront.net/image/725136000567/image_nepa9m2n9138r04onpqkjdg51j/-FJPG/236117-001_PRM_1.jpg</t>
  </si>
  <si>
    <t>https://dd3ka9h4chfr8.cloudfront.net/image/725136000567/image_kdsg2s8i017t57rsaibgsnut3n/-FJPG/236117-001_SID_1.jpg</t>
  </si>
  <si>
    <t>https://dd3ka9h4chfr8.cloudfront.net/image/725136000567/image_lkcn9ugsql72n7dehmdaa4u84k/-FJPG/236117-001_ESS.tif</t>
  </si>
  <si>
    <t>https://dd3ka9h4chfr8.cloudfront.net/image/725136000567/image_uv5berp8dh3mfdhr1dd00aqg1o/-FJPG/236117-001_DET_2.jpg</t>
  </si>
  <si>
    <t>https://dd3ka9h4chfr8.cloudfront.net/image/725136000567/image_m4dodmrlkp0b915phu6eijsb6v/-FJPG/236117-001_BCK_1.jpg</t>
  </si>
  <si>
    <t>https://dd3ka9h4chfr8.cloudfront.net/image/725136000567/image_ui3tvjueod249blpgkv27rh169/-FJPG/236117-001_DET_1.jpg</t>
  </si>
  <si>
    <t>https://dd3ka9h4chfr8.cloudfront.net/image/725136000567/image_u9pvdb8u6t5kj9u6og8083ll5k/-FJPG/236117-001_DET_3.jpg</t>
  </si>
  <si>
    <t>https://dd3ka9h4chfr8.cloudfront.net/image/725136000567/image_uqpb5inv0945deegeskq0imf1g/-FJPG/236117-001_OPN_1.jpg</t>
  </si>
  <si>
    <t>https://dd3ka9h4chfr8.cloudfront.net/image/725136000567/image_g3ihcjc7qt7nbf0k42h9ueq11h/-FJPG/236117-001_DET_4.jpg</t>
  </si>
  <si>
    <t>https://dd3ka9h4chfr8.cloudfront.net/image/725136000567/image_rk94p61d5521d6r815bqt6rm4k/-FJPG/236117-001_DET_5.jpg</t>
  </si>
  <si>
    <t>https://dd3ka9h4chfr8.cloudfront.net/image/725136000567/image_r8isdg6q1t6kj0pthq5rrtgp1g/-FJPG/236117-001_DET_6.jpg</t>
  </si>
  <si>
    <t>https://dd3ka9h4chfr8.cloudfront.net/image/725136000567/image_kma4d08gh107f53masgu5sos25/-FJPG/236117-001_DET_7.jpg</t>
  </si>
  <si>
    <t>https://dd3ka9h4chfr8.cloudfront.net/image/725136000567/image_k017t8vubt42lfn8da8hhim15r/-FJPG/236117-001_DET_8.jpg</t>
  </si>
  <si>
    <t>https://dd3ka9h4chfr8.cloudfront.net/image/725136000567/image_6smm57g4el2tbcu1501lma1053/-FJPG/236117-001_DET_9.tif</t>
  </si>
  <si>
    <t>https://dd3ka9h4chfr8.cloudfront.net/image/725136000567/image_5gqlh8hcfd1hp5pt1ku55ij95v/-FJPG/236117-001_DET_10.tif</t>
  </si>
  <si>
    <t>https://dd3ka9h4chfr8.cloudfront.net/image/725136000567/image_riesc4dfi91e93rako9rfir44s/-FJPG/236117-001_DET_11.tif</t>
  </si>
  <si>
    <t>https://dd3ka9h4chfr8.cloudfront.net/image/725136000567/image_ejg9r4tgm16vl6c0e321ajc53m/-FJPG/236117-001_DET_12.tif</t>
  </si>
  <si>
    <t>Westhoff  Sideboard</t>
  </si>
  <si>
    <t>39.92"</t>
  </si>
  <si>
    <t>Westhoff</t>
  </si>
  <si>
    <t>236124-002</t>
  </si>
  <si>
    <t>Glenview 6 Door Sideboard - Cracked Smoked Black Veneer</t>
  </si>
  <si>
    <t>Cracked Smoked Black Veneer</t>
  </si>
  <si>
    <t>Smoked Black Oak</t>
  </si>
  <si>
    <t>Traditional, reimagined. Made from rustic weathered oak, a six-door sideboard brings generous storage space to the dining room and beyond. Simple cylindrical hardware is finished in an aged bronze.</t>
  </si>
  <si>
    <t>https://dd3ka9h4chfr8.cloudfront.net/image/725136000567/image_l057993pl96llbham51hlqga6j/-S150x150-FJPG/236124-002_PRM_1.jpg</t>
  </si>
  <si>
    <t>https://dd3ka9h4chfr8.cloudfront.net/image/725136000567/image_ka0ndecd1d3256c4qr25kmhc49/-FJPG/236124-002_FRT_1.jpg</t>
  </si>
  <si>
    <t>https://dd3ka9h4chfr8.cloudfront.net/image/725136000567/image_l057993pl96llbham51hlqga6j/-FJPG/236124-002_PRM_1.jpg</t>
  </si>
  <si>
    <t>https://dd3ka9h4chfr8.cloudfront.net/image/725136000567/image_p4dr91ot717e58etiv6l9k4c4j/-FJPG/236124-002_SID_1.jpg</t>
  </si>
  <si>
    <t>https://dd3ka9h4chfr8.cloudfront.net/image/725136000567/image_o9nhkle0et4ht2piik7khi655i/-FJPG/236124-002_DET_2.jpg</t>
  </si>
  <si>
    <t>https://dd3ka9h4chfr8.cloudfront.net/image/725136000567/image_pq4q2v96714q14dagmgn972b5n/-FJPG/236124-002_BCK_1.jpg</t>
  </si>
  <si>
    <t>https://dd3ka9h4chfr8.cloudfront.net/image/725136000567/image_tc1cra79kd4mj3f0vg90n7es38/-FJPG/236124-002_DET_1.jpg</t>
  </si>
  <si>
    <t>https://dd3ka9h4chfr8.cloudfront.net/image/725136000567/image_9chm2h2mvd3cdcc4qe8q8ils7f/-FJPG/236124-002_DET_3.jpg</t>
  </si>
  <si>
    <t>https://dd3ka9h4chfr8.cloudfront.net/image/725136000567/image_md3pkhukmt6vt7rr9q7hi4pn43/-FJPG/236124-002_OPN_1.jpg</t>
  </si>
  <si>
    <t>https://dd3ka9h4chfr8.cloudfront.net/image/725136000567/image_0q9m7resh102f708l7f943js14/-FJPG/236124-002_TOP_1.jpg</t>
  </si>
  <si>
    <t>https://dd3ka9h4chfr8.cloudfront.net/image/725136000567/image_tvslhqmq8l5p3082f1envt9u3q/-FJPG/236124-002_DET_4.jpg</t>
  </si>
  <si>
    <t>https://dd3ka9h4chfr8.cloudfront.net/image/725136000567/image_gnot3t34o154rde76qs3ohp653/-FJPG/236124-002_DET_5.jpg</t>
  </si>
  <si>
    <t>https://dd3ka9h4chfr8.cloudfront.net/image/725136000567/image_uogkmb1sud4qd2c3guiqjcno2d/-FJPG/236124-002_DET_6.jpg</t>
  </si>
  <si>
    <t>https://dd3ka9h4chfr8.cloudfront.net/image/725136000567/image_8siksvdbut2j19d8rm4i95mr2i/-FJPG/236124-002_DET_7.jpg</t>
  </si>
  <si>
    <t>Glenview  Sideboard</t>
  </si>
  <si>
    <t>22.09"</t>
  </si>
  <si>
    <t>29.61"</t>
  </si>
  <si>
    <t>Glenview</t>
  </si>
  <si>
    <t>2.74"</t>
  </si>
  <si>
    <t>21.85"</t>
  </si>
  <si>
    <t>14.31"</t>
  </si>
  <si>
    <t>236129-001</t>
  </si>
  <si>
    <t>Arlington 6 Door Sideboard - Espresso Oak Veneer</t>
  </si>
  <si>
    <t>Truett</t>
  </si>
  <si>
    <t>Espresso Oak Veneer</t>
  </si>
  <si>
    <t>Espresso-finished oak casing pairs with six coffee-colored iron door fronts, for an intriguing material mix. With bullnose waterfall framing and offset metal hardware, this spacious sideboard offers an elevated industrial look. Three rear cutouts for cord management.</t>
  </si>
  <si>
    <t>https://dd3ka9h4chfr8.cloudfront.net/image/725136000567/image_s5j1san3ll37742bmn8g1up44d/-S150x150-FJPG/236129-001_PRM_1.jpg</t>
  </si>
  <si>
    <t>https://dd3ka9h4chfr8.cloudfront.net/image/725136000567/image_gbdcgd252l2or79f90f2mcoi7k/-FJPG/236129-001_FRT_1.jpg</t>
  </si>
  <si>
    <t>https://dd3ka9h4chfr8.cloudfront.net/image/725136000567/image_s5j1san3ll37742bmn8g1up44d/-FJPG/236129-001_PRM_1.jpg</t>
  </si>
  <si>
    <t>https://dd3ka9h4chfr8.cloudfront.net/image/725136000567/image_napuu7mpil2hn5r6kjghtdmg6k/-FJPG/236129-001_SID_1.jpg</t>
  </si>
  <si>
    <t>https://dd3ka9h4chfr8.cloudfront.net/image/725136000567/image_7vi2db1cfd0drdnigqk9uofm2m/-FJPG/236129-001_ESS.tif</t>
  </si>
  <si>
    <t>https://dd3ka9h4chfr8.cloudfront.net/image/725136000567/image_e8nntub9g142tbmmg9pqu4f26l/-FJPG/236129-001_DET_2.jpg</t>
  </si>
  <si>
    <t>https://dd3ka9h4chfr8.cloudfront.net/image/725136000567/image_5qts40jlkh7mn02k6agqbk0470/-FJPG/236129-001_BCK_1.jpg</t>
  </si>
  <si>
    <t>https://dd3ka9h4chfr8.cloudfront.net/image/725136000567/image_7nl69ot3gl78p1o55mfbfnc018/-FJPG/236129-001_DET_1.jpg</t>
  </si>
  <si>
    <t>https://dd3ka9h4chfr8.cloudfront.net/image/725136000567/image_a16kamit756f7bilic8bs07d0k/-FJPG/236129-001_DET_3.jpg</t>
  </si>
  <si>
    <t>https://dd3ka9h4chfr8.cloudfront.net/image/725136000567/image_pjcrrog1896qn5i2durjrkvm25/-FJPG/236129-001_OPN_1.jpg</t>
  </si>
  <si>
    <t>https://dd3ka9h4chfr8.cloudfront.net/image/725136000567/image_pfeilp09q14ct2o53c6lsvge47/-FJPG/236129-001_TOP_1.jpg</t>
  </si>
  <si>
    <t>https://dd3ka9h4chfr8.cloudfront.net/image/725136000567/image_9503k56t9d325d1pndhmbfea5t/-FJPG/236129-001_DET_4.jpg</t>
  </si>
  <si>
    <t>https://dd3ka9h4chfr8.cloudfront.net/image/725136000567/image_384vdrgsd13m53nvk1k2iote5u/-FJPG/236129-001_DET_5.jpg</t>
  </si>
  <si>
    <t>https://dd3ka9h4chfr8.cloudfront.net/image/725136000567/image_3poamkodgl1pfdksg323roh00e/-FJPG/236129-001_DET_6.jpg</t>
  </si>
  <si>
    <t>https://dd3ka9h4chfr8.cloudfront.net/image/725136000567/image_fm6gusl8b11o33ihvjp798uh5j/-FJPG/236129-001_DET_7.jpg</t>
  </si>
  <si>
    <t>https://dd3ka9h4chfr8.cloudfront.net/image/725136000567/image_pg6cn4uu8l2sve9hse2i0nh07k/-FJPG/236129-001_DET_8.jpg</t>
  </si>
  <si>
    <t>https://dd3ka9h4chfr8.cloudfront.net/image/725136000567/image_l3o7gi8dd118ndkc5k6uq9p54f/-FJPG/236129-001_DET_9.tif</t>
  </si>
  <si>
    <t>https://dd3ka9h4chfr8.cloudfront.net/image/725136000567/image_ga63dc3jop6njaq9pr8v854k0h/-FJPG/236129-001_DET_10.tif</t>
  </si>
  <si>
    <t>https://dd3ka9h4chfr8.cloudfront.net/image/725136000567/image_rbdk4t0jop2kteaul5kmc1dt73/-FJPG/FHMPRJ016_SCENE-5.tif</t>
  </si>
  <si>
    <t>https://dd3ka9h4chfr8.cloudfront.net/image/725136000567/image_2qdd2l5c0h3v7433k1ac8plp4d/-FJPG/FHMPRJ016_SCENE-15-CROP-1.tif</t>
  </si>
  <si>
    <t>Miter Joint</t>
  </si>
  <si>
    <t>Arlington</t>
  </si>
  <si>
    <t>236132-001</t>
  </si>
  <si>
    <t>Sullivan Bed - Harbor Sand</t>
  </si>
  <si>
    <t>Harbor Sand</t>
  </si>
  <si>
    <t>Saddle Tan</t>
  </si>
  <si>
    <t>60% Polyester</t>
  </si>
  <si>
    <t>40% Viscose (Rayon)</t>
  </si>
  <si>
    <t>A simple, heavy wood bed frame with a removable sling cushion in a neutral fabric with blind button tufting. Choose the all-wood look or opt for a softer look with the pillow. The cushion is reinforced at the corners for added durability and easily removed for cleaning.</t>
  </si>
  <si>
    <t>https://dd3ka9h4chfr8.cloudfront.net/image/725136000567/image_6ao4d351t14ij4fceup9ogl25d/-S150x150-FJPG/236132-001_PRM_1.jpg</t>
  </si>
  <si>
    <t>https://dd3ka9h4chfr8.cloudfront.net/image/725136000567/image_jvqrc6f2pp5hle87noujdgsr3a/-FJPG/236132-001_FRT_1.jpg</t>
  </si>
  <si>
    <t>https://dd3ka9h4chfr8.cloudfront.net/image/725136000567/image_6ao4d351t14ij4fceup9ogl25d/-FJPG/236132-001_PRM_1.jpg</t>
  </si>
  <si>
    <t>https://dd3ka9h4chfr8.cloudfront.net/image/725136000567/image_q9lg7v3h050l389jmckni0153i/-FJPG/236132-001_SID_1.jpg</t>
  </si>
  <si>
    <t>https://dd3ka9h4chfr8.cloudfront.net/image/725136000567/image_8fe3rs21gh6ihchk1hsanfgh0q/-FJPG/236132-001_ESS_1.jpg</t>
  </si>
  <si>
    <t>https://dd3ka9h4chfr8.cloudfront.net/image/725136000567/image_mllrnuuohd2k17tpqecrpbe06e/-FJPG/236132-001_DET_2.jpg</t>
  </si>
  <si>
    <t>https://dd3ka9h4chfr8.cloudfront.net/image/725136000567/image_tbgufv4odp27552l7pngist61f/-FJPG/236132-001_BCK_1.jpg</t>
  </si>
  <si>
    <t>https://dd3ka9h4chfr8.cloudfront.net/image/725136000567/image_otc5lmo6fp18baod442efd2t5j/-FJPG/236132-001_DET_1.jpg</t>
  </si>
  <si>
    <t>https://dd3ka9h4chfr8.cloudfront.net/image/725136000567/image_h8k1pc2qg115d5t0dcchra0a5h/-FJPG/236132-001_DET_3.jpg</t>
  </si>
  <si>
    <t>https://dd3ka9h4chfr8.cloudfront.net/image/725136000567/image_c9m26ffd1154l7am8c81dl8m2p/-FJPG/236132-001_DET_4.jpg</t>
  </si>
  <si>
    <t>https://dd3ka9h4chfr8.cloudfront.net/image/725136000567/image_e3bj3a6mch72d2c28l9u1k2h37/-FJPG/236132-001_DET_5.jpg</t>
  </si>
  <si>
    <t>https://dd3ka9h4chfr8.cloudfront.net/image/725136000567/image_2mjv7uh2kd5170uadcng937a1n/-FJPG/236132-001_DET_6.jpg</t>
  </si>
  <si>
    <t>https://dd3ka9h4chfr8.cloudfront.net/image/725136000567/image_r4n4j0t22h40v3a8rif57f8c49/-FJPG/236132-001_DET_7.jpg</t>
  </si>
  <si>
    <t>Siderail/ Slats/Center Rail/ Center Legs</t>
  </si>
  <si>
    <t>64.96"</t>
  </si>
  <si>
    <t>54.02"</t>
  </si>
  <si>
    <t>82.56"</t>
  </si>
  <si>
    <t>236132-002</t>
  </si>
  <si>
    <t>https://dd3ka9h4chfr8.cloudfront.net/image/725136000567/image_9s8kll1lnl4en2q9clto1as245/-S150x150-FJPG/236132-002_PRM_1.jpg</t>
  </si>
  <si>
    <t>https://dd3ka9h4chfr8.cloudfront.net/image/725136000567/image_jd7b23v17t5nbbme9re5evdo34/-FJPG/236132-002_FRT_1.jpg</t>
  </si>
  <si>
    <t>https://dd3ka9h4chfr8.cloudfront.net/image/725136000567/image_9s8kll1lnl4en2q9clto1as245/-FJPG/236132-002_PRM_1.jpg</t>
  </si>
  <si>
    <t>https://dd3ka9h4chfr8.cloudfront.net/image/725136000567/image_tp0khr2nnt5bnbo40njmpgti4a/-FJPG/236132-002_SID_1.jpg</t>
  </si>
  <si>
    <t>https://dd3ka9h4chfr8.cloudfront.net/image/725136000567/image_eehri3lcnp553dqt5c36b8l23v/-FJPG/236132-002_ESS_1.jpg</t>
  </si>
  <si>
    <t>https://dd3ka9h4chfr8.cloudfront.net/image/725136000567/image_rhfqhsb5ul7mt1rhiu6p2puq2l/-FJPG/236132-002_DET_2.jpg</t>
  </si>
  <si>
    <t>https://dd3ka9h4chfr8.cloudfront.net/image/725136000567/image_8e5dcp8u8p5dvfke15d58gn95c/-FJPG/236132-002_BCK_1.jpg</t>
  </si>
  <si>
    <t>https://dd3ka9h4chfr8.cloudfront.net/image/725136000567/image_kug9osiebh3qnc83e7b9fe0811/-FJPG/236132-002_DET_1.jpg</t>
  </si>
  <si>
    <t>https://dd3ka9h4chfr8.cloudfront.net/image/725136000567/image_3g82dj8c7p4rtdbviq0r6etm12/-FJPG/236132-002_DET_3.jpg</t>
  </si>
  <si>
    <t>https://dd3ka9h4chfr8.cloudfront.net/image/725136000567/image_ie7u7c69ip5t7f9duucndbq215/-FJPG/236132-002_DET_4.jpg</t>
  </si>
  <si>
    <t>https://dd3ka9h4chfr8.cloudfront.net/image/725136000567/image_cah1cc0flp4nd0384deigjtj7f/-FJPG/236132-002_DET_5.jpg</t>
  </si>
  <si>
    <t>https://dd3ka9h4chfr8.cloudfront.net/image/725136000567/image_avk76o3qj50i36ou7i9sg80g78/-FJPG/236132-002_DET_6.jpg</t>
  </si>
  <si>
    <t>80.91"</t>
  </si>
  <si>
    <t>84.53"</t>
  </si>
  <si>
    <t>236151-001</t>
  </si>
  <si>
    <t>A study in shape. Seasoned brown acacia forms the crescent-shaped legs and round tabletop of this coffee table, bringing organic presence to the living room.</t>
  </si>
  <si>
    <t>https://dd3ka9h4chfr8.cloudfront.net/image/725136000567/image_p761o3kf6t7qp71n6mk8uhil4i/-S150x150-FJPG/236151-001_PRM_1.jpg</t>
  </si>
  <si>
    <t>https://dd3ka9h4chfr8.cloudfront.net/image/725136000567/image_lkl68qqdjh69p0fco6e49atj29/-FJPG/236151-001_FRT_1.jpg</t>
  </si>
  <si>
    <t>https://dd3ka9h4chfr8.cloudfront.net/image/725136000567/image_p761o3kf6t7qp71n6mk8uhil4i/-FJPG/236151-001_PRM_1.jpg</t>
  </si>
  <si>
    <t>https://dd3ka9h4chfr8.cloudfront.net/image/725136000567/image_8h64j2amd17rt8jhlc43mcgg50/-FJPG/236151-001_SID_1.jpg</t>
  </si>
  <si>
    <t>https://dd3ka9h4chfr8.cloudfront.net/image/725136000567/image_msj4rpglft5j1etl1g2kd2lr1o/-FJPG/236151-001_DET_2.jpg</t>
  </si>
  <si>
    <t>https://dd3ka9h4chfr8.cloudfront.net/image/725136000567/image_19hp4j7t617hl6bg60otguf63r/-FJPG/236151-001_DET_1.jpg</t>
  </si>
  <si>
    <t>https://dd3ka9h4chfr8.cloudfront.net/image/725136000567/image_nca3l6i42p0dvdsrjvm6i7tu5b/-FJPG/236151-001_DET_3.jpg</t>
  </si>
  <si>
    <t>https://dd3ka9h4chfr8.cloudfront.net/image/725136000567/image_ri868vnt397h1clk9hi3mia25d/-FJPG/236151-001_DET_4.jpg</t>
  </si>
  <si>
    <t>https://dd3ka9h4chfr8.cloudfront.net/image/725136000567/image_9qro0qhqqh5q76cs3ng30p5e6j/-FJPG/236151-001_DET_5.jpg</t>
  </si>
  <si>
    <t>https://dd3ka9h4chfr8.cloudfront.net/image/725136000567/image_18cefugvh914pfm2vcfggmcl14/-FJPG/236151-001_DET_6.jpg</t>
  </si>
  <si>
    <t>24.06"</t>
  </si>
  <si>
    <t>236151-002</t>
  </si>
  <si>
    <t>https://dd3ka9h4chfr8.cloudfront.net/image/725136000567/image_22bmv9onvd6o34mok6on7d9969/-S150x150-FJPG/236151-002_PRM_1.jpg</t>
  </si>
  <si>
    <t>https://dd3ka9h4chfr8.cloudfront.net/image/725136000567/image_5316n8mfmp20f40lo6tr4evm6b/-FJPG/236151-002_FRT_1.jpg</t>
  </si>
  <si>
    <t>https://dd3ka9h4chfr8.cloudfront.net/image/725136000567/image_22bmv9onvd6o34mok6on7d9969/-FJPG/236151-002_PRM_1.jpg</t>
  </si>
  <si>
    <t>https://dd3ka9h4chfr8.cloudfront.net/image/725136000567/image_r9hkv6soi92d153gk0rv2oj527/-FJPG/236151-002_SID_1.jpg</t>
  </si>
  <si>
    <t>https://dd3ka9h4chfr8.cloudfront.net/image/725136000567/image_ogujj9934d6tv0ik2qebqv9s7l/-FJPG/236151-002_DET_2.jpg</t>
  </si>
  <si>
    <t>https://dd3ka9h4chfr8.cloudfront.net/image/725136000567/image_808inckg5h67j237qvnjlln80q/-FJPG/236151-002_DET_1.jpg</t>
  </si>
  <si>
    <t>https://dd3ka9h4chfr8.cloudfront.net/image/725136000567/image_23jr5lp7mh0ajbdte0q9lrg659/-FJPG/236151-002_DET_3.jpg</t>
  </si>
  <si>
    <t>https://dd3ka9h4chfr8.cloudfront.net/image/725136000567/image_242919e1u13c916sv34md03i7p/-FJPG/236151-002_DET_4.jpg</t>
  </si>
  <si>
    <t>https://dd3ka9h4chfr8.cloudfront.net/image/725136000567/image_c7fvbqsjfl2m3anh9oftf13c2r/-FJPG/236151-002_DET_5.jpg</t>
  </si>
  <si>
    <t>https://dd3ka9h4chfr8.cloudfront.net/image/725136000567/image_4t4bvp07hl07hfna2kc5qgjm3t/-FJPG/236151-002_ESS.tif</t>
  </si>
  <si>
    <t>https://dd3ka9h4chfr8.cloudfront.net/image/725136000567/image_hh66b8tq9p4tb5f58ng7ufqp3h/-FJPG/236151-002_ESS_9.tif</t>
  </si>
  <si>
    <t>236151-004</t>
  </si>
  <si>
    <t>Worn oak forms the crescent-shaped legs and large, oval tabletop of this console table, bringing a light, organic look to the living room, media space or entryway.</t>
  </si>
  <si>
    <t>https://dd3ka9h4chfr8.cloudfront.net/image/725136000567/image_92i0hpd2t10v1dg85aolbe6o2a/-S150x150-FJPG/236151-004_PRM_1.jpg</t>
  </si>
  <si>
    <t>https://dd3ka9h4chfr8.cloudfront.net/image/725136000567/image_lbkri5iaa51vv2kdg1fmmav91g/-FJPG/236151-004_FRT_1.jpg</t>
  </si>
  <si>
    <t>https://dd3ka9h4chfr8.cloudfront.net/image/725136000567/image_92i0hpd2t10v1dg85aolbe6o2a/-FJPG/236151-004_PRM_1.jpg</t>
  </si>
  <si>
    <t>https://dd3ka9h4chfr8.cloudfront.net/image/725136000567/image_op268590857hr9le6khjrnoq4n/-FJPG/236151-004_SID_1.jpg</t>
  </si>
  <si>
    <t>https://dd3ka9h4chfr8.cloudfront.net/image/725136000567/image_s6ogl13aqp13veqq2ic9qsh50t/-FJPG/236151-004_DET_2.jpg</t>
  </si>
  <si>
    <t>https://dd3ka9h4chfr8.cloudfront.net/image/725136000567/image_asnphrpes52l3c6npvghuu3903/-FJPG/236151-004_DET_1.jpg</t>
  </si>
  <si>
    <t>https://dd3ka9h4chfr8.cloudfront.net/image/725136000567/image_djf0cfr60t405ealt28qgq3o16/-FJPG/236151-004_DET_3.jpg</t>
  </si>
  <si>
    <t>https://dd3ka9h4chfr8.cloudfront.net/image/725136000567/image_c6l957fs1h2hfdrm7vdbivfm0e/-FJPG/236151-004_TOP_1.jpg</t>
  </si>
  <si>
    <t>https://dd3ka9h4chfr8.cloudfront.net/image/725136000567/image_es7r4uaiit1ht5d1965jcvru2c/-FJPG/236151-004_DET_4.jpg</t>
  </si>
  <si>
    <t>https://dd3ka9h4chfr8.cloudfront.net/image/725136000567/image_fpggm162b9729flgt0lqu6k84g/-FJPG/236151-004_DET_5.jpg</t>
  </si>
  <si>
    <t>236199-001</t>
  </si>
  <si>
    <t>Silverton Dining Table - Sienna Brown Oak Veneer</t>
  </si>
  <si>
    <t>Sienna Brown Oak Veneer</t>
  </si>
  <si>
    <t>The classic trestle dining table, simplified. A stretcher connection connects the two ends of the sleek A-frame base. Made from solid and veneer oak and finished in a versatile brown.</t>
  </si>
  <si>
    <t>https://dd3ka9h4chfr8.cloudfront.net/image/725136000567/image_t8gq92s8j93s94f7sn04inl467/-S150x150-FJPG/236199-001_PRM_1.jpg</t>
  </si>
  <si>
    <t>https://dd3ka9h4chfr8.cloudfront.net/image/725136000567/image_7b1nvvgaa55v5ekbn9kana746b/-FJPG/236199-001_FRT_1.jpg</t>
  </si>
  <si>
    <t>https://dd3ka9h4chfr8.cloudfront.net/image/725136000567/image_t8gq92s8j93s94f7sn04inl467/-FJPG/236199-001_PRM_1.jpg</t>
  </si>
  <si>
    <t>https://dd3ka9h4chfr8.cloudfront.net/image/725136000567/image_stvn8h3qkt2bp56nfl21g1ma7i/-FJPG/236199-001_SID_1.jpg</t>
  </si>
  <si>
    <t>https://dd3ka9h4chfr8.cloudfront.net/image/725136000567/image_nmf9t0d73t083blglsrbgjq04q/-FJPG/236199-001_ESS.tif</t>
  </si>
  <si>
    <t>https://dd3ka9h4chfr8.cloudfront.net/image/725136000567/image_8lvpbvtn6t6d97h63llnbm2q66/-FJPG/236199-001_DET_2.jpg</t>
  </si>
  <si>
    <t>https://dd3ka9h4chfr8.cloudfront.net/image/725136000567/image_afuv69u2k907b1aunnv5a3d120/-FJPG/236199-001_DET_1.jpg</t>
  </si>
  <si>
    <t>https://dd3ka9h4chfr8.cloudfront.net/image/725136000567/image_st94ko45cp46r39uq8g1c6057d/-FJPG/236199-001_DET_3.jpg</t>
  </si>
  <si>
    <t>https://dd3ka9h4chfr8.cloudfront.net/image/725136000567/image_b2sblhmhb53v14f975hhbcu671/-FJPG/236199-001_DET_4.jpg</t>
  </si>
  <si>
    <t>https://dd3ka9h4chfr8.cloudfront.net/image/725136000567/image_mprc8fg4452l10191oskn3hu1h/-FJPG/236199-001_DET_5.jpg</t>
  </si>
  <si>
    <t>https://dd3ka9h4chfr8.cloudfront.net/image/725136000567/image_c9r3calb4t5tl6l50jmt4sqe3r/-FJPG/236199-001_DET_6.jpg</t>
  </si>
  <si>
    <t>https://dd3ka9h4chfr8.cloudfront.net/image/725136000567/image_cvipckpik12u97rpq60h7tas4c/-FJPG/236199-001_DET_7.jpg</t>
  </si>
  <si>
    <t>https://dd3ka9h4chfr8.cloudfront.net/image/725136000567/image_qlib19tapl6mj90dsllop7dk6b/-FJPG/236199-001_DET_9.tif</t>
  </si>
  <si>
    <t>Silverton</t>
  </si>
  <si>
    <t>62.75"</t>
  </si>
  <si>
    <t>236209-001</t>
  </si>
  <si>
    <t>Everly Tete A Tete Chaise - Irving Taupe</t>
  </si>
  <si>
    <t>Antique Cocoa</t>
  </si>
  <si>
    <t>Classic goes contemporary. A cocoa-finished parawood base supports low, deep seating of performance-grade upholstery in an invitingly neutral taupe. Designed with track arms on both ends for a clean touch. Performance fabrics are specially created to withstand spills, stains, high traffic and wear, ensuring long-term comfort and unmatched durability.</t>
  </si>
  <si>
    <t>https://dd3ka9h4chfr8.cloudfront.net/image/725136000567/image_bu48rhnc0h52d0umoosqjgei7n/-S150x150-FJPG/236209-001_PRM_1.jpg</t>
  </si>
  <si>
    <t>https://dd3ka9h4chfr8.cloudfront.net/image/725136000567/image_7n6192o17l4s74m131qnrjvo63/-FJPG/236209-001_FRT_1.jpg</t>
  </si>
  <si>
    <t>https://dd3ka9h4chfr8.cloudfront.net/image/725136000567/image_bu48rhnc0h52d0umoosqjgei7n/-FJPG/236209-001_PRM_1.jpg</t>
  </si>
  <si>
    <t>https://dd3ka9h4chfr8.cloudfront.net/image/725136000567/image_udloqqqgkt2bl6jiq4auh88m5q/-FJPG/236209-001_SID_1.jpg</t>
  </si>
  <si>
    <t>https://dd3ka9h4chfr8.cloudfront.net/image/725136000567/image_1kof1kkvt562nf4cacph76vh63/-FJPG/236209-001_ESS_1.tif</t>
  </si>
  <si>
    <t>https://dd3ka9h4chfr8.cloudfront.net/image/725136000567/image_5tqvpvmgrp3en5l82fhvipv70n/-FJPG/236209-001_DET_2.jpg</t>
  </si>
  <si>
    <t>https://dd3ka9h4chfr8.cloudfront.net/image/725136000567/image_3st4uhuigh5vf4l82i402u0265/-FJPG/236209-001_DET_1.jpg</t>
  </si>
  <si>
    <t>https://dd3ka9h4chfr8.cloudfront.net/image/725136000567/image_rvbkga9nf949j82qulp8f6370s/-FJPG/236209-001_DET_3.jpg</t>
  </si>
  <si>
    <t>https://dd3ka9h4chfr8.cloudfront.net/image/725136000567/image_1608f37jat30v6j3fi5gae675b/-FJPG/236209-001_DET_4.jpg</t>
  </si>
  <si>
    <t>https://dd3ka9h4chfr8.cloudfront.net/image/725136000567/image_sqksiqjcr16op5upsbhai8696a/-FJPG/236209-001_DET_5.jpg</t>
  </si>
  <si>
    <t>72.50"</t>
  </si>
  <si>
    <t>44.50"</t>
  </si>
  <si>
    <t>236209-003</t>
  </si>
  <si>
    <t>Everly Tete A Tete Chaise - Antwerp Cafe</t>
  </si>
  <si>
    <t>Classic goes contemporary. A cocoa-finished parawood base supports low, deep seating of performance-grade upholstery. Designed with track arms on both ends for a clean touch. Performance fabrics are specially created to withstand spills, stains, high traffic and wear, ensuring long-term comfort and unmatched durability.</t>
  </si>
  <si>
    <t>https://dd3ka9h4chfr8.cloudfront.net/image/725136000567/image_usaioo46ph2sd091kftf47p65o/-S150x150-FJPG/236209-003_PRM_1.jpg</t>
  </si>
  <si>
    <t>https://dd3ka9h4chfr8.cloudfront.net/image/725136000567/image_iudgj6f3ap2650ckfk35beug1n/-FJPG/236209-003_FRT_1.jpg</t>
  </si>
  <si>
    <t>https://dd3ka9h4chfr8.cloudfront.net/image/725136000567/image_usaioo46ph2sd091kftf47p65o/-FJPG/236209-003_PRM_1.jpg</t>
  </si>
  <si>
    <t>https://dd3ka9h4chfr8.cloudfront.net/image/725136000567/image_5h53sdafnh17bb1510ctkej26c/-FJPG/236209-003_SID_1.jpg</t>
  </si>
  <si>
    <t>https://dd3ka9h4chfr8.cloudfront.net/image/725136000567/image_fe8rbm06cd1o11rjlvsungdu6d/-FJPG/236209-003_DET_2.jpg</t>
  </si>
  <si>
    <t>https://dd3ka9h4chfr8.cloudfront.net/image/725136000567/image_60niuh0fqd6d76qo8ta8bde131/-FJPG/236209-003_DET_1.jpg</t>
  </si>
  <si>
    <t>https://dd3ka9h4chfr8.cloudfront.net/image/725136000567/image_ramke37mdt33t63q8dmb07hq33/-FJPG/236209-003_DET_3.jpg</t>
  </si>
  <si>
    <t>https://dd3ka9h4chfr8.cloudfront.net/image/725136000567/image_8oqqun3jpp65l5j11pgdkpuo1s/-FJPG/236209-003_DET_4.jpg</t>
  </si>
  <si>
    <t>https://dd3ka9h4chfr8.cloudfront.net/image/725136000567/image_i6ovqqh1ed0lh4tejaurdimi18/-FJPG/236209-003_DET_5.jpg</t>
  </si>
  <si>
    <t>https://dd3ka9h4chfr8.cloudfront.net/image/725136000567/image_nrim0lgroh5bf61cgj5nnu3v6n/-FJPG/236209-003_DET_6.jpg</t>
  </si>
  <si>
    <t>236317-002</t>
  </si>
  <si>
    <t>Warby End Table - Worn Oak Veneer</t>
  </si>
  <si>
    <t>Worn oak shapes a streamlined end table with a naturally minimalist look.</t>
  </si>
  <si>
    <t>https://dd3ka9h4chfr8.cloudfront.net/image/725136000567/image_8jrjvs10m13av5e3mvl0qrvh0r/-S150x150-FJPG/236317-002_PRM_1.jpg</t>
  </si>
  <si>
    <t>https://dd3ka9h4chfr8.cloudfront.net/image/725136000567/image_ndrifmjb116cdccpsj9ngi3o23/-FJPG/236317-002_FRT_1.jpg</t>
  </si>
  <si>
    <t>https://dd3ka9h4chfr8.cloudfront.net/image/725136000567/image_8jrjvs10m13av5e3mvl0qrvh0r/-FJPG/236317-002_PRM_1.jpg</t>
  </si>
  <si>
    <t>https://dd3ka9h4chfr8.cloudfront.net/image/725136000567/image_hadb4qf1f960hdauujrh83dt7p/-FJPG/236317-002_SID_1.jpg</t>
  </si>
  <si>
    <t>https://dd3ka9h4chfr8.cloudfront.net/image/725136000567/image_c1tluuoek947dbki2on66ucm22/-FJPG/236317-002_ESS_1.tif</t>
  </si>
  <si>
    <t>https://dd3ka9h4chfr8.cloudfront.net/image/725136000567/image_ge8b15oefl2mbdp216la9uht4t/-FJPG/239356-001_ESS_1.tif</t>
  </si>
  <si>
    <t>https://dd3ka9h4chfr8.cloudfront.net/image/725136000567/image_d8i6mr6a2d379bkd3j7bsols15/-FJPG/236317-002_DET_2.jpg</t>
  </si>
  <si>
    <t>https://dd3ka9h4chfr8.cloudfront.net/image/725136000567/image_38e6h2g6i92v98omii6ltb4o3p/-FJPG/236317-002_DET_1.jpg</t>
  </si>
  <si>
    <t>https://dd3ka9h4chfr8.cloudfront.net/image/725136000567/image_akguhuljsp6an3q5pma94jnc4f/-FJPG/236317-002_DET_3.jpg</t>
  </si>
  <si>
    <t>https://dd3ka9h4chfr8.cloudfront.net/image/725136000567/image_9p83jcf2sh3ov0rcr3alrrq976/-FJPG/236317-002_TOP_1.jpg</t>
  </si>
  <si>
    <t>https://dd3ka9h4chfr8.cloudfront.net/image/725136000567/image_scapkisa9559dcc7dlf0nnqh1m/-FJPG/236317-002_DET_9.tif</t>
  </si>
  <si>
    <t>https://dd3ka9h4chfr8.cloudfront.net/image/725136000567/image_ou1cojqmh57874e5p9i7v5rg73/-FJPG/236317-002_DET_10.tif</t>
  </si>
  <si>
    <t>236317-003</t>
  </si>
  <si>
    <t>Warby End Table - Worn Black Veneer</t>
  </si>
  <si>
    <t>Black-finished oak shapes a streamlined end table with a rich yet minimalist look.</t>
  </si>
  <si>
    <t>https://dd3ka9h4chfr8.cloudfront.net/image/725136000567/image_okrl6k326l5p944kolqiqkhh6g/-S150x150-FJPG/236317-003_PRM_1.jpg</t>
  </si>
  <si>
    <t>https://dd3ka9h4chfr8.cloudfront.net/image/725136000567/image_a195va4un133b017m1a7divj1h/-FJPG/236317-003_FRT_1.JPG</t>
  </si>
  <si>
    <t>https://dd3ka9h4chfr8.cloudfront.net/image/725136000567/image_2dkaq5o85d0r729qb4bltbm63l/-FJPG/236317-003_FRT_1.jpg</t>
  </si>
  <si>
    <t>https://dd3ka9h4chfr8.cloudfront.net/image/725136000567/image_okrl6k326l5p944kolqiqkhh6g/-FJPG/236317-003_PRM_1.jpg</t>
  </si>
  <si>
    <t>https://dd3ka9h4chfr8.cloudfront.net/image/725136000567/image_qdj7smuerh7pv1h80n3c9jvk7p/-FJPG/236317-003_SID_1.jpg</t>
  </si>
  <si>
    <t>https://dd3ka9h4chfr8.cloudfront.net/image/725136000567/image_jb5cj87v89293330vu09432j35/-FJPG/236317-003_ESS_1.tif</t>
  </si>
  <si>
    <t>https://dd3ka9h4chfr8.cloudfront.net/image/725136000567/image_fuiv2hdnop54r075121rdbql2t/-FJPG/236317-003_DET_2.jpg</t>
  </si>
  <si>
    <t>https://dd3ka9h4chfr8.cloudfront.net/image/725136000567/image_r8qmnlt7j50j14e8p7241bkn4b/-FJPG/236317-003_BCK_1.jpg</t>
  </si>
  <si>
    <t>https://dd3ka9h4chfr8.cloudfront.net/image/725136000567/image_o0dpqkjk756lfe8hd73obs1q76/-FJPG/236317-003_DET_1.jpg</t>
  </si>
  <si>
    <t>https://dd3ka9h4chfr8.cloudfront.net/image/725136000567/image_mikklo1jap13v8uksm27kqd92j/-FJPG/236317-003_DET_3.jpg</t>
  </si>
  <si>
    <t>https://dd3ka9h4chfr8.cloudfront.net/image/725136000567/image_qqtbl74pah5nnb0cn2db7ag575/-FJPG/236317-003_TOP_1.jpg</t>
  </si>
  <si>
    <t>https://dd3ka9h4chfr8.cloudfront.net/image/725136000567/image_3cae9eejup2bv7uc3pbjceg458/-FJPG/236317-003_DET_4.jpg</t>
  </si>
  <si>
    <t>236331-001</t>
  </si>
  <si>
    <t>Hitchens Media Console - Worn Black</t>
  </si>
  <si>
    <t>Worn Black</t>
  </si>
  <si>
    <t>Distressed Copper</t>
  </si>
  <si>
    <t>Copper Cladding</t>
  </si>
  <si>
    <t>Inspired by European antiques, a distressed black finish and copper-clad hardware place a vintage twist on modern media storage.</t>
  </si>
  <si>
    <t>https://dd3ka9h4chfr8.cloudfront.net/image/725136000567/image_qo24aqtnt95sv9d7rklq1s576l/-S150x150-FJPG/236331-001_PRM_1.jpg</t>
  </si>
  <si>
    <t>https://dd3ka9h4chfr8.cloudfront.net/image/725136000567/image_j88rsvpkn556p4o1p34pgg4d1d/-FJPG/236331-001_FRT_1.jpg</t>
  </si>
  <si>
    <t>https://dd3ka9h4chfr8.cloudfront.net/image/725136000567/image_qo24aqtnt95sv9d7rklq1s576l/-FJPG/236331-001_PRM_1.jpg</t>
  </si>
  <si>
    <t>https://dd3ka9h4chfr8.cloudfront.net/image/725136000567/image_vsvj0emlpd5q9dpf413tcml52f/-FJPG/236331-001_SID_1.jpg</t>
  </si>
  <si>
    <t>https://dd3ka9h4chfr8.cloudfront.net/image/725136000567/image_b9rb96dcd96vv5hkfkph9fl41l/-FJPG/236331-001_ESS_1.jpg</t>
  </si>
  <si>
    <t>https://dd3ka9h4chfr8.cloudfront.net/image/725136000567/image_apma3d2q395s1c237e2lu7ft24/-FJPG/236331-001_DET_2.jpg</t>
  </si>
  <si>
    <t>https://dd3ka9h4chfr8.cloudfront.net/image/725136000567/image_1ch00ft8ep79faj0diluqgcs0b/-FJPG/236331-001_BCK_1.jpg</t>
  </si>
  <si>
    <t>https://dd3ka9h4chfr8.cloudfront.net/image/725136000567/image_c467qqmfr53hj9lvigvf6k5f7p/-FJPG/236331-001_DET_1.jpg</t>
  </si>
  <si>
    <t>https://dd3ka9h4chfr8.cloudfront.net/image/725136000567/image_m2divplt7558p7inlr2n7kn85c/-FJPG/236331-001_DET_3.jpg</t>
  </si>
  <si>
    <t>https://dd3ka9h4chfr8.cloudfront.net/image/725136000567/image_ftl7cspt8917l03p6l2vgvod0m/-FJPG/236331-001_OPN_1.jpg</t>
  </si>
  <si>
    <t>https://dd3ka9h4chfr8.cloudfront.net/image/725136000567/image_hhl5ahlf794nvc0ppjroga3s3q/-FJPG/236331-001_DET_4.jpg</t>
  </si>
  <si>
    <t>https://dd3ka9h4chfr8.cloudfront.net/image/725136000567/image_57ae0lnblt3f18jjnu0sths91e/-FJPG/236331-001_DET_5.jpg</t>
  </si>
  <si>
    <t>https://dd3ka9h4chfr8.cloudfront.net/image/725136000567/image_8kdbnolkkd2cp8hthtm8q4dt01/-FJPG/236331-001_DET_6.jpg</t>
  </si>
  <si>
    <t>One Media Console  Kd</t>
  </si>
  <si>
    <t>36.22"</t>
  </si>
  <si>
    <t>Hitchens</t>
  </si>
  <si>
    <t>236332-003</t>
  </si>
  <si>
    <t>Millbrook Media Console - Natural Light Oak</t>
  </si>
  <si>
    <t>Natural Light Oak</t>
  </si>
  <si>
    <t>Natural Light Oak Veneer</t>
  </si>
  <si>
    <t>Inspired by a vintage general store counter, this console table features a heritage design with a modern twist. Thick oak legs with softened corners provide sturdy support, while oak knobs add a touch of classic charm. The inset tray top and varied drawer configuration offer ample storage.</t>
  </si>
  <si>
    <t>https://dd3ka9h4chfr8.cloudfront.net/image/725136000567/image_ho85vg83c50al4bqpc18hpgs7e/-S150x150-FJPG/236332-003_PRM_1.jpg</t>
  </si>
  <si>
    <t>https://dd3ka9h4chfr8.cloudfront.net/image/725136000567/image_kshdejvc893o9eloh2edolht34/-FJPG/236332-003_FRT_1.jpg</t>
  </si>
  <si>
    <t>https://dd3ka9h4chfr8.cloudfront.net/image/725136000567/image_ho85vg83c50al4bqpc18hpgs7e/-FJPG/236332-003_PRM_1.jpg</t>
  </si>
  <si>
    <t>https://dd3ka9h4chfr8.cloudfront.net/image/725136000567/image_d6gqe662u162p4a4ukur10qp17/-FJPG/236332-003_SID_1.jpg</t>
  </si>
  <si>
    <t>https://dd3ka9h4chfr8.cloudfront.net/image/725136000567/image_j9a11cd6mp6ejenlmosefkik7l/-FJPG/236332-003_ESS.tif</t>
  </si>
  <si>
    <t>https://dd3ka9h4chfr8.cloudfront.net/image/725136000567/image_te0au2phbl0ttfijlo64ov3o3r/-FJPG/236332-003_DET_2.jpg</t>
  </si>
  <si>
    <t>https://dd3ka9h4chfr8.cloudfront.net/image/725136000567/image_snvm9mgk4p1tlb6egsgurnql37/-FJPG/236332-003_BCK_1.jpg</t>
  </si>
  <si>
    <t>https://dd3ka9h4chfr8.cloudfront.net/image/725136000567/image_qscc1dcjlp2idcvacrud71ni2s/-FJPG/236332-003_DET_1.jpg</t>
  </si>
  <si>
    <t>https://dd3ka9h4chfr8.cloudfront.net/image/725136000567/image_49tjk6skdd625co8vc6amq4a0o/-FJPG/236332-003_DET_3.jpg</t>
  </si>
  <si>
    <t>https://dd3ka9h4chfr8.cloudfront.net/image/725136000567/image_lvqrjitlrh7712lmj6dvsdne33/-FJPG/236332-003_OPN_1.jpg</t>
  </si>
  <si>
    <t>https://dd3ka9h4chfr8.cloudfront.net/image/725136000567/image_3fvj0uvgdh7sfduve6c6blb11r/-FJPG/236332-003_TOP_1.jpg</t>
  </si>
  <si>
    <t>https://dd3ka9h4chfr8.cloudfront.net/image/725136000567/image_cn3nm6v2od0t9bl66c9cu3h64d/-FJPG/236332-003_DET_4.jpg</t>
  </si>
  <si>
    <t>https://dd3ka9h4chfr8.cloudfront.net/image/725136000567/image_e977ceclth7fvdr4lvsqti0d1v/-FJPG/236332-003_DET_5.jpg</t>
  </si>
  <si>
    <t>https://dd3ka9h4chfr8.cloudfront.net/image/725136000567/image_bmcj03aj3t2cla569l2npdiv63/-FJPG/236332-003_DET_6.jpg</t>
  </si>
  <si>
    <t>https://dd3ka9h4chfr8.cloudfront.net/image/725136000567/image_au18esj0k526b47nisqnvtoh75/-FJPG/236332-003_DET_9.tif</t>
  </si>
  <si>
    <t>https://dd3ka9h4chfr8.cloudfront.net/image/725136000567/image_9r960q0tp13urdjpptd5ji0r0b/-FJPG/FHMPRJ016_SCENE-12-CROP-1.tif</t>
  </si>
  <si>
    <t>Millbrook</t>
  </si>
  <si>
    <t>236343-002</t>
  </si>
  <si>
    <t>Two Tier Coffee Table - Matte Brown Neem</t>
  </si>
  <si>
    <t>Two tiers of mixed woods shape an airy yet substantial coffee table with options for storage and display.</t>
  </si>
  <si>
    <t>https://dd3ka9h4chfr8.cloudfront.net/image/725136000567/image_ne4ps8lohp5t71o44e19v2h710/-S150x150-FJPG/236343-002_PRM_1.jpg</t>
  </si>
  <si>
    <t>https://dd3ka9h4chfr8.cloudfront.net/image/725136000567/image_ropgeri2r55spbnv7imb8d8f7g/-FJPG/236343-002_FRT_1.jpg</t>
  </si>
  <si>
    <t>https://dd3ka9h4chfr8.cloudfront.net/image/725136000567/image_ne4ps8lohp5t71o44e19v2h710/-FJPG/236343-002_PRM_1.jpg</t>
  </si>
  <si>
    <t>https://dd3ka9h4chfr8.cloudfront.net/image/725136000567/image_3uqe4miogt4iv1m10s7q884j7f/-FJPG/236343-002_SID_1.jpg</t>
  </si>
  <si>
    <t>https://dd3ka9h4chfr8.cloudfront.net/image/725136000567/image_mk9r51gagp6vbfntmci63m2558/-FJPG/236343-002_ESS_1.tif</t>
  </si>
  <si>
    <t>https://dd3ka9h4chfr8.cloudfront.net/image/725136000567/image_a5j840jmh511p0tnukdjhm014n/-FJPG/236343-002_DET_2.jpg</t>
  </si>
  <si>
    <t>https://dd3ka9h4chfr8.cloudfront.net/image/725136000567/image_070tsc5jfl73dbhobp09f8r245/-FJPG/236343-002_DET_1.jpg</t>
  </si>
  <si>
    <t>https://dd3ka9h4chfr8.cloudfront.net/image/725136000567/image_3i7bmfola913pcaa5ao9njjr5p/-FJPG/236343-002_DET_3.jpg</t>
  </si>
  <si>
    <t>https://dd3ka9h4chfr8.cloudfront.net/image/725136000567/image_bmjgh4fvmd6815einr5himft0q/-FJPG/236343-002_TOP_1.jpg</t>
  </si>
  <si>
    <t>https://dd3ka9h4chfr8.cloudfront.net/image/725136000567/image_ms66j94tpd30jf8cr5poljhd44/-FJPG/236343-002_DET_4.jpg</t>
  </si>
  <si>
    <t>https://dd3ka9h4chfr8.cloudfront.net/image/725136000567/image_inmpg27ln513hdo47m5m291v5m/-FJPG/236343-002_DET_5.jpg</t>
  </si>
  <si>
    <t>https://dd3ka9h4chfr8.cloudfront.net/image/725136000567/image_l5gh6odjo97kf0qt5078bdk636/-FJPG/236343-002_PRM_2.jpg</t>
  </si>
  <si>
    <t>Two Tier</t>
  </si>
  <si>
    <t>236354-001</t>
  </si>
  <si>
    <t>Glenview Coffee Table - Weathered Oak</t>
  </si>
  <si>
    <t>Weathered Oak</t>
  </si>
  <si>
    <t>Weathered Oak Veneer</t>
  </si>
  <si>
    <t>Traditional, reimagined. Made from rustic weathered oak, a simply structured coffee table brings a streamlined look to the living room.</t>
  </si>
  <si>
    <t>https://dd3ka9h4chfr8.cloudfront.net/image/725136000567/image_euo6cl5hj56qn99f8n2aj4a33p/-S150x150-FJPG/236354-001_PRM_1.jpg</t>
  </si>
  <si>
    <t>https://dd3ka9h4chfr8.cloudfront.net/image/725136000567/image_fr4bula02l4qv22uadc79v1960/-FJPG/236354-001_FRT_1.jpg</t>
  </si>
  <si>
    <t>https://dd3ka9h4chfr8.cloudfront.net/image/725136000567/image_euo6cl5hj56qn99f8n2aj4a33p/-FJPG/236354-001_PRM_1.jpg</t>
  </si>
  <si>
    <t>https://dd3ka9h4chfr8.cloudfront.net/image/725136000567/image_lllbjbbhjt6mjf1a6h6i160k4d/-FJPG/236354-001_SID_1.jpg</t>
  </si>
  <si>
    <t>https://dd3ka9h4chfr8.cloudfront.net/image/725136000567/image_lntjbmf9c95t1a5c1qifj0u83h/-FJPG/236354-001_ESS.tif</t>
  </si>
  <si>
    <t>https://dd3ka9h4chfr8.cloudfront.net/image/725136000567/image_vbb58b28r96kp9kn6v9s7cr331/-FJPG/236354-001_DET_2.jpg</t>
  </si>
  <si>
    <t>https://dd3ka9h4chfr8.cloudfront.net/image/725136000567/image_491sam7v3976h5n6aq1tqvhb4o/-FJPG/236354-001_DET_1.jpg</t>
  </si>
  <si>
    <t>https://dd3ka9h4chfr8.cloudfront.net/image/725136000567/image_8ukgolcrfp1np9qqkn41hhrh7m/-FJPG/236354-001_DET_3.jpg</t>
  </si>
  <si>
    <t>https://dd3ka9h4chfr8.cloudfront.net/image/725136000567/image_o9ea6offll1gp5513ubuuja52t/-FJPG/236354-001_DET_4.jpg</t>
  </si>
  <si>
    <t>https://dd3ka9h4chfr8.cloudfront.net/image/725136000567/image_uba8o98q5h2af6496mmdgc9r5r/-FJPG/236354-001_DET_5.jpg</t>
  </si>
  <si>
    <t>https://dd3ka9h4chfr8.cloudfront.net/image/725136000567/image_61fft1rv652113f0gavn2opp59/-FJPG/236354-001_DET_6.jpg</t>
  </si>
  <si>
    <t>https://dd3ka9h4chfr8.cloudfront.net/image/725136000567/image_i4gc889dnh3d32to88l1vag60c/-FJPG/236354-001_DET_7.jpg</t>
  </si>
  <si>
    <t>Glenview Coffee Table</t>
  </si>
  <si>
    <t>236355-001</t>
  </si>
  <si>
    <t>Glenview Console Table - Weathered Oak</t>
  </si>
  <si>
    <t>Traditional, reimagined. Made from rustic weathered oak, a simply structured console table brings a streamlined look to the living room or entryway.</t>
  </si>
  <si>
    <t>https://dd3ka9h4chfr8.cloudfront.net/image/725136000567/image_1nr04q77p57hj08fu6a7hag05e/-S150x150-FJPG/236355-001_PRM_1.jpg</t>
  </si>
  <si>
    <t>https://dd3ka9h4chfr8.cloudfront.net/image/725136000567/image_glbtp7366p1dh62h188l4ulj3d/-FJPG/236355-001_FRT_1.jpg</t>
  </si>
  <si>
    <t>https://dd3ka9h4chfr8.cloudfront.net/image/725136000567/image_1nr04q77p57hj08fu6a7hag05e/-FJPG/236355-001_PRM_1.jpg</t>
  </si>
  <si>
    <t>https://dd3ka9h4chfr8.cloudfront.net/image/725136000567/image_gka78prhid3obfoe66svdc4e0a/-FJPG/236355-001_SID_1.jpg</t>
  </si>
  <si>
    <t>https://dd3ka9h4chfr8.cloudfront.net/image/725136000567/image_vmn672odol40d5hq09r76qrh4i/-FJPG/236355-001_ESS_1.jpg</t>
  </si>
  <si>
    <t>https://dd3ka9h4chfr8.cloudfront.net/image/725136000567/image_rld3hephkd46vf2bfovp23ah20/-FJPG/236355-001_DET_2.jpg</t>
  </si>
  <si>
    <t>https://dd3ka9h4chfr8.cloudfront.net/image/725136000567/image_hcdkn0cqot4d3ebs5gvtlihb46/-FJPG/236355-001_DET_1.jpg</t>
  </si>
  <si>
    <t>https://dd3ka9h4chfr8.cloudfront.net/image/725136000567/image_9ek5bf04u56spdhoq7r8o8465m/-FJPG/236355-001_DET_3.jpg</t>
  </si>
  <si>
    <t>https://dd3ka9h4chfr8.cloudfront.net/image/725136000567/image_8ru42sg9ol4h9b9qn5h3bk2m17/-FJPG/236355-001_DET_4.jpg</t>
  </si>
  <si>
    <t>https://dd3ka9h4chfr8.cloudfront.net/image/725136000567/image_nuc32ju8gt5ub6p6p6evpjs956/-FJPG/236355-001_DET_5.jpg</t>
  </si>
  <si>
    <t>https://dd3ka9h4chfr8.cloudfront.net/image/725136000567/image_bgatbdq0q969l1h56f4sq5285c/-FJPG/236355-001_DET_6.jpg</t>
  </si>
  <si>
    <t>https://dd3ka9h4chfr8.cloudfront.net/image/725136000567/image_3og1bfrhr127d4l3i4vs7amv1a/-FJPG/236355-001_DET_7.jpg</t>
  </si>
  <si>
    <t>29.02"</t>
  </si>
  <si>
    <t>56.54"</t>
  </si>
  <si>
    <t>236355-002</t>
  </si>
  <si>
    <t>Glenview Console Table - Smoked Black Oak</t>
  </si>
  <si>
    <t>https://dd3ka9h4chfr8.cloudfront.net/image/725136000567/image_6ujb4os8bd1ah40j50h79p9c56/-S150x150-FJPG/236355-002_PRM_1.jpg</t>
  </si>
  <si>
    <t>https://dd3ka9h4chfr8.cloudfront.net/image/725136000567/image_aoqpbvlaap41v73ckdq2ngum3p/-FJPG/236355-002_FRT_1.jpg</t>
  </si>
  <si>
    <t>https://dd3ka9h4chfr8.cloudfront.net/image/725136000567/image_6ujb4os8bd1ah40j50h79p9c56/-FJPG/236355-002_PRM_1.jpg</t>
  </si>
  <si>
    <t>https://dd3ka9h4chfr8.cloudfront.net/image/725136000567/image_nol9pfn9fp7fnamje05n2m5t0a/-FJPG/236355-002_SID_1.jpg</t>
  </si>
  <si>
    <t>https://dd3ka9h4chfr8.cloudfront.net/image/725136000567/image_6lcbu7t9ep78v21m30ni4vit6k/-FJPG/236355-002_DET_2.jpg</t>
  </si>
  <si>
    <t>https://dd3ka9h4chfr8.cloudfront.net/image/725136000567/image_2c9h0bl8qt6mlcahjbi1kj0v3f/-FJPG/236355-002_DET_1.jpg</t>
  </si>
  <si>
    <t>https://dd3ka9h4chfr8.cloudfront.net/image/725136000567/image_ic4vlko0g57891v7euj9uf1n44/-FJPG/236355-002_DET_3.jpg</t>
  </si>
  <si>
    <t>https://dd3ka9h4chfr8.cloudfront.net/image/725136000567/image_cb9nbphppt3t360uh2nd650f5p/-FJPG/236355-002_TOP_1.jpg</t>
  </si>
  <si>
    <t>https://dd3ka9h4chfr8.cloudfront.net/image/725136000567/image_ltir2im7e13cl59m5e518snq50/-FJPG/236355-002_DET_4.jpg</t>
  </si>
  <si>
    <t>https://dd3ka9h4chfr8.cloudfront.net/image/725136000567/image_uq5c8bcnb94l97hp14f5gcbs2o/-FJPG/236355-002_DET_5.jpg</t>
  </si>
  <si>
    <t>236400-001</t>
  </si>
  <si>
    <t>Glenview Bookcase - Weathered Oak</t>
  </si>
  <si>
    <t>A rustic oak bookcase with fixed shelves shapes subtly curved corners, bringing a handcrafted look to a minimalist form. Simple hardware is finished in an aged bronze.</t>
  </si>
  <si>
    <t>https://dd3ka9h4chfr8.cloudfront.net/image/725136000567/image_fve9q9rjq9519d0pqfojd96p4c/-S150x150-FJPG/236400-001_PRM_1.jpg</t>
  </si>
  <si>
    <t>https://dd3ka9h4chfr8.cloudfront.net/image/725136000567/image_5cqbdah3n50ah445jj56uadf35/-FJPG/236400-001_FRT_1.jpg</t>
  </si>
  <si>
    <t>https://dd3ka9h4chfr8.cloudfront.net/image/725136000567/image_fve9q9rjq9519d0pqfojd96p4c/-FJPG/236400-001_PRM_1.jpg</t>
  </si>
  <si>
    <t>https://dd3ka9h4chfr8.cloudfront.net/image/725136000567/image_3k8226q6314i961cp7guegke7n/-FJPG/236400-001_SID_1.jpg</t>
  </si>
  <si>
    <t>https://dd3ka9h4chfr8.cloudfront.net/image/725136000567/image_pc47ckk2od6ejevigao0lfr077/-FJPG/236400-001_ESS.tif</t>
  </si>
  <si>
    <t>https://dd3ka9h4chfr8.cloudfront.net/image/725136000567/image_qg8tltg7ol3l194eit1i9ou528/-FJPG/236400-001_DET_2.jpg</t>
  </si>
  <si>
    <t>https://dd3ka9h4chfr8.cloudfront.net/image/725136000567/image_usgvsai5g13kr9a1dm5b7bph53/-FJPG/236400-001_BCK_1.jpg</t>
  </si>
  <si>
    <t>https://dd3ka9h4chfr8.cloudfront.net/image/725136000567/image_l01nqdi8n939t79r5kecoebe1r/-FJPG/236400-001_DET_1.jpg</t>
  </si>
  <si>
    <t>https://dd3ka9h4chfr8.cloudfront.net/image/725136000567/image_600icea7b16r1065lm7ip4sf77/-FJPG/236400-001_DET_3.jpg</t>
  </si>
  <si>
    <t>https://dd3ka9h4chfr8.cloudfront.net/image/725136000567/image_k903ne3ted78ldft4ttjh4fa32/-FJPG/236400-001_OPN_1.jpg</t>
  </si>
  <si>
    <t>https://dd3ka9h4chfr8.cloudfront.net/image/725136000567/image_vjhb9v0ju54o5aqsunvsiquf7r/-FJPG/236400-001_DET_4.jpg</t>
  </si>
  <si>
    <t>https://dd3ka9h4chfr8.cloudfront.net/image/725136000567/image_5q413i3mql1db60p6mksji9a1t/-FJPG/236400-001_DET_5.jpg</t>
  </si>
  <si>
    <t>https://dd3ka9h4chfr8.cloudfront.net/image/725136000567/image_612ca4por1433d34eureqaj57e/-FJPG/236400-001_DET_6.jpg</t>
  </si>
  <si>
    <t>https://dd3ka9h4chfr8.cloudfront.net/image/725136000567/image_jcq0nrccep30rdanksgloodp4e/-FJPG/236400-001_DET_7.jpg</t>
  </si>
  <si>
    <t>2.80"</t>
  </si>
  <si>
    <t>13.31"</t>
  </si>
  <si>
    <t>236400-002</t>
  </si>
  <si>
    <t>Glenview Bookcase - Smoked Black Oak</t>
  </si>
  <si>
    <t>https://dd3ka9h4chfr8.cloudfront.net/image/725136000567/image_un9oibj6fp1q9bm1td3gl80i4l/-S150x150-FJPG/236400-002_PRM_1.jpg</t>
  </si>
  <si>
    <t>https://dd3ka9h4chfr8.cloudfront.net/image/725136000567/image_v4gl74uo1t6l506lt4290vc31t/-FJPG/236400-002_FRT_1.jpg</t>
  </si>
  <si>
    <t>https://dd3ka9h4chfr8.cloudfront.net/image/725136000567/image_un9oibj6fp1q9bm1td3gl80i4l/-FJPG/236400-002_PRM_1.jpg</t>
  </si>
  <si>
    <t>https://dd3ka9h4chfr8.cloudfront.net/image/725136000567/image_bpecm6fq0d2alcedn2iicrkl5o/-FJPG/236400-002_SID_1.jpg</t>
  </si>
  <si>
    <t>https://dd3ka9h4chfr8.cloudfront.net/image/725136000567/image_61g76d7d9p36f244ffeluvue78/-FJPG/236400-002_DET_2.jpg</t>
  </si>
  <si>
    <t>https://dd3ka9h4chfr8.cloudfront.net/image/725136000567/image_1mk1r6p5dd2f596is93f7ikp1m/-FJPG/236400-002_BCK_1.jpg</t>
  </si>
  <si>
    <t>https://dd3ka9h4chfr8.cloudfront.net/image/725136000567/image_mdfv7bdovp233blsnqdn0pr94t/-FJPG/236400-002_DET_1.jpg</t>
  </si>
  <si>
    <t>https://dd3ka9h4chfr8.cloudfront.net/image/725136000567/image_k83e8goa6h1ab8hv58vmbogr7r/-FJPG/236400-002_DET_3.jpg</t>
  </si>
  <si>
    <t>https://dd3ka9h4chfr8.cloudfront.net/image/725136000567/image_la7a1emjmp7nr896invvcb391p/-FJPG/236400-002_OPN_1.jpg</t>
  </si>
  <si>
    <t>https://dd3ka9h4chfr8.cloudfront.net/image/725136000567/image_jpp8kfcpvd7rlbeq5adf6ghv4k/-FJPG/236400-002_DET_4.jpg</t>
  </si>
  <si>
    <t>https://dd3ka9h4chfr8.cloudfront.net/image/725136000567/image_8co5o2jj590uddqe4jr2l3mq2h/-FJPG/236400-002_DET_5.jpg</t>
  </si>
  <si>
    <t>https://dd3ka9h4chfr8.cloudfront.net/image/725136000567/image_pmjc3nu0mh2m920qt51vp0ks73/-FJPG/236400-002_DET_6.jpg</t>
  </si>
  <si>
    <t>https://dd3ka9h4chfr8.cloudfront.net/image/725136000567/image_2fccr3m24l0f39nil0pb9hmo0c/-FJPG/236400-002_DET_7.jpg</t>
  </si>
  <si>
    <t>236402-001</t>
  </si>
  <si>
    <t>Glenview Desk - Weathered Oak Veneer</t>
  </si>
  <si>
    <t>Traditional, reimagined. Made from rustic weathered oak, this desk brings generous storage space to the office. Simple hardware is finished in an aged bronze.</t>
  </si>
  <si>
    <t>https://dd3ka9h4chfr8.cloudfront.net/image/725136000567/image_9us20c6erd045bl1hvriikvi2b/-S150x150-FJPG/236402-001_PRM_1.jpg</t>
  </si>
  <si>
    <t>https://dd3ka9h4chfr8.cloudfront.net/image/725136000567/image_gc02scgrfl3p339hcdifvhbt0q/-FJPG/236402-001_FRT_1.jpg</t>
  </si>
  <si>
    <t>https://dd3ka9h4chfr8.cloudfront.net/image/725136000567/image_9us20c6erd045bl1hvriikvi2b/-FJPG/236402-001_PRM_1.jpg</t>
  </si>
  <si>
    <t>https://dd3ka9h4chfr8.cloudfront.net/image/725136000567/image_t5eegv0u9h1tfc8cosea3bqu28/-FJPG/236402-001_SID_1.jpg</t>
  </si>
  <si>
    <t>https://dd3ka9h4chfr8.cloudfront.net/image/725136000567/image_b5dod2nvep291c3omj1odfim71/-FJPG/236402-001_ESS_1.jpg</t>
  </si>
  <si>
    <t>https://dd3ka9h4chfr8.cloudfront.net/image/725136000567/image_f6gmbfrgq91jd0foq19ci68c6c/-FJPG/236402-001_DET_2.jpg</t>
  </si>
  <si>
    <t>https://dd3ka9h4chfr8.cloudfront.net/image/725136000567/image_5m2jc8kpul7r7172umb0g41l7e/-FJPG/236402-001_BCK_1.jpg</t>
  </si>
  <si>
    <t>https://dd3ka9h4chfr8.cloudfront.net/image/725136000567/image_pcg455icd95pl2b76ajpv4lv1h/-FJPG/236402-001_DET_1.jpg</t>
  </si>
  <si>
    <t>https://dd3ka9h4chfr8.cloudfront.net/image/725136000567/image_ebp787b6h54p3d21ntrsauku7o/-FJPG/236402-001_DET_3.jpg</t>
  </si>
  <si>
    <t>https://dd3ka9h4chfr8.cloudfront.net/image/725136000567/image_qtpqhlll4t0l34bmr2ekbivj4f/-FJPG/236402-001_OPN_1.jpg</t>
  </si>
  <si>
    <t>https://dd3ka9h4chfr8.cloudfront.net/image/725136000567/image_aq2r3eb3e12jvdh0omdr3f7s3q/-FJPG/236402-001_DET_4.jpg</t>
  </si>
  <si>
    <t>https://dd3ka9h4chfr8.cloudfront.net/image/725136000567/image_81tq8h50952ep0nqf0jlije05c/-FJPG/236402-001_DET_5.jpg</t>
  </si>
  <si>
    <t>https://dd3ka9h4chfr8.cloudfront.net/image/725136000567/image_0uauta0afp4p3282k48vnqs900/-FJPG/236402-001_DET_6.jpg</t>
  </si>
  <si>
    <t>https://dd3ka9h4chfr8.cloudfront.net/image/725136000567/image_jmg9td8v9t7f7566uj0mnhsh3m/-FJPG/236402-001_DET_7.jpg</t>
  </si>
  <si>
    <t>https://dd3ka9h4chfr8.cloudfront.net/image/725136000567/image_letboijck57kffisie987ovq6r/-FJPG/236402-001_DET_8.jpg</t>
  </si>
  <si>
    <t>https://dd3ka9h4chfr8.cloudfront.net/image/725136000567/image_11m6kggm4l2h93e6fdhh4gfv2f/-FJPG/236402-001_DET_9.jpg</t>
  </si>
  <si>
    <t>https://dd3ka9h4chfr8.cloudfront.net/image/725136000567/image_0ensm024t50udbdi1q98o87b01/-FJPG/236402-001_DET_10.jpg</t>
  </si>
  <si>
    <t>2.97"</t>
  </si>
  <si>
    <t>63.98"</t>
  </si>
  <si>
    <t>27.52"</t>
  </si>
  <si>
    <t>26.73"</t>
  </si>
  <si>
    <t>1.54"</t>
  </si>
  <si>
    <t>236438-001</t>
  </si>
  <si>
    <t>Roark Bed - Essence Natural</t>
  </si>
  <si>
    <t>Rounded, chunky dowel legs in an amber oak finish frame the neutral, linen-like upholstered headboard of this bed frame.</t>
  </si>
  <si>
    <t>https://dd3ka9h4chfr8.cloudfront.net/image/725136000567/image_7cr1ptl4nl2dnaop59sp22uc4l/-S150x150-FJPG/236438-001_PRM_1.jpg</t>
  </si>
  <si>
    <t>https://dd3ka9h4chfr8.cloudfront.net/image/725136000567/image_b0bj858bdt2315vi4jungkgi3g/-FJPG/236438-001_FRT_1.jpg</t>
  </si>
  <si>
    <t>https://dd3ka9h4chfr8.cloudfront.net/image/725136000567/image_7cr1ptl4nl2dnaop59sp22uc4l/-FJPG/236438-001_PRM_1.jpg</t>
  </si>
  <si>
    <t>https://dd3ka9h4chfr8.cloudfront.net/image/725136000567/image_av2nvts00t1frafhqeapbr3k06/-FJPG/236438-001_SID_1.jpg</t>
  </si>
  <si>
    <t>https://dd3ka9h4chfr8.cloudfront.net/image/725136000567/image_r1jj9vf5e96nb6sr356l0vte3c/-FJPG/236438-001_ESS_1.jpg</t>
  </si>
  <si>
    <t>https://dd3ka9h4chfr8.cloudfront.net/image/725136000567/image_k9suvmafst0m1c2r36ucegc17o/-FJPG/236438-001_DET_2.jpg</t>
  </si>
  <si>
    <t>https://dd3ka9h4chfr8.cloudfront.net/image/725136000567/image_55b0dk9o9p1g5fhmea62q25j1s/-FJPG/236438-001_BCK_1.jpg</t>
  </si>
  <si>
    <t>https://dd3ka9h4chfr8.cloudfront.net/image/725136000567/image_rck6qmosl15ed8l81jojqqq609/-FJPG/236438-001_DET_1.jpg</t>
  </si>
  <si>
    <t>https://dd3ka9h4chfr8.cloudfront.net/image/725136000567/image_794dgf8j2p3l74g3dnjdkjs84k/-FJPG/236438-001_DET_3.jpg</t>
  </si>
  <si>
    <t>https://dd3ka9h4chfr8.cloudfront.net/image/725136000567/image_06nof7ams97grair6pecgecn2o/-FJPG/236438-001_DET_4.jpg</t>
  </si>
  <si>
    <t>https://dd3ka9h4chfr8.cloudfront.net/image/725136000567/image_jmd9mgqmd943t4arhs2sr23e5n/-FJPG/236438-001_DET_5.jpg</t>
  </si>
  <si>
    <t>https://dd3ka9h4chfr8.cloudfront.net/image/725136000567/image_0aejg79tfh6q12t3cn42d9ci70/-FJPG/236438-001_DET_6.jpg</t>
  </si>
  <si>
    <t>https://dd3ka9h4chfr8.cloudfront.net/image/725136000567/image_03cr9p75h52e9esoh8m59dcc6m/-FJPG/236438-001_DET_7.jpg</t>
  </si>
  <si>
    <t>https://dd3ka9h4chfr8.cloudfront.net/image/725136000567/image_5l32uvofup3ln1nscs4tihhg3c/-FJPG/236438-001_ESS.tif</t>
  </si>
  <si>
    <t>Fb,Sr,Slats</t>
  </si>
  <si>
    <t>Roark</t>
  </si>
  <si>
    <t>64.35"</t>
  </si>
  <si>
    <t>3.78"</t>
  </si>
  <si>
    <t>236438-002</t>
  </si>
  <si>
    <t>https://dd3ka9h4chfr8.cloudfront.net/image/725136000567/image_a4fdgftq8l6b78il3n71h25r6k/-S150x150-FJPG/236438-002_PRM_1.jpg</t>
  </si>
  <si>
    <t>https://dd3ka9h4chfr8.cloudfront.net/image/725136000567/image_g3u3k5sal91u72qn7b0jpaea2o/-FJPG/236438-002_FRT_1.jpg</t>
  </si>
  <si>
    <t>https://dd3ka9h4chfr8.cloudfront.net/image/725136000567/image_a4fdgftq8l6b78il3n71h25r6k/-FJPG/236438-002_PRM_1.jpg</t>
  </si>
  <si>
    <t>https://dd3ka9h4chfr8.cloudfront.net/image/725136000567/image_gtmk71q9uh66d0922eeh1m0755/-FJPG/236438-002_SID_1.jpg</t>
  </si>
  <si>
    <t>https://dd3ka9h4chfr8.cloudfront.net/image/725136000567/image_e3rdbhefct6fv7qsb1f9lkb84e/-FJPG/236438-002_DET_2.jpg</t>
  </si>
  <si>
    <t>https://dd3ka9h4chfr8.cloudfront.net/image/725136000567/image_d5brk9aki95nl59a1oqa9udk6g/-FJPG/236438-002_BCK_1.jpg</t>
  </si>
  <si>
    <t>https://dd3ka9h4chfr8.cloudfront.net/image/725136000567/image_4644bl9s812mb8sc1a2p3lgg13/-FJPG/236438-002_DET_1.jpg</t>
  </si>
  <si>
    <t>https://dd3ka9h4chfr8.cloudfront.net/image/725136000567/image_jatle58qhd5qvaro6itum7ph1f/-FJPG/236438-002_DET_3.jpg</t>
  </si>
  <si>
    <t>https://dd3ka9h4chfr8.cloudfront.net/image/725136000567/image_bhk6epkjt17obal2kfonir0a10/-FJPG/236438-002_DET_4.jpg</t>
  </si>
  <si>
    <t>https://dd3ka9h4chfr8.cloudfront.net/image/725136000567/image_e34064l3553ap6gbnt7n7grk6k/-FJPG/236438-002_DET_5.jpg</t>
  </si>
  <si>
    <t>https://dd3ka9h4chfr8.cloudfront.net/image/725136000567/image_06k0ee1po1047e7mvoj3nfvf7d/-FJPG/236438-002_DET_6.jpg</t>
  </si>
  <si>
    <t>https://dd3ka9h4chfr8.cloudfront.net/image/725136000567/image_71cu3rrq0d3inb7gf6d9pphm0u/-FJPG/236438-002_DET_7.jpg</t>
  </si>
  <si>
    <t>Sr/Slats</t>
  </si>
  <si>
    <t>80.49"</t>
  </si>
  <si>
    <t>236438-003</t>
  </si>
  <si>
    <t>Roark Bed - Palermo Drift</t>
  </si>
  <si>
    <t>Rounded, chunky dowel legs in an amber oak finish frame the neutral, top-grain leather headboard of this bed frame.</t>
  </si>
  <si>
    <t>https://dd3ka9h4chfr8.cloudfront.net/image/725136000567/image_uuj9fmbgnt56nf5l1oosnlga0r/-S150x150-FJPG/236438-003_PRM_1.jpg</t>
  </si>
  <si>
    <t>https://dd3ka9h4chfr8.cloudfront.net/image/725136000567/image_352jpggprd3v5e44civrg3i554/-FJPG/236438-003_FRT_1.jpg</t>
  </si>
  <si>
    <t>https://dd3ka9h4chfr8.cloudfront.net/image/725136000567/image_uuj9fmbgnt56nf5l1oosnlga0r/-FJPG/236438-003_PRM_1.jpg</t>
  </si>
  <si>
    <t>https://dd3ka9h4chfr8.cloudfront.net/image/725136000567/image_7ahcm5rvr57d519bmeuj9tqu59/-FJPG/236438-003_SID_1.jpg</t>
  </si>
  <si>
    <t>https://dd3ka9h4chfr8.cloudfront.net/image/725136000567/image_6vn5kpk9ld5gleb7tb7gict732/-FJPG/236438-003_DET_2.jpg</t>
  </si>
  <si>
    <t>https://dd3ka9h4chfr8.cloudfront.net/image/725136000567/image_439fvdt5897ld56gpou78l7d65/-FJPG/236438-003_BCK_1.jpg</t>
  </si>
  <si>
    <t>https://dd3ka9h4chfr8.cloudfront.net/image/725136000567/image_jseq2gk5g57ed0j4np2ml2lu2o/-FJPG/236438-003_DET_1.jpg</t>
  </si>
  <si>
    <t>https://dd3ka9h4chfr8.cloudfront.net/image/725136000567/image_0m47gecr717dlfhv4ov3tsu36e/-FJPG/236438-003_DET_3.jpg</t>
  </si>
  <si>
    <t>https://dd3ka9h4chfr8.cloudfront.net/image/725136000567/image_hqoonopvtd6o7ff1ns56irmc1s/-FJPG/236438-003_DET_4.jpg</t>
  </si>
  <si>
    <t>https://dd3ka9h4chfr8.cloudfront.net/image/725136000567/image_bjus4s4s8564b39phrgjpg0436/-FJPG/236438-003_DET_5.jpg</t>
  </si>
  <si>
    <t>https://dd3ka9h4chfr8.cloudfront.net/image/725136000567/image_jtp7ftg1d57kj4fn2gcut97h07/-FJPG/236438-003_DET_6.jpg</t>
  </si>
  <si>
    <t>https://dd3ka9h4chfr8.cloudfront.net/image/725136000567/image_ei4ovqteu16i9fgkrg6j8b2o6r/-FJPG/236438-003_DET_7.jpg</t>
  </si>
  <si>
    <t>https://dd3ka9h4chfr8.cloudfront.net/image/725136000567/image_dkju8cpm4h3v3bnm8kjrpmfr29/-FJPG/236438-003_DET_8.jpg</t>
  </si>
  <si>
    <t>236438-004</t>
  </si>
  <si>
    <t>https://dd3ka9h4chfr8.cloudfront.net/image/725136000567/image_jpdlte7pst6dn1l8fqj76pn120/-S150x150-FJPG/236438-004_PRM_1.jpg</t>
  </si>
  <si>
    <t>https://dd3ka9h4chfr8.cloudfront.net/image/725136000567/image_cbpn2evbct1ij9e1phmpo9q54j/-FJPG/236438-004_FRT_1.jpg</t>
  </si>
  <si>
    <t>https://dd3ka9h4chfr8.cloudfront.net/image/725136000567/image_jpdlte7pst6dn1l8fqj76pn120/-FJPG/236438-004_PRM_1.jpg</t>
  </si>
  <si>
    <t>https://dd3ka9h4chfr8.cloudfront.net/image/725136000567/image_039nnm2q6l01j4sq5nfeai934q/-FJPG/236438-004_SID_1.jpg</t>
  </si>
  <si>
    <t>https://dd3ka9h4chfr8.cloudfront.net/image/725136000567/image_di9v06l4dh6tr9mqdtachuqg71/-FJPG/236438-004_DET_2.jpg</t>
  </si>
  <si>
    <t>https://dd3ka9h4chfr8.cloudfront.net/image/725136000567/image_l8ptc0q7cl0bl34h2kdrac7b4h/-FJPG/236438-004_BCK_1.jpg</t>
  </si>
  <si>
    <t>https://dd3ka9h4chfr8.cloudfront.net/image/725136000567/image_ts4fdtnc351id5rs0ceaiudf1o/-FJPG/236438-004_DET_1.jpg</t>
  </si>
  <si>
    <t>https://dd3ka9h4chfr8.cloudfront.net/image/725136000567/image_ssf1e485494dj6kndlg1ra8006/-FJPG/236438-004_DET_3.jpg</t>
  </si>
  <si>
    <t>https://dd3ka9h4chfr8.cloudfront.net/image/725136000567/image_m5h503a7il3vrev7quheji9t59/-FJPG/236438-004_DET_4.jpg</t>
  </si>
  <si>
    <t>https://dd3ka9h4chfr8.cloudfront.net/image/725136000567/image_akf730m90l1dn25jbo75kcii19/-FJPG/236438-004_DET_5.jpg</t>
  </si>
  <si>
    <t>https://dd3ka9h4chfr8.cloudfront.net/image/725136000567/image_45taua9j253l792f2o69ol210j/-FJPG/236438-004_DET_6.jpg</t>
  </si>
  <si>
    <t>https://dd3ka9h4chfr8.cloudfront.net/image/725136000567/image_naq2eq256h0gn28ugi4n2k2u6i/-FJPG/236438-004_DET_7.jpg</t>
  </si>
  <si>
    <t>236439-001</t>
  </si>
  <si>
    <t>Roark Nightstand - Amber Oak Veneer</t>
  </si>
  <si>
    <t>Rounded, chunky dowel legs in an amber oak finish support the overhang top of this nightstand. Two drawers provide ample storage, finished with simple gunmetal hardware.</t>
  </si>
  <si>
    <t>https://dd3ka9h4chfr8.cloudfront.net/image/725136000567/image_15c0t44eh93bv01ccj2jvnb91n/-S150x150-FJPG/236439-001_PRM_1.jpg</t>
  </si>
  <si>
    <t>https://dd3ka9h4chfr8.cloudfront.net/image/725136000567/image_o76rd8fg696hbf8kv39nco1n7u/-FJPG/236439-001_FRT_1.jpg</t>
  </si>
  <si>
    <t>https://dd3ka9h4chfr8.cloudfront.net/image/725136000567/image_15c0t44eh93bv01ccj2jvnb91n/-FJPG/236439-001_PRM_1.jpg</t>
  </si>
  <si>
    <t>https://dd3ka9h4chfr8.cloudfront.net/image/725136000567/image_cim3144fvp661251r7at831d76/-FJPG/236439-001_SID_1.jpg</t>
  </si>
  <si>
    <t>https://dd3ka9h4chfr8.cloudfront.net/image/725136000567/image_1tee97st192n75l6ophu0bvd5k/-FJPG/236439-001_ESS_1.jpg</t>
  </si>
  <si>
    <t>https://dd3ka9h4chfr8.cloudfront.net/image/725136000567/image_j6uov8s0hp33h2ajv0auoeql5k/-FJPG/236439-001_DET_2.jpg</t>
  </si>
  <si>
    <t>https://dd3ka9h4chfr8.cloudfront.net/image/725136000567/image_2q74ac50n11fn3ui2isa6ekc72/-FJPG/236439-001_BCK_1.jpg</t>
  </si>
  <si>
    <t>https://dd3ka9h4chfr8.cloudfront.net/image/725136000567/image_lu00e9mrmd30t01i6sf503q06c/-FJPG/236439-001_DET_1.jpg</t>
  </si>
  <si>
    <t>https://dd3ka9h4chfr8.cloudfront.net/image/725136000567/image_qcrh9fmda53f1fejkvg4d98b3e/-FJPG/236439-001_DET_3.jpg</t>
  </si>
  <si>
    <t>https://dd3ka9h4chfr8.cloudfront.net/image/725136000567/image_hv2uqh9pbl0lp70cb83qt2nb28/-FJPG/236439-001_OPN_1.jpg</t>
  </si>
  <si>
    <t>https://dd3ka9h4chfr8.cloudfront.net/image/725136000567/image_884mnm7app2gb9ae5adj808n4g/-FJPG/236439-001_DET_4.jpg</t>
  </si>
  <si>
    <t>https://dd3ka9h4chfr8.cloudfront.net/image/725136000567/image_blc5m7lmi90cr0r0c5tv9n8n61/-FJPG/236439-001_DET_5.jpg</t>
  </si>
  <si>
    <t>https://dd3ka9h4chfr8.cloudfront.net/image/725136000567/image_h9kbapfmlh1apalm8sonbim66u/-FJPG/236439-001_DET_6.jpg</t>
  </si>
  <si>
    <t>https://dd3ka9h4chfr8.cloudfront.net/image/725136000567/image_rht1sna21p5618davpgghltf3m/-FJPG/236439-001_DET_7.jpg</t>
  </si>
  <si>
    <t>https://dd3ka9h4chfr8.cloudfront.net/image/725136000567/image_v6c307f6k163daujs9r4tojk5n/-FJPG/236439-001_DET_8.jpg</t>
  </si>
  <si>
    <t>https://dd3ka9h4chfr8.cloudfront.net/image/725136000567/image_i7pq6fr8tp5s71dk5ua70h1h0b/-FJPG/236439-001_DET_9.jpg</t>
  </si>
  <si>
    <t>https://dd3ka9h4chfr8.cloudfront.net/image/725136000567/image_b1jmv60jrp4ebd8i6grcv1q43d/-FJPG/236439-001_DET_10.jpg</t>
  </si>
  <si>
    <t>https://dd3ka9h4chfr8.cloudfront.net/image/725136000567/image_o0is7q6hdt5c943rsaulis6e1f/-FJPG/236439-001_DET_11.jpg</t>
  </si>
  <si>
    <t>Roark Nightstand, 1 Item Per Carton</t>
  </si>
  <si>
    <t>236439-002</t>
  </si>
  <si>
    <t>Roark Nightstand - Ebony Oak Veneer</t>
  </si>
  <si>
    <t>Rounded, chunky dowel legs in a black oak finish support the overhang top of this nightstand. Two drawers provide ample storage, finished with simple gunmetal hardware.</t>
  </si>
  <si>
    <t>https://dd3ka9h4chfr8.cloudfront.net/image/725136000567/image_j682e2seh94urcd39uh12v1e1a/-S150x150-FJPG/236439-002_PRM_1.jpg</t>
  </si>
  <si>
    <t>https://dd3ka9h4chfr8.cloudfront.net/image/725136000567/image_1o4lskaa990o92v5kin9a9fc71/-FJPG/236439-002_FRT_1.jpg</t>
  </si>
  <si>
    <t>https://dd3ka9h4chfr8.cloudfront.net/image/725136000567/image_j682e2seh94urcd39uh12v1e1a/-FJPG/236439-002_PRM_1.jpg</t>
  </si>
  <si>
    <t>https://dd3ka9h4chfr8.cloudfront.net/image/725136000567/image_elcd1rr3eh2qd465farnmfsj1d/-FJPG/236439-002_SID_1.jpg</t>
  </si>
  <si>
    <t>https://dd3ka9h4chfr8.cloudfront.net/image/725136000567/image_hc5qk2og097vb0nnke2m5ipd5d/-FJPG/236439-002_DET_2.jpg</t>
  </si>
  <si>
    <t>https://dd3ka9h4chfr8.cloudfront.net/image/725136000567/image_pml5tunt0t1td0hto109ud7j79/-FJPG/236439-002_BCK_1.jpg</t>
  </si>
  <si>
    <t>https://dd3ka9h4chfr8.cloudfront.net/image/725136000567/image_kqanlgge6p1qb5sj125ri4n70c/-FJPG/236439-002_DET_1.jpg</t>
  </si>
  <si>
    <t>https://dd3ka9h4chfr8.cloudfront.net/image/725136000567/image_ri2tro2j415319gs36mhnl884c/-FJPG/236439-002_DET_3.jpg</t>
  </si>
  <si>
    <t>https://dd3ka9h4chfr8.cloudfront.net/image/725136000567/image_39s5kr5e4h3017s9f4piiogp1n/-FJPG/236439-002_OPN_1.jpg</t>
  </si>
  <si>
    <t>https://dd3ka9h4chfr8.cloudfront.net/image/725136000567/image_44dodri4al6rlc5aupub5i9g51/-FJPG/236439-002_TOP_1.jpg</t>
  </si>
  <si>
    <t>https://dd3ka9h4chfr8.cloudfront.net/image/725136000567/image_f0ob71riet1q531vfjeclbuh61/-FJPG/236439-002_DET_4.jpg</t>
  </si>
  <si>
    <t>https://dd3ka9h4chfr8.cloudfront.net/image/725136000567/image_8rnq9loii95j59tjcdmlfrj779/-FJPG/236439-002_DET_5.jpg</t>
  </si>
  <si>
    <t>https://dd3ka9h4chfr8.cloudfront.net/image/725136000567/image_bq483lv27l33hdt00kcveiai7t/-FJPG/236439-002_DET_6.jpg</t>
  </si>
  <si>
    <t>https://dd3ka9h4chfr8.cloudfront.net/image/725136000567/image_sn02rl1of549f6r3r2uej4hd6a/-FJPG/236439-002_DET_7.jpg</t>
  </si>
  <si>
    <t>236440-001</t>
  </si>
  <si>
    <t>Roark 6 Drawer Dresser - Amber Oak Veneer</t>
  </si>
  <si>
    <t>Rounded, chunky dowel legs in an amber oak finish support the overhang top of this dresser. Six drawers provide ample storage, finished with simple gunmetal hardware.</t>
  </si>
  <si>
    <t>https://dd3ka9h4chfr8.cloudfront.net/image/725136000567/image_6ivb6vap452ll099chk84auv0o/-S150x150-FJPG/236440-001_PRM_1.jpg</t>
  </si>
  <si>
    <t>https://dd3ka9h4chfr8.cloudfront.net/image/725136000567/image_o0a0bibp9p5c13kdhiv21r7i17/-FJPG/236440-001_FRT_1.jpg</t>
  </si>
  <si>
    <t>https://dd3ka9h4chfr8.cloudfront.net/image/725136000567/image_6ivb6vap452ll099chk84auv0o/-FJPG/236440-001_PRM_1.jpg</t>
  </si>
  <si>
    <t>https://dd3ka9h4chfr8.cloudfront.net/image/725136000567/image_2tqa35l6i57kn4qqmq41aamg66/-FJPG/236440-001_SID_1.jpg</t>
  </si>
  <si>
    <t>https://dd3ka9h4chfr8.cloudfront.net/image/725136000567/image_4c7b5vhhkp20dadja6e8k2ci23/-FJPG/236440-001_ESS_1.jpg</t>
  </si>
  <si>
    <t>https://dd3ka9h4chfr8.cloudfront.net/image/725136000567/image_941q3q6unp01v203uo87hvph2l/-FJPG/236440-001_DET_2.jpg</t>
  </si>
  <si>
    <t>https://dd3ka9h4chfr8.cloudfront.net/image/725136000567/image_mv75sfe4kp57h3hmgpg9d3pt5a/-FJPG/236440-001_BCK_1.jpg</t>
  </si>
  <si>
    <t>https://dd3ka9h4chfr8.cloudfront.net/image/725136000567/image_fc8kpmrk2t2ab1bgfcerdmvc3t/-FJPG/236440-001_DET_1.jpg</t>
  </si>
  <si>
    <t>https://dd3ka9h4chfr8.cloudfront.net/image/725136000567/image_269guqbjd17855atbcpv20c73t/-FJPG/236440-001_DET_3.jpg</t>
  </si>
  <si>
    <t>https://dd3ka9h4chfr8.cloudfront.net/image/725136000567/image_2iqme00vh16sp6t2i36mfhmq3n/-FJPG/236440-001_OPN_1.jpg</t>
  </si>
  <si>
    <t>https://dd3ka9h4chfr8.cloudfront.net/image/725136000567/image_s2531m7s491j199353vpi24k7s/-FJPG/236440-001_DET_4.jpg</t>
  </si>
  <si>
    <t>https://dd3ka9h4chfr8.cloudfront.net/image/725136000567/image_tueoo59fsh4519emuu2mubrf39/-FJPG/236440-001_DET_5.jpg</t>
  </si>
  <si>
    <t>https://dd3ka9h4chfr8.cloudfront.net/image/725136000567/image_c9jprinnr13mh07t25vin6n314/-FJPG/236440-001_DET_6.jpg</t>
  </si>
  <si>
    <t>https://dd3ka9h4chfr8.cloudfront.net/image/725136000567/image_8h5fenpgb97f9ce5kt2h906b16/-FJPG/236440-001_DET_7.jpg</t>
  </si>
  <si>
    <t>https://dd3ka9h4chfr8.cloudfront.net/image/725136000567/image_vssen6n8kp5cj7rra1h4urno47/-FJPG/236440-001_DET_8.jpg</t>
  </si>
  <si>
    <t>https://dd3ka9h4chfr8.cloudfront.net/image/725136000567/image_681fgq43f55n54bt0ttev7l81b/-FJPG/236440-001_DET_9.jpg</t>
  </si>
  <si>
    <t>https://dd3ka9h4chfr8.cloudfront.net/image/725136000567/image_87l5br1m992kjd332rtonrha24/-FJPG/236440-001_DET_10.jpg</t>
  </si>
  <si>
    <t>236440-002</t>
  </si>
  <si>
    <t>Roark 6 Drawer Dresser - Ebony Oak Veneer</t>
  </si>
  <si>
    <t>Rounded, chunky dowel legs in an ebony oak finish support the overhang top of this dresser. Six drawers provide ample storage, finished with simple gunmetal hardware.</t>
  </si>
  <si>
    <t>https://dd3ka9h4chfr8.cloudfront.net/image/725136000567/image_cgtishsn1p72t7v25j6iqfat1k/-S150x150-FJPG/236440-002_PRM_1.jpg</t>
  </si>
  <si>
    <t>https://dd3ka9h4chfr8.cloudfront.net/image/725136000567/image_721uvj2egh10jccmeto991ho7h/-FJPG/236440-002_FRT_1.jpg</t>
  </si>
  <si>
    <t>https://dd3ka9h4chfr8.cloudfront.net/image/725136000567/image_cgtishsn1p72t7v25j6iqfat1k/-FJPG/236440-002_PRM_1.jpg</t>
  </si>
  <si>
    <t>https://dd3ka9h4chfr8.cloudfront.net/image/725136000567/image_m7kgrj81ch1tndh5v2ptpt9c3m/-FJPG/236440-002_SID_1.jpg</t>
  </si>
  <si>
    <t>https://dd3ka9h4chfr8.cloudfront.net/image/725136000567/image_pcqk4t0ghh17ha5g03u89iu92c/-FJPG/236440-002_DET_2.jpg</t>
  </si>
  <si>
    <t>https://dd3ka9h4chfr8.cloudfront.net/image/725136000567/image_71qftvvcft1bv1na1n73ql8l3j/-FJPG/236440-002_BCK_1.jpg</t>
  </si>
  <si>
    <t>https://dd3ka9h4chfr8.cloudfront.net/image/725136000567/image_hllqrje5997fl29us9jjkvff3i/-FJPG/236440-002_DET_1.jpg</t>
  </si>
  <si>
    <t>https://dd3ka9h4chfr8.cloudfront.net/image/725136000567/image_crcucn3gn57bp97hmlhhavn10t/-FJPG/236440-002_DET_3.jpg</t>
  </si>
  <si>
    <t>https://dd3ka9h4chfr8.cloudfront.net/image/725136000567/image_nihj0n3mjp3cn2itvjbqcium3t/-FJPG/236440-002_OPN_1.jpg</t>
  </si>
  <si>
    <t>https://dd3ka9h4chfr8.cloudfront.net/image/725136000567/image_om0hahpknl12t0ckvs0hafl448/-FJPG/236440-002_TOP_1.jpg</t>
  </si>
  <si>
    <t>https://dd3ka9h4chfr8.cloudfront.net/image/725136000567/image_litpq14fil6jpfmlg042ml2s7j/-FJPG/236440-002_DET_4.jpg</t>
  </si>
  <si>
    <t>https://dd3ka9h4chfr8.cloudfront.net/image/725136000567/image_tgetpbscr14rtflba8th12pr64/-FJPG/236440-002_DET_5.jpg</t>
  </si>
  <si>
    <t>236455-002</t>
  </si>
  <si>
    <t>Millbrook Console Table - Natural Light Oak Veneer</t>
  </si>
  <si>
    <t>https://dd3ka9h4chfr8.cloudfront.net/image/725136000567/image_rc9god8uph3bteqc1008h3kl5j/-S150x150-FJPG/236455-002_PRM_1.jpg</t>
  </si>
  <si>
    <t>https://dd3ka9h4chfr8.cloudfront.net/image/725136000567/image_rvq2ppgpst501fjrg20e1pgc11/-FJPG/236455-002_FRT_1.jpg</t>
  </si>
  <si>
    <t>https://dd3ka9h4chfr8.cloudfront.net/image/725136000567/image_rc9god8uph3bteqc1008h3kl5j/-FJPG/236455-002_PRM_1.jpg</t>
  </si>
  <si>
    <t>https://dd3ka9h4chfr8.cloudfront.net/image/725136000567/image_c2g6d11hjp3o53o5n1t1emng0j/-FJPG/236455-002_SID_1.jpg</t>
  </si>
  <si>
    <t>https://dd3ka9h4chfr8.cloudfront.net/image/725136000567/image_dn0gion2g96rn369uienaidr0h/-FJPG/236455-002_ESS.tif</t>
  </si>
  <si>
    <t>https://dd3ka9h4chfr8.cloudfront.net/image/725136000567/image_o1b29t2lhl4hh0s6tpq39iem0t/-FJPG/236455-002_DET_2.jpg</t>
  </si>
  <si>
    <t>https://dd3ka9h4chfr8.cloudfront.net/image/725136000567/image_vnap1vpmfh7rbcm485b7h9g62k/-FJPG/236455-002_BCK_1.jpg</t>
  </si>
  <si>
    <t>https://dd3ka9h4chfr8.cloudfront.net/image/725136000567/image_lsbiu0e2f51nj0n4le6fo7tq59/-FJPG/236455-002_DET_1.jpg</t>
  </si>
  <si>
    <t>https://dd3ka9h4chfr8.cloudfront.net/image/725136000567/image_8t0sp4cn2h3ql8hvtfmo51nc1r/-FJPG/236455-002_OPN_1.jpg</t>
  </si>
  <si>
    <t>https://dd3ka9h4chfr8.cloudfront.net/image/725136000567/image_390hqf91al4a16nq2hdlvlb979/-FJPG/236455-002_TOP_1.jpg</t>
  </si>
  <si>
    <t>https://dd3ka9h4chfr8.cloudfront.net/image/725136000567/image_lief2i3r514e12c3mfi12rdf53/-FJPG/236455-002_DET_4.jpg</t>
  </si>
  <si>
    <t>https://dd3ka9h4chfr8.cloudfront.net/image/725136000567/image_bum8nk9jt92m11e7me6dslm04v/-FJPG/236455-002_DET_5.jpg</t>
  </si>
  <si>
    <t>https://dd3ka9h4chfr8.cloudfront.net/image/725136000567/image_i3u77d55d17a545iir1goi297u/-FJPG/236455-002_DET_6.jpg</t>
  </si>
  <si>
    <t>https://dd3ka9h4chfr8.cloudfront.net/image/725136000567/image_lr1tbtmr051ep9429biteghh4i/-FJPG/236455-002_DET_7.jpg</t>
  </si>
  <si>
    <t>https://dd3ka9h4chfr8.cloudfront.net/image/725136000567/image_i4tbqobsp95c98ri1c644do02k/-FJPG/236455-002_DET_10.tif</t>
  </si>
  <si>
    <t>https://dd3ka9h4chfr8.cloudfront.net/image/725136000567/image_7p188pvibp4o344bctk44ro667/-FJPG/236455-002_DET_11.tif</t>
  </si>
  <si>
    <t>https://dd3ka9h4chfr8.cloudfront.net/image/725136000567/image_v8go3hi95d3lfek9idbjfmeh2m/-FJPG/FHMPRJ016_SCENE-2.tif</t>
  </si>
  <si>
    <t>236463-002</t>
  </si>
  <si>
    <t>Two Tier End Table - Matte Brown Neem</t>
  </si>
  <si>
    <t>Two tiers of mixed woods shape an airy yet substantial-feeling end table that can be styled just about anywhere.</t>
  </si>
  <si>
    <t>https://dd3ka9h4chfr8.cloudfront.net/image/725136000567/image_ung0ijbr8d4b5bk39iugmvsq70/-S150x150-FJPG/236463-002_PRM_1.jpg</t>
  </si>
  <si>
    <t>https://dd3ka9h4chfr8.cloudfront.net/image/725136000567/image_t76l98rklh2k31in8snts4sd17/-FJPG/236463-002_FRT_1.jpg</t>
  </si>
  <si>
    <t>https://dd3ka9h4chfr8.cloudfront.net/image/725136000567/image_ung0ijbr8d4b5bk39iugmvsq70/-FJPG/236463-002_PRM_1.jpg</t>
  </si>
  <si>
    <t>https://dd3ka9h4chfr8.cloudfront.net/image/725136000567/image_4n88qtpnp9423b84b4b8hk3e08/-FJPG/236463-002_SID_1.jpg</t>
  </si>
  <si>
    <t>https://dd3ka9h4chfr8.cloudfront.net/image/725136000567/image_iiho0rmu851573l513b6qc2859/-FJPG/236463-002_DET_2.jpg</t>
  </si>
  <si>
    <t>https://dd3ka9h4chfr8.cloudfront.net/image/725136000567/image_5giricdt596nndcp7u7f76nj5j/-FJPG/236463-002_BCK_1.jpg</t>
  </si>
  <si>
    <t>https://dd3ka9h4chfr8.cloudfront.net/image/725136000567/image_45kktgu5sh019024k1acp3ed3p/-FJPG/236463-002_DET_1.jpg</t>
  </si>
  <si>
    <t>https://dd3ka9h4chfr8.cloudfront.net/image/725136000567/image_2kvc5p97lt5136mkofi0g9j84e/-FJPG/236463-002_DET_3.jpg</t>
  </si>
  <si>
    <t>https://dd3ka9h4chfr8.cloudfront.net/image/725136000567/image_gjab0aptap5afe9l4tuun2ro02/-FJPG/236463-002_TOP_1.jpg</t>
  </si>
  <si>
    <t>https://dd3ka9h4chfr8.cloudfront.net/image/725136000567/image_7lk78d12k152f48tndd1imm502/-FJPG/236463-002_DET_4.jpg</t>
  </si>
  <si>
    <t>https://dd3ka9h4chfr8.cloudfront.net/image/725136000567/image_e9qec9srtp2tb23sdt1u8bbm6t/-FJPG/FHMPRJ-008_SCENE_6.tif</t>
  </si>
  <si>
    <t>https://dd3ka9h4chfr8.cloudfront.net/image/725136000567/image_5feqgbj9id5jtf472fmo9j3b26/-FJPG/236463-002_ESS.tif</t>
  </si>
  <si>
    <t>236471-001</t>
  </si>
  <si>
    <t>Glenview Bed - Essence Natural</t>
  </si>
  <si>
    <t>Weathered oak and light, linen-like upholstery fuse for a new take on traditional.</t>
  </si>
  <si>
    <t>https://dd3ka9h4chfr8.cloudfront.net/image/725136000567/image_h67qs5cl3p6on4jiltdf3m6i3r/-S150x150-FJPG/236471-001_PRM_1.jpg</t>
  </si>
  <si>
    <t>https://dd3ka9h4chfr8.cloudfront.net/image/725136000567/image_7pk5sfu0td00v8ofo90gnfcq6p/-FJPG/236471-001_FRT_1.jpg</t>
  </si>
  <si>
    <t>https://dd3ka9h4chfr8.cloudfront.net/image/725136000567/image_h67qs5cl3p6on4jiltdf3m6i3r/-FJPG/236471-001_PRM_1.jpg</t>
  </si>
  <si>
    <t>https://dd3ka9h4chfr8.cloudfront.net/image/725136000567/image_n083pkr0i96ojbfhseer7hu70o/-FJPG/236471-001_SID_1.jpg</t>
  </si>
  <si>
    <t>https://dd3ka9h4chfr8.cloudfront.net/image/725136000567/image_j3u7nugrr15d3e8uu1jdi8u24o/-FJPG/236471-001_DET_2.jpg</t>
  </si>
  <si>
    <t>https://dd3ka9h4chfr8.cloudfront.net/image/725136000567/image_d09e8a34lp3b5eilb1j6krah3u/-FJPG/236471-001_BCK_1.jpg</t>
  </si>
  <si>
    <t>https://dd3ka9h4chfr8.cloudfront.net/image/725136000567/image_sa6tl2ev7t6v94cuefia8eo357/-FJPG/236471-001_DET_1.jpg</t>
  </si>
  <si>
    <t>https://dd3ka9h4chfr8.cloudfront.net/image/725136000567/image_159tiofo014137dlb96e03j072/-FJPG/236471-001_DET_3.jpg</t>
  </si>
  <si>
    <t>https://dd3ka9h4chfr8.cloudfront.net/image/725136000567/image_2tt54f29l51u787ni3jc2prn79/-FJPG/236471-001_DET_4.jpg</t>
  </si>
  <si>
    <t>https://dd3ka9h4chfr8.cloudfront.net/image/725136000567/image_4p533bate954les93rpljcj973/-FJPG/236471-001_DET_5.jpg</t>
  </si>
  <si>
    <t>https://dd3ka9h4chfr8.cloudfront.net/image/725136000567/image_s5jmhtc22l2rd91tvt4953t40r/-FJPG/236471-001_DET_6.jpg</t>
  </si>
  <si>
    <t>Sr, Slats</t>
  </si>
  <si>
    <t>4.51"</t>
  </si>
  <si>
    <t>81.22"</t>
  </si>
  <si>
    <t>54.17"</t>
  </si>
  <si>
    <t>236471-002</t>
  </si>
  <si>
    <t>https://dd3ka9h4chfr8.cloudfront.net/image/725136000567/image_ld2iusjtu94al5naqm85f1f06d/-S150x150-FJPG/236471-002_PRM_1.jpg</t>
  </si>
  <si>
    <t>https://dd3ka9h4chfr8.cloudfront.net/image/725136000567/image_jbq3p6fl2l4bt6iltg3e3hf368/-FJPG/236471-002_FRT_1.jpg</t>
  </si>
  <si>
    <t>https://dd3ka9h4chfr8.cloudfront.net/image/725136000567/image_ld2iusjtu94al5naqm85f1f06d/-FJPG/236471-002_PRM_1.jpg</t>
  </si>
  <si>
    <t>https://dd3ka9h4chfr8.cloudfront.net/image/725136000567/image_rdvug9hi913v33f44otb9aum7b/-FJPG/236471-002_SID_1.jpg</t>
  </si>
  <si>
    <t>https://dd3ka9h4chfr8.cloudfront.net/image/725136000567/image_i6l08kpjj14i9cefol0n920d3v/-FJPG/236471-002_DET_2.jpg</t>
  </si>
  <si>
    <t>https://dd3ka9h4chfr8.cloudfront.net/image/725136000567/image_e4f6fk1ea1717f23mehrt5on3m/-FJPG/236471-002_BCK_1.jpg</t>
  </si>
  <si>
    <t>https://dd3ka9h4chfr8.cloudfront.net/image/725136000567/image_apcigmg2c916lbhtqf8102jc5r/-FJPG/236471-002_DET_1.jpg</t>
  </si>
  <si>
    <t>https://dd3ka9h4chfr8.cloudfront.net/image/725136000567/image_kf7b25i9i11lh46r7g600pq20i/-FJPG/236471-002_DET_3.jpg</t>
  </si>
  <si>
    <t>https://dd3ka9h4chfr8.cloudfront.net/image/725136000567/image_o5hnkpcldp0fna42g7dp4vic2n/-FJPG/236471-002_DET_4.jpg</t>
  </si>
  <si>
    <t>https://dd3ka9h4chfr8.cloudfront.net/image/725136000567/image_fd6atf725t3lhck4uc6ttfvb6g/-FJPG/236471-002_DET_5.jpg</t>
  </si>
  <si>
    <t>https://dd3ka9h4chfr8.cloudfront.net/image/725136000567/image_996htmtl7t2pfc0rr65ctap374/-FJPG/236471-002_DET_6.jpg</t>
  </si>
  <si>
    <t>65.08"</t>
  </si>
  <si>
    <t>236471-004</t>
  </si>
  <si>
    <t>Smoked black oak and soft, cream-colored upholstery fuse for a new take on traditional.</t>
  </si>
  <si>
    <t>https://dd3ka9h4chfr8.cloudfront.net/image/725136000567/image_2r5nq6matl6qd1hh78ev3ii104/-S150x150-FJPG/236471-004_PRM_1.jpg</t>
  </si>
  <si>
    <t>https://dd3ka9h4chfr8.cloudfront.net/image/725136000567/image_32rf3f9p3109tbrlsi1rlqv37a/-FJPG/236471-004_FRT_1.jpg</t>
  </si>
  <si>
    <t>https://dd3ka9h4chfr8.cloudfront.net/image/725136000567/image_2r5nq6matl6qd1hh78ev3ii104/-FJPG/236471-004_PRM_1.jpg</t>
  </si>
  <si>
    <t>https://dd3ka9h4chfr8.cloudfront.net/image/725136000567/image_0cieku3fsp7g3arn98j0121a4a/-FJPG/236471-004_SID_1.jpg</t>
  </si>
  <si>
    <t>https://dd3ka9h4chfr8.cloudfront.net/image/725136000567/image_jkfosjkdnt4td0t6capv2c5a7u/-FJPG/236471-004_DET_2.jpg</t>
  </si>
  <si>
    <t>https://dd3ka9h4chfr8.cloudfront.net/image/725136000567/image_bertpra6l979ra6g0as0c5gp3s/-FJPG/236471-004_BCK_1.jpg</t>
  </si>
  <si>
    <t>https://dd3ka9h4chfr8.cloudfront.net/image/725136000567/image_rqic229s7p7gr02ehuagnhcf58/-FJPG/236471-004_DET_1.jpg</t>
  </si>
  <si>
    <t>https://dd3ka9h4chfr8.cloudfront.net/image/725136000567/image_nkg948blft29p8p0170v9fsh33/-FJPG/236471-004_DET_3.jpg</t>
  </si>
  <si>
    <t>https://dd3ka9h4chfr8.cloudfront.net/image/725136000567/image_5jcqb705p14ovdiic76hp7f93q/-FJPG/236471-004_DET_4.jpg</t>
  </si>
  <si>
    <t>https://dd3ka9h4chfr8.cloudfront.net/image/725136000567/image_blk7ltsqd109bfg5gmiqpn2f1p/-FJPG/236471-004_DET_5.jpg</t>
  </si>
  <si>
    <t>https://dd3ka9h4chfr8.cloudfront.net/image/725136000567/image_lfr12vqivt53f7fl9tc1httv7i/-FJPG/236471-004_DET_6.jpg</t>
  </si>
  <si>
    <t>https://dd3ka9h4chfr8.cloudfront.net/image/725136000567/image_thqsc78cnd0vr1q1msoqdlad2g/-FJPG/236471-004_DET_7.jpg</t>
  </si>
  <si>
    <t>https://dd3ka9h4chfr8.cloudfront.net/image/725136000567/image_rdvq2oncep587e9ncc4r5jfl79/-FJPG/236471-004_DET_8.jpg</t>
  </si>
  <si>
    <t>236471-005</t>
  </si>
  <si>
    <t>https://dd3ka9h4chfr8.cloudfront.net/image/725136000567/image_ca49vgia7965f339p7002ar74h/-S150x150-FJPG/236471-005_PRM_1.jpg</t>
  </si>
  <si>
    <t>https://dd3ka9h4chfr8.cloudfront.net/image/725136000567/image_suvis3cp9954dd360gu0sseq1v/-FJPG/236471-005_FRT_1.jpg</t>
  </si>
  <si>
    <t>https://dd3ka9h4chfr8.cloudfront.net/image/725136000567/image_ca49vgia7965f339p7002ar74h/-FJPG/236471-005_PRM_1.jpg</t>
  </si>
  <si>
    <t>https://dd3ka9h4chfr8.cloudfront.net/image/725136000567/image_9fhrk4qheh5gjavvqv86gmlo1m/-FJPG/236471-005_SID_1.jpg</t>
  </si>
  <si>
    <t>https://dd3ka9h4chfr8.cloudfront.net/image/725136000567/image_ajh7siq03h21tf4inbn0i2er0q/-FJPG/236471-005_DET_2.jpg</t>
  </si>
  <si>
    <t>https://dd3ka9h4chfr8.cloudfront.net/image/725136000567/image_ldhha5mmi90mneukgi6sleo009/-FJPG/236471-005_BCK_1.jpg</t>
  </si>
  <si>
    <t>https://dd3ka9h4chfr8.cloudfront.net/image/725136000567/image_p423jgqnut3ov207607to6h72l/-FJPG/236471-005_DET_1.jpg</t>
  </si>
  <si>
    <t>https://dd3ka9h4chfr8.cloudfront.net/image/725136000567/image_c755dahdld6m1224pdsl4mti6k/-FJPG/236471-005_DET_3.jpg</t>
  </si>
  <si>
    <t>https://dd3ka9h4chfr8.cloudfront.net/image/725136000567/image_63braijorh0lj1ldejlvnq1700/-FJPG/236471-005_DET_4.jpg</t>
  </si>
  <si>
    <t>https://dd3ka9h4chfr8.cloudfront.net/image/725136000567/image_pfmmae642d0vv91stu2eccms36/-FJPG/236471-005_DET_5.jpg</t>
  </si>
  <si>
    <t>https://dd3ka9h4chfr8.cloudfront.net/image/725136000567/image_25olksvp855t76qpij2p43ei4a/-FJPG/236471-005_DET_6.jpg</t>
  </si>
  <si>
    <t>https://dd3ka9h4chfr8.cloudfront.net/image/725136000567/image_nl9085abct3ndd73j0lav4da19/-FJPG/236471-005_DET_7.jpg</t>
  </si>
  <si>
    <t>https://dd3ka9h4chfr8.cloudfront.net/image/725136000567/image_og43a86pbt4fl1audolnbuqt4i/-FJPG/236471-005_DET_8.jpg</t>
  </si>
  <si>
    <t>236473-002</t>
  </si>
  <si>
    <t>Glenview Nightstand - Cracked Smoked Black Veneer</t>
  </si>
  <si>
    <t>Traditional, reimagined. Made from smoked black oak, a three-drawer nightstand inspired by spindle design brings bonus storage to the bedside.</t>
  </si>
  <si>
    <t>https://dd3ka9h4chfr8.cloudfront.net/image/725136000567/image_n6lug2unk90n1fhugguj7fon65/-S150x150-FJPG/236473-002_PRM_1.jpg</t>
  </si>
  <si>
    <t>https://dd3ka9h4chfr8.cloudfront.net/image/725136000567/image_4i9mv0cutp30depijrte42qp38/-FJPG/236473-002_FRT_1.jpg</t>
  </si>
  <si>
    <t>https://dd3ka9h4chfr8.cloudfront.net/image/725136000567/image_n6lug2unk90n1fhugguj7fon65/-FJPG/236473-002_PRM_1.jpg</t>
  </si>
  <si>
    <t>https://dd3ka9h4chfr8.cloudfront.net/image/725136000567/image_t966a18d7h49v027qm0olg7p1j/-FJPG/236473-002_SID_1.jpg</t>
  </si>
  <si>
    <t>https://dd3ka9h4chfr8.cloudfront.net/image/725136000567/image_qrccq0oc3p5nncairdlhniis4a/-FJPG/236473-002_DET_2.jpg</t>
  </si>
  <si>
    <t>https://dd3ka9h4chfr8.cloudfront.net/image/725136000567/image_42l4rp9m9h0eb7c02uljutdp20/-FJPG/236473-002_BCK_1.jpg</t>
  </si>
  <si>
    <t>https://dd3ka9h4chfr8.cloudfront.net/image/725136000567/image_c3r0jg4r6p4uvchlnt70j78g6t/-FJPG/236473-002_DET_1.jpg</t>
  </si>
  <si>
    <t>https://dd3ka9h4chfr8.cloudfront.net/image/725136000567/image_ol4c2lsk1102db64v9ajkg7p1o/-FJPG/236473-002_DET_3.jpg</t>
  </si>
  <si>
    <t>https://dd3ka9h4chfr8.cloudfront.net/image/725136000567/image_ogi76mg12p2bh0ok1l21dki07d/-FJPG/236473-002_OPN_1.jpg</t>
  </si>
  <si>
    <t>https://dd3ka9h4chfr8.cloudfront.net/image/725136000567/image_t634st3fal65fb4jrbmvpm2969/-FJPG/236473-002_TOP_1.jpg</t>
  </si>
  <si>
    <t>https://dd3ka9h4chfr8.cloudfront.net/image/725136000567/image_8aosip1ort6b91q7gd3pn0kq69/-FJPG/236473-002_DET_4.jpg</t>
  </si>
  <si>
    <t>https://dd3ka9h4chfr8.cloudfront.net/image/725136000567/image_b9ga6qugt16rrbrae0tmvrev46/-FJPG/236473-002_DET_5.jpg</t>
  </si>
  <si>
    <t>https://dd3ka9h4chfr8.cloudfront.net/image/725136000567/image_op45a305p52h78adhj62chgp1b/-FJPG/236473-002_DET_6.jpg</t>
  </si>
  <si>
    <t>https://dd3ka9h4chfr8.cloudfront.net/image/725136000567/image_1ocpkaknhh1pvagqao18fe842n/-FJPG/236473-002_DET_7.jpg</t>
  </si>
  <si>
    <t>https://dd3ka9h4chfr8.cloudfront.net/image/725136000567/image_fk9hceinp16gh397d0a70hiu13/-FJPG/236473-002_DET_8.jpg</t>
  </si>
  <si>
    <t>https://dd3ka9h4chfr8.cloudfront.net/image/725136000567/image_ts0spr47jt61f8ofelqkmbo55c/-FJPG/236473-002_DET_9.jpg</t>
  </si>
  <si>
    <t>12.44"</t>
  </si>
  <si>
    <t>3.90"</t>
  </si>
  <si>
    <t>236589-001</t>
  </si>
  <si>
    <t>Hudson Large Coffee Table - Spalted Primavera</t>
  </si>
  <si>
    <t>Spalted Primavera</t>
  </si>
  <si>
    <t>Thick Primavera Veneer</t>
  </si>
  <si>
    <t>Stunning forces of nature are captured in a coffee table, as spalted primavera wood is hand-shaped into a cylindrical silhouette. Reflective of woods' natural character, a slight color variance is possible.</t>
  </si>
  <si>
    <t>https://dd3ka9h4chfr8.cloudfront.net/image/725136000567/image_vivb4cekep7n395abj86hcsd30/-S150x150-FJPG/236589-001_PRM_1.jpg</t>
  </si>
  <si>
    <t>https://dd3ka9h4chfr8.cloudfront.net/image/725136000567/image_vivb4cekep7n395abj86hcsd30/-FJPG/236589-001_PRM_1.jpg</t>
  </si>
  <si>
    <t>https://dd3ka9h4chfr8.cloudfront.net/image/725136000567/image_iek1dd6te13ed8nthiusmrgc1e/-FJPG/236589-001_ESS_1.jpg</t>
  </si>
  <si>
    <t>https://dd3ka9h4chfr8.cloudfront.net/image/725136000567/image_6e960mdh6d5572h1hfm8vf055g/-FJPG/236589-001_DET_2.jpg</t>
  </si>
  <si>
    <t>https://dd3ka9h4chfr8.cloudfront.net/image/725136000567/image_0icdka3r4d7rd6vusielrtfm5n/-FJPG/236589-001_DET_1.jpg</t>
  </si>
  <si>
    <t>https://dd3ka9h4chfr8.cloudfront.net/image/725136000567/image_u1hf2v96d95kb9b7du3bf71c2d/-FJPG/236589-001_DET_3.jpg</t>
  </si>
  <si>
    <t>https://dd3ka9h4chfr8.cloudfront.net/image/725136000567/image_vmvikg9fsh6ah2qp1cvaii5a61/-FJPG/236589-001_TOP_1.jpg</t>
  </si>
  <si>
    <t>2.63"</t>
  </si>
  <si>
    <t>236589-002</t>
  </si>
  <si>
    <t>Hudson Large Coffee Table - Natural Yukas</t>
  </si>
  <si>
    <t>Stunning forces of nature are captured in a coffee table, as natural yukas wood is hand-shaped into a cylindrical silhouette. Reflective of woods' natural character, a slight color variance is possible.</t>
  </si>
  <si>
    <t>https://dd3ka9h4chfr8.cloudfront.net/image/725136000567/image_o9j8ks94l54s7e2063rubl5135/-S150x150-FJPG/236589-002_PRM_1.jpg</t>
  </si>
  <si>
    <t>https://dd3ka9h4chfr8.cloudfront.net/image/725136000567/image_p6v023o0sl1gpdjsmsqg928k3o/-FJPG/236589-002_FRT_1.jpg</t>
  </si>
  <si>
    <t>https://dd3ka9h4chfr8.cloudfront.net/image/725136000567/image_o9j8ks94l54s7e2063rubl5135/-FJPG/236589-002_PRM_1.jpg</t>
  </si>
  <si>
    <t>https://dd3ka9h4chfr8.cloudfront.net/image/725136000567/image_a4i1vuglkl70da22cr9ivqv327/-FJPG/236589-002_ESS_1.tif</t>
  </si>
  <si>
    <t>https://dd3ka9h4chfr8.cloudfront.net/image/725136000567/image_g62173rsn16j54o42l9crk036r/-FJPG/236589-002_DET_2.jpg</t>
  </si>
  <si>
    <t>https://dd3ka9h4chfr8.cloudfront.net/image/725136000567/image_djg1jfanop0r14p9939o403m11/-FJPG/236589-002_BCK_1.jpg</t>
  </si>
  <si>
    <t>https://dd3ka9h4chfr8.cloudfront.net/image/725136000567/image_n4oggeutap6g18udk407thec0b/-FJPG/236589-002_DET_1.jpg</t>
  </si>
  <si>
    <t>https://dd3ka9h4chfr8.cloudfront.net/image/725136000567/image_6righ5gk896nd5j4df9i8t697p/-FJPG/236589-002_DET_3.jpg</t>
  </si>
  <si>
    <t>https://dd3ka9h4chfr8.cloudfront.net/image/725136000567/image_h1tjp9h91h5a7auu0790c1jq4d/-FJPG/236589-002_TOP_1.jpg</t>
  </si>
  <si>
    <t>https://dd3ka9h4chfr8.cloudfront.net/image/725136000567/image_dn73qgn08l7djd2ggan3jhsp3j/-FJPG/236589-002_DET_4.jpg</t>
  </si>
  <si>
    <t>https://dd3ka9h4chfr8.cloudfront.net/image/725136000567/image_eqj9f2ei3p5dd8ragoh1bt1h1u/-FJPG/236589-002_DET_5.jpg</t>
  </si>
  <si>
    <t>https://dd3ka9h4chfr8.cloudfront.net/image/725136000567/image_04ffa0qjsl791biriomrp85i5o/-FJPG/236589-002_DET_6.jpg</t>
  </si>
  <si>
    <t>236589-003</t>
  </si>
  <si>
    <t>Hudson Large Coffee Table - Ashen Walnut</t>
  </si>
  <si>
    <t>Stunning forces of nature are captured in a coffee table, as smooth walnut wood is finished in an ashen tone and hand-shaped into a cylindrical silhouette. Reflective of woods' natural character, a slight color variance is possible.</t>
  </si>
  <si>
    <t>https://dd3ka9h4chfr8.cloudfront.net/image/725136000567/image_spupq6jaj50fn0srjuunr6e703/-S150x150-FJPG/236589-003_PRM_1.jpg</t>
  </si>
  <si>
    <t>https://dd3ka9h4chfr8.cloudfront.net/image/725136000567/image_spupq6jaj50fn0srjuunr6e703/-FJPG/236589-003_PRM_1.jpg</t>
  </si>
  <si>
    <t>https://dd3ka9h4chfr8.cloudfront.net/image/725136000567/image_lgmumeq60t5sda9100dj2kk953/-FJPG/236589-003_ESS_1.tif</t>
  </si>
  <si>
    <t>https://dd3ka9h4chfr8.cloudfront.net/image/725136000567/image_uttq5tbnd56v9b9k1u2730fq05/-FJPG/236589-003_DET_2.jpg</t>
  </si>
  <si>
    <t>https://dd3ka9h4chfr8.cloudfront.net/image/725136000567/image_gobsgteim5531bfiqoma6feu5b/-FJPG/236589-003_DET_1.jpg</t>
  </si>
  <si>
    <t>https://dd3ka9h4chfr8.cloudfront.net/image/725136000567/image_k3dep12ii13c7bhacgc4psmd0m/-FJPG/236589-003_DET_3.jpg</t>
  </si>
  <si>
    <t>https://dd3ka9h4chfr8.cloudfront.net/image/725136000567/image_8sqk8dqhl54sjd6gsd3tqpdd3a/-FJPG/236589-003_TOP_1.jpg</t>
  </si>
  <si>
    <t>236723-001</t>
  </si>
  <si>
    <t>Corbett Large Coffee Table - Creamy Taupe Marble</t>
  </si>
  <si>
    <t>For a sculptural play on shape, a hammered grey aluminum base supports a large, rounded tabletop of creamy taupe solid marble with swirls of natural veining.</t>
  </si>
  <si>
    <t>https://dd3ka9h4chfr8.cloudfront.net/image/725136000567/image_bq6p2fg6ed7al8fhpgb3f6nc66/-S150x150-FJPG/236723-001_PRM_1.jpg</t>
  </si>
  <si>
    <t>https://dd3ka9h4chfr8.cloudfront.net/image/725136000567/image_bq6p2fg6ed7al8fhpgb3f6nc66/-FJPG/236723-001_PRM_1.jpg</t>
  </si>
  <si>
    <t>https://dd3ka9h4chfr8.cloudfront.net/image/725136000567/image_g5339i4unl5pdd3jt6fj09hv00/-FJPG/236723-001_ESS_1.jpg</t>
  </si>
  <si>
    <t>https://dd3ka9h4chfr8.cloudfront.net/image/725136000567/image_d4pr091g3t1ghbd7lnlvedje79/-FJPG/236723-001_DET_2.jpg</t>
  </si>
  <si>
    <t>https://dd3ka9h4chfr8.cloudfront.net/image/725136000567/image_5lqdti36ct7sl6mci3nd79jg75/-FJPG/236723-001_INF_1.png</t>
  </si>
  <si>
    <t>https://dd3ka9h4chfr8.cloudfront.net/image/725136000567/image_pv9jbjkntt77f5bjf0v15vhk57/-FJPG/236723-001_DET_1.jpg</t>
  </si>
  <si>
    <t>https://dd3ka9h4chfr8.cloudfront.net/image/725136000567/image_69pnkh72tl09v99l25evv42r18/-FJPG/236723-001_DET_3.jpg</t>
  </si>
  <si>
    <t>https://dd3ka9h4chfr8.cloudfront.net/image/725136000567/image_mbptm5l9n11653ni73dt41d431/-FJPG/236723-001_DET_4.jpg</t>
  </si>
  <si>
    <t>12.13"</t>
  </si>
  <si>
    <t>236761-002</t>
  </si>
  <si>
    <t>Paul Swivel Chair - Raleigh Cigar</t>
  </si>
  <si>
    <t>Raleigh Cigar</t>
  </si>
  <si>
    <t>Old English-inspired top-grain leather is finished with a soft hand for a vintage, lived-in look on this traditionally inspired chair. Handcrafted in Italy, the richness of this distinctive, full-bodied leather develops an even-richer patina over time. Button tufting texturizes a comfortably curved back and sides, while a 360-degree swivel modernizes the whole look.</t>
  </si>
  <si>
    <t>https://dd3ka9h4chfr8.cloudfront.net/image/725136000567/image_s8os0ugqjl7gb1pu0tnlnu574m/-S150x150-FJPG/236761-002_PRM_1.jpg</t>
  </si>
  <si>
    <t>https://dd3ka9h4chfr8.cloudfront.net/image/725136000567/image_nquk1j9iqh0653gjrr55igm95l/-FJPG/236761-002_FRT_1.jpg</t>
  </si>
  <si>
    <t>https://dd3ka9h4chfr8.cloudfront.net/image/725136000567/image_s8os0ugqjl7gb1pu0tnlnu574m/-FJPG/236761-002_PRM_1.jpg</t>
  </si>
  <si>
    <t>https://dd3ka9h4chfr8.cloudfront.net/image/725136000567/image_r70im7i0h57k5d6v6fpev3pf0i/-FJPG/236761-002_SID_1.jpg</t>
  </si>
  <si>
    <t>https://dd3ka9h4chfr8.cloudfront.net/image/725136000567/image_bb8ar0enqd4tl1drqakoo13e7h/-FJPG/236761-002_ESS.tif</t>
  </si>
  <si>
    <t>https://dd3ka9h4chfr8.cloudfront.net/image/725136000567/image_ubslacdfa57lv5a44i6ran7e62/-FJPG/236761-002_DET_2.jpg</t>
  </si>
  <si>
    <t>https://dd3ka9h4chfr8.cloudfront.net/image/725136000567/image_7308m9ehsl2394upuvhvdesg7j/-FJPG/236761-002_BCK_1.jpg</t>
  </si>
  <si>
    <t>https://dd3ka9h4chfr8.cloudfront.net/image/725136000567/image_cdh2eol5it2tt9ihpjphdk9f2v/-FJPG/236761-002_DET_1.jpg</t>
  </si>
  <si>
    <t>https://dd3ka9h4chfr8.cloudfront.net/image/725136000567/image_msmivf2erd3if4dbuj5b1ibj0l/-FJPG/236761-002_DET_3.jpg</t>
  </si>
  <si>
    <t>https://dd3ka9h4chfr8.cloudfront.net/image/725136000567/image_qf65dmavvh657fn44rl4o6oe0a/-FJPG/236761-002_DET_4.jpg</t>
  </si>
  <si>
    <t>https://dd3ka9h4chfr8.cloudfront.net/image/725136000567/image_15eleu7nqd7hdbjadnvsepp667/-FJPG/236761-002_DET_5.jpg</t>
  </si>
  <si>
    <t>https://dd3ka9h4chfr8.cloudfront.net/image/725136000567/image_tabp8gbn090rp9q8k60mls6u5i/-FJPG/236761-002_DET_6.jpg</t>
  </si>
  <si>
    <t>https://dd3ka9h4chfr8.cloudfront.net/image/725136000567/image_iumen46umd2vvfuke22vgdpv5n/-FJPG/236761-002_DET_10.jpg</t>
  </si>
  <si>
    <t>https://dd3ka9h4chfr8.cloudfront.net/image/725136000567/image_at8qkub1o96e133tko7lj33o0c/-FJPG/236761-002_DET_11.jpg</t>
  </si>
  <si>
    <t>Paul</t>
  </si>
  <si>
    <t>11.25"</t>
  </si>
  <si>
    <t>236762-002</t>
  </si>
  <si>
    <t>Wellborn Swivel Chair - Palermo Cognac</t>
  </si>
  <si>
    <t>Inspired by 70s vintage seating and plush duvet toppers, a structured, supportive seat is covered in a Four Hands-exclusive top-grain leather in a rich cognac tone. A 360-degree swivel modernizes this vintage-leaning look.</t>
  </si>
  <si>
    <t>https://dd3ka9h4chfr8.cloudfront.net/image/725136000567/image_ing4kcbtfd1s30vf80cqqd8d7m/-S150x150-FJPG/236762-002_PRM_1.jpg</t>
  </si>
  <si>
    <t>https://dd3ka9h4chfr8.cloudfront.net/image/725136000567/image_67d73qabc15kf4grfhn834c25r/-FJPG/236762-002_FRT_1.jpg</t>
  </si>
  <si>
    <t>https://dd3ka9h4chfr8.cloudfront.net/image/725136000567/image_ing4kcbtfd1s30vf80cqqd8d7m/-FJPG/236762-002_PRM_1.jpg</t>
  </si>
  <si>
    <t>https://dd3ka9h4chfr8.cloudfront.net/image/725136000567/image_5nl4ecm3s564l1g7bo77clc704/-FJPG/236762-002_SID_1.jpg</t>
  </si>
  <si>
    <t>https://dd3ka9h4chfr8.cloudfront.net/image/725136000567/image_3hr3egec5t6rj04avub07aad0u/-FJPG/236762-002_ESS_1.jpg</t>
  </si>
  <si>
    <t>https://dd3ka9h4chfr8.cloudfront.net/image/725136000567/image_07dhj4dkup6bn17vcq0hvdcq36/-FJPG/236762-002_DET_2.jpg</t>
  </si>
  <si>
    <t>https://dd3ka9h4chfr8.cloudfront.net/image/725136000567/image_9clei0dtml7upcqh4b5dar7a5a/-FJPG/236762-002_BCK_1.jpg</t>
  </si>
  <si>
    <t>https://dd3ka9h4chfr8.cloudfront.net/image/725136000567/image_nuvb7mpb8t5r31eulamt1gv319/-FJPG/236762-002_DET_1.jpg</t>
  </si>
  <si>
    <t>https://dd3ka9h4chfr8.cloudfront.net/image/725136000567/image_ql488tab1t6995grm64v2tgh45/-FJPG/236762-002_DET_3.jpg</t>
  </si>
  <si>
    <t>https://dd3ka9h4chfr8.cloudfront.net/image/725136000567/image_pfdb16iurd0ol6ra7mj8cf3d49/-FJPG/236762-002_DET_4.jpg</t>
  </si>
  <si>
    <t>https://dd3ka9h4chfr8.cloudfront.net/image/725136000567/image_o8tjur193l2lhdo5957un8r834/-FJPG/236762-002_DET_5.jpg</t>
  </si>
  <si>
    <t>https://dd3ka9h4chfr8.cloudfront.net/image/725136000567/image_21egn9aeg151nce0btlkegfq24/-FJPG/236762-002_DET_6.jpg</t>
  </si>
  <si>
    <t>https://dd3ka9h4chfr8.cloudfront.net/image/725136000567/image_j03dnj0gmp3f995oraka6eo84l/-FJPG/236762-002_DET_7.jpg</t>
  </si>
  <si>
    <t>https://dd3ka9h4chfr8.cloudfront.net/image/725136000567/image_94rp27q5bd4a11813rnqdf1n2h/-FJPG/236762-002_DET_8.jpg</t>
  </si>
  <si>
    <t>Wellborn</t>
  </si>
  <si>
    <t>236894-001</t>
  </si>
  <si>
    <t>Markia Executive Desk - Aged Oak Veneer</t>
  </si>
  <si>
    <t>Rubbed Bronze</t>
  </si>
  <si>
    <t>An executive-style desk of aged oak, inspired by European antiques. Turned, cylindrical legs adapt this charming heirloom-inspired piece for the modern home office and beyond.</t>
  </si>
  <si>
    <t>https://dd3ka9h4chfr8.cloudfront.net/image/725136000567/image_hduueq6q5p6cl13ef2ngugdp6q/-S150x150-FJPG/236894-001_PRM_1.jpg</t>
  </si>
  <si>
    <t>https://dd3ka9h4chfr8.cloudfront.net/image/725136000567/image_rtenuh2kk50rj50fda2jjpqj33/-FJPG/236894-001_FRT_1.jpg</t>
  </si>
  <si>
    <t>https://dd3ka9h4chfr8.cloudfront.net/image/725136000567/image_hduueq6q5p6cl13ef2ngugdp6q/-FJPG/236894-001_PRM_1.jpg</t>
  </si>
  <si>
    <t>https://dd3ka9h4chfr8.cloudfront.net/image/725136000567/image_3l983vtgd57r1bpqlr8597rc53/-FJPG/236894-001_SID_1.jpg</t>
  </si>
  <si>
    <t>https://dd3ka9h4chfr8.cloudfront.net/image/725136000567/image_j7841ti4753s334b4acqn0dg5k/-FJPG/236894-001_ESS.tif</t>
  </si>
  <si>
    <t>https://dd3ka9h4chfr8.cloudfront.net/image/725136000567/image_iargul60ut4jhdvebp26ueau3q/-FJPG/236894-001_DET_2.jpg</t>
  </si>
  <si>
    <t>https://dd3ka9h4chfr8.cloudfront.net/image/725136000567/image_7segtd03fl69f6gjpuk9oc2n7d/-FJPG/236894-001_BCK_1.jpg</t>
  </si>
  <si>
    <t>https://dd3ka9h4chfr8.cloudfront.net/image/725136000567/image_umugahslmp4chage52ir545s5r/-FJPG/236894-001_DET_1.jpg</t>
  </si>
  <si>
    <t>https://dd3ka9h4chfr8.cloudfront.net/image/725136000567/image_gm617a15rh17rd7d7pe2tp2i3e/-FJPG/236894-001_DET_3.jpg</t>
  </si>
  <si>
    <t>https://dd3ka9h4chfr8.cloudfront.net/image/725136000567/image_7fp5a804j909pcnoq4mbme046k/-FJPG/236894-001_OPN_1.jpg</t>
  </si>
  <si>
    <t>https://dd3ka9h4chfr8.cloudfront.net/image/725136000567/image_68vdeho1l50k55vgui9md5d577/-FJPG/236894-001_DET_4.jpg</t>
  </si>
  <si>
    <t>https://dd3ka9h4chfr8.cloudfront.net/image/725136000567/image_um4pqo6adt1n71i214l4l25l50/-FJPG/236894-001_DET_5.jpg</t>
  </si>
  <si>
    <t>https://dd3ka9h4chfr8.cloudfront.net/image/725136000567/image_vvjdh2gtn559ddrdp7vbp5750d/-FJPG/236894-001_DET_6.jpg</t>
  </si>
  <si>
    <t>https://dd3ka9h4chfr8.cloudfront.net/image/725136000567/image_9r18kes4rd3pbeftats9jjuj6n/-FJPG/236894-001_DET_7.jpg</t>
  </si>
  <si>
    <t>https://dd3ka9h4chfr8.cloudfront.net/image/725136000567/image_7makr3fd016jt91o0qgbpebu2q/-FJPG/236894-001_DET_8.jpg</t>
  </si>
  <si>
    <t>https://dd3ka9h4chfr8.cloudfront.net/image/725136000567/image_ku1s3eb2f541b6ai0qn0kpvp4j/-FJPG/236894-001_DET_9.tif</t>
  </si>
  <si>
    <t>https://dd3ka9h4chfr8.cloudfront.net/image/725136000567/image_0k61dd5b1d6c1d95ho65mj0e5q/-FJPG/236894-001_DET_9.jpg</t>
  </si>
  <si>
    <t>https://dd3ka9h4chfr8.cloudfront.net/image/725136000567/image_4bpf3857n12814ihkgmuklhd3g/-FJPG/236894-001_DET_10.tif</t>
  </si>
  <si>
    <t>https://dd3ka9h4chfr8.cloudfront.net/image/725136000567/image_tt4glccnll1g31o8hbfm2fbr52/-FJPG/236894-001_ESS.tif</t>
  </si>
  <si>
    <t>9.27"</t>
  </si>
  <si>
    <t>25.55"</t>
  </si>
  <si>
    <t>236939-002</t>
  </si>
  <si>
    <t>Torrington Sideboard - Sandy Oak Veneer</t>
  </si>
  <si>
    <t>Sandy Oak Veneer</t>
  </si>
  <si>
    <t>Sandy Oak Resawn</t>
  </si>
  <si>
    <t>This sideboard pairs a waterfall-inspired leg design with large slabs of resawn umber oak with small, simple hardware for a piece that is both modern and understated.</t>
  </si>
  <si>
    <t>https://dd3ka9h4chfr8.cloudfront.net/image/725136000567/image_2377idgjdl49r6ccus6ae9b52j/-S150x150-FJPG/236939-002_PRM_1.jpg</t>
  </si>
  <si>
    <t>https://dd3ka9h4chfr8.cloudfront.net/image/725136000567/image_4c6fnhav3906rdppkf74rgpl01/-FJPG/236939-002_FRT_1.jpg</t>
  </si>
  <si>
    <t>https://dd3ka9h4chfr8.cloudfront.net/image/725136000567/image_2377idgjdl49r6ccus6ae9b52j/-FJPG/236939-002_PRM_1.jpg</t>
  </si>
  <si>
    <t>https://dd3ka9h4chfr8.cloudfront.net/image/725136000567/image_6tuv9pqs8d0utd1m3p7bq1fm0m/-FJPG/236939-002_SID_1.jpg</t>
  </si>
  <si>
    <t>https://dd3ka9h4chfr8.cloudfront.net/image/725136000567/image_kbbo8hg3al6cj2hvth6utb0878/-FJPG/236939-002_DET_2.jpg</t>
  </si>
  <si>
    <t>https://dd3ka9h4chfr8.cloudfront.net/image/725136000567/image_ko4jauku191vb44mval398ur2i/-FJPG/236939-002_BCK_1.jpg</t>
  </si>
  <si>
    <t>https://dd3ka9h4chfr8.cloudfront.net/image/725136000567/image_2j0p05ois50v93e7h1u4mm5s18/-FJPG/236939-002_DET_1.jpg</t>
  </si>
  <si>
    <t>https://dd3ka9h4chfr8.cloudfront.net/image/725136000567/image_utudnjbufl76t0iugii4kidu6p/-FJPG/236939-002_DET_3.jpg</t>
  </si>
  <si>
    <t>https://dd3ka9h4chfr8.cloudfront.net/image/725136000567/image_edd9ne0ojp0qbajiu09nrmtk58/-FJPG/236939-002_OPN_1.jpg</t>
  </si>
  <si>
    <t>https://dd3ka9h4chfr8.cloudfront.net/image/725136000567/image_gmnn7738kp0cb1nmq6fiuc4r4j/-FJPG/236939-002_DET_4.jpg</t>
  </si>
  <si>
    <t>https://dd3ka9h4chfr8.cloudfront.net/image/725136000567/image_mpn8mqhdu54hp3avlu63bvjk36/-FJPG/236939-002_DET_5.jpg</t>
  </si>
  <si>
    <t>https://dd3ka9h4chfr8.cloudfront.net/image/725136000567/image_o5t8gfq57536jdhrjqschhd735/-FJPG/236939-002_DET_6.jpg</t>
  </si>
  <si>
    <t>https://dd3ka9h4chfr8.cloudfront.net/image/725136000567/image_rp5uglpam94ip50jkie6beda5i/-FJPG/236939-002_DET_7.jpg</t>
  </si>
  <si>
    <t>38.62"</t>
  </si>
  <si>
    <t>Torrington</t>
  </si>
  <si>
    <t>38.39"</t>
  </si>
  <si>
    <t>236943-003</t>
  </si>
  <si>
    <t>Myakka Bar + Counter Table - Worn Oak</t>
  </si>
  <si>
    <t>Inspired by Chinese antiques, this bar table showcases a classic harvest shape with subtle apron corner details and intricate joint work on the stretchers. Finished in a beautifully distressed antique style, for timeless, aged charm.</t>
  </si>
  <si>
    <t>https://dd3ka9h4chfr8.cloudfront.net/image/725136000567/image_6t8j7f88np24rb7aflvomrfn74/-S150x150-FJPG/236943-003_PRM_1.jpg</t>
  </si>
  <si>
    <t>https://dd3ka9h4chfr8.cloudfront.net/image/725136000567/image_u9ld96do0964bd4ltrfv791963/-FJPG/236943-003_FRT_1.jpg</t>
  </si>
  <si>
    <t>https://dd3ka9h4chfr8.cloudfront.net/image/725136000567/image_6t8j7f88np24rb7aflvomrfn74/-FJPG/236943-003_PRM_1.jpg</t>
  </si>
  <si>
    <t>https://dd3ka9h4chfr8.cloudfront.net/image/725136000567/image_aqudcl5o913s72e704cfgc9u4h/-FJPG/236943-003_SID_1.jpg</t>
  </si>
  <si>
    <t>https://dd3ka9h4chfr8.cloudfront.net/image/725136000567/image_j3umvpejd52jv3t3moii4q7b43/-FJPG/236943-003_ESS.tif</t>
  </si>
  <si>
    <t>https://dd3ka9h4chfr8.cloudfront.net/image/725136000567/image_af46alqtot7ft45mikjhgehl3t/-FJPG/236943-003_DET_2.jpg</t>
  </si>
  <si>
    <t>https://dd3ka9h4chfr8.cloudfront.net/image/725136000567/image_6rg7leekvt0ujd2ss2k318nq38/-FJPG/236943-003_DET_1.jpg</t>
  </si>
  <si>
    <t>https://dd3ka9h4chfr8.cloudfront.net/image/725136000567/image_flir7obqv57mncjjso86fl575e/-FJPG/236943-003_DET_3.jpg</t>
  </si>
  <si>
    <t>https://dd3ka9h4chfr8.cloudfront.net/image/725136000567/image_u6fbd3dqa93eh7edttce30e37s/-FJPG/236943-003_DET_4.jpg</t>
  </si>
  <si>
    <t>https://dd3ka9h4chfr8.cloudfront.net/image/725136000567/image_grk0b890et1at5p04i87k0po09/-FJPG/236943-003_DET_5.jpg</t>
  </si>
  <si>
    <t>https://dd3ka9h4chfr8.cloudfront.net/image/725136000567/image_pqi30htrk960na3e5o1ugsq86m/-FJPG/236943-003_DET_6.jpg</t>
  </si>
  <si>
    <t>https://dd3ka9h4chfr8.cloudfront.net/image/725136000567/image_o0o9upnqc958t1mtqa0fearm1c/-FJPG/236943-003_DET_7.jpg</t>
  </si>
  <si>
    <t>https://dd3ka9h4chfr8.cloudfront.net/image/725136000567/image_ju1voch5pt04v1coasb3t67v7n/-FJPG/236943-003_DET_8.jpg</t>
  </si>
  <si>
    <t>Top And Stretcher</t>
  </si>
  <si>
    <t>Myakka</t>
  </si>
  <si>
    <t>52.99"</t>
  </si>
  <si>
    <t>40.51"</t>
  </si>
  <si>
    <t>236943-004</t>
  </si>
  <si>
    <t>Inspired by Chinese antiques, this counter table showcases a classic harvest shape with subtle apron corner details and intricate joint work on the stretchers. Finished in a beautifully distressed antique style, for timeless, aged charm.</t>
  </si>
  <si>
    <t>https://dd3ka9h4chfr8.cloudfront.net/image/725136000567/image_odebtb6jp92sn64p29c0rcl23q/-S150x150-FJPG/236943-004_PRM_1.jpg</t>
  </si>
  <si>
    <t>https://dd3ka9h4chfr8.cloudfront.net/image/725136000567/image_ah0i6gi2l94kpfja7vjh0ik374/-FJPG/236943-004_FRT_1.jpg</t>
  </si>
  <si>
    <t>https://dd3ka9h4chfr8.cloudfront.net/image/725136000567/image_odebtb6jp92sn64p29c0rcl23q/-FJPG/236943-004_PRM_1.jpg</t>
  </si>
  <si>
    <t>https://dd3ka9h4chfr8.cloudfront.net/image/725136000567/image_8shqq3cgvp1fn2vgu1mmjh9k41/-FJPG/236943-004_SID_1.jpg</t>
  </si>
  <si>
    <t>https://dd3ka9h4chfr8.cloudfront.net/image/725136000567/image_c3ck60bksl3hn884h1588nr16l/-FJPG/236943-004_ESS.tif</t>
  </si>
  <si>
    <t>https://dd3ka9h4chfr8.cloudfront.net/image/725136000567/image_85r3euvihh49v5fbsu5sjmfb1t/-FJPG/236943-004_DET_2.jpg</t>
  </si>
  <si>
    <t>https://dd3ka9h4chfr8.cloudfront.net/image/725136000567/image_l0ein7von14rtesot1va9egl1l/-FJPG/236943-004_DET_1.jpg</t>
  </si>
  <si>
    <t>https://dd3ka9h4chfr8.cloudfront.net/image/725136000567/image_pnggnhap5l65pdtqkkcetqvv62/-FJPG/236943-004_DET_4.jpg</t>
  </si>
  <si>
    <t>https://dd3ka9h4chfr8.cloudfront.net/image/725136000567/image_8i430dg6ol3th5fa8if55uck1t/-FJPG/236943-004_DET_5.jpg</t>
  </si>
  <si>
    <t>https://dd3ka9h4chfr8.cloudfront.net/image/725136000567/image_u7eh8h6bt92n719jog2h239g0q/-FJPG/236943-004_DET_7.jpg</t>
  </si>
  <si>
    <t>https://dd3ka9h4chfr8.cloudfront.net/image/725136000567/image_ogo55313kd00ld218bbpm8t46e/-FJPG/236943-004_DET_9.tif</t>
  </si>
  <si>
    <t>https://dd3ka9h4chfr8.cloudfront.net/image/725136000567/image_igvkqccis57dv6q2c35h3d1t2m/-FJPG/236943-004_DET_10.tif</t>
  </si>
  <si>
    <t>https://dd3ka9h4chfr8.cloudfront.net/image/725136000567/image_nke3k4daul67h00pch3233c52f/-FJPG/236943-004_DET_11.tif</t>
  </si>
  <si>
    <t>https://dd3ka9h4chfr8.cloudfront.net/image/725136000567/image_i9vhikp1rd4r3bog379l2jte34/-FJPG/236943-004_DET_12.tif</t>
  </si>
  <si>
    <t>34.49"</t>
  </si>
  <si>
    <t>236997-002</t>
  </si>
  <si>
    <t>Thurston Sofa - Dakota Warm Taupe</t>
  </si>
  <si>
    <t>A modern take on the traditional Chesterfield sofa. Designed with buttonless-tufting in a diamond pattern around the arms and back, and a clean bench seat for subtle contrast. Upholstered in a soft, buttery top-grain leather in rich camel that pairs perfectly with classically tapered parawood legs.</t>
  </si>
  <si>
    <t>https://dd3ka9h4chfr8.cloudfront.net/image/725136000567/image_ci6ljq62qd693fkpbv3df7e97d/-S150x150-FJPG/236997-002_PRM_1.jpg</t>
  </si>
  <si>
    <t>https://dd3ka9h4chfr8.cloudfront.net/image/725136000567/image_8fd7st5vit6ol8m636qrrh2u48/-FJPG/236997-002_FRT_1.jpg</t>
  </si>
  <si>
    <t>https://dd3ka9h4chfr8.cloudfront.net/image/725136000567/image_ci6ljq62qd693fkpbv3df7e97d/-FJPG/236997-002_PRM_1.jpg</t>
  </si>
  <si>
    <t>https://dd3ka9h4chfr8.cloudfront.net/image/725136000567/image_aj3f3rrnfh3bdahbaj3s5n6f0b/-FJPG/236997-002_SID_1.jpg</t>
  </si>
  <si>
    <t>https://dd3ka9h4chfr8.cloudfront.net/image/725136000567/image_g1t1mka4ih3th7ei7c1k4hmc2n/-FJPG/236997-002_ESS_1.tif</t>
  </si>
  <si>
    <t>https://dd3ka9h4chfr8.cloudfront.net/image/725136000567/image_qlocd0e05t2h3a5q0klufhvf2k/-FJPG/236997-002_DET_2.jpg</t>
  </si>
  <si>
    <t>https://dd3ka9h4chfr8.cloudfront.net/image/725136000567/image_52bnmnbdi51l17ra2brb395t24/-FJPG/236997-002_BCK_1.jpg</t>
  </si>
  <si>
    <t>https://dd3ka9h4chfr8.cloudfront.net/image/725136000567/image_2o68c98qtl5ll1mf600tq02o2t/-FJPG/236997-002_DET_1.jpg</t>
  </si>
  <si>
    <t>https://dd3ka9h4chfr8.cloudfront.net/image/725136000567/image_qc0s3ti1il3cfehodn0uer4l4q/-FJPG/236997-002_DET_3.jpg</t>
  </si>
  <si>
    <t>https://dd3ka9h4chfr8.cloudfront.net/image/725136000567/image_0h0ccuk8953gbabrssecp9sg4c/-FJPG/236997-002_DET_4.jpg</t>
  </si>
  <si>
    <t>https://dd3ka9h4chfr8.cloudfront.net/image/725136000567/image_ih0dvp6ar171l085uvjdjgiq4k/-FJPG/236997-002_DET_5.jpg</t>
  </si>
  <si>
    <t>https://dd3ka9h4chfr8.cloudfront.net/image/725136000567/image_6bj2dth4d916l0b6ujuj927q7g/-FJPG/236997-002_DET_6.jpg</t>
  </si>
  <si>
    <t>https://dd3ka9h4chfr8.cloudfront.net/image/725136000567/image_qlv72s9im11h57cnd3em64ea7f/-FJPG/236997-002_ESS_9.tif</t>
  </si>
  <si>
    <t>Onesofa</t>
  </si>
  <si>
    <t>81.61"</t>
  </si>
  <si>
    <t>75% Polyurethane Foam,15% Feather 10% Fiber</t>
  </si>
  <si>
    <t>Thurston</t>
  </si>
  <si>
    <t>9.61"</t>
  </si>
  <si>
    <t>7.20"</t>
  </si>
  <si>
    <t>30.08"</t>
  </si>
  <si>
    <t>92.09"</t>
  </si>
  <si>
    <t>237027-003</t>
  </si>
  <si>
    <t>Hartley Chair - Surrey Olive</t>
  </si>
  <si>
    <t>A true showstopper. A fully upholstered outer frame cradles this classic chair upholstered in a velvety olive fabric.</t>
  </si>
  <si>
    <t>https://dd3ka9h4chfr8.cloudfront.net/image/725136000567/image_o02r0ivto95nhd5ka2fmp4go2k/-S150x150-FJPG/237027-003_PRM_1.jpg</t>
  </si>
  <si>
    <t>https://dd3ka9h4chfr8.cloudfront.net/image/725136000567/image_uensjcqui12r962lkg7shjgj1u/-FJPG/237027-003_FRT_1.jpg</t>
  </si>
  <si>
    <t>https://dd3ka9h4chfr8.cloudfront.net/image/725136000567/image_o02r0ivto95nhd5ka2fmp4go2k/-FJPG/237027-003_PRM_1.jpg</t>
  </si>
  <si>
    <t>https://dd3ka9h4chfr8.cloudfront.net/image/725136000567/image_22qlpafa8h59vf01j5at4ql12a/-FJPG/237027-003_SID_1.jpg</t>
  </si>
  <si>
    <t>https://dd3ka9h4chfr8.cloudfront.net/image/725136000567/image_3iv84q5p0d7hf6kb1tvgotqr1o/-FJPG/237027-003_DET_2.jpg</t>
  </si>
  <si>
    <t>https://dd3ka9h4chfr8.cloudfront.net/image/725136000567/image_ogvfb1v6353771kaoprckqqo3p/-FJPG/237027-003_BCK_1.jpg</t>
  </si>
  <si>
    <t>https://dd3ka9h4chfr8.cloudfront.net/image/725136000567/image_tnhs3na9l552d3685glqq4jk0i/-FJPG/237027-003_DET_1.jpg</t>
  </si>
  <si>
    <t>https://dd3ka9h4chfr8.cloudfront.net/image/725136000567/image_3gj99992dl1sh6ubetipfa9679/-FJPG/237027-003_DET_3.jpg</t>
  </si>
  <si>
    <t>https://dd3ka9h4chfr8.cloudfront.net/image/725136000567/image_6vr804112h6i379fmmk64cnh41/-FJPG/237027-003_DET_4.jpg</t>
  </si>
  <si>
    <t>https://dd3ka9h4chfr8.cloudfront.net/image/725136000567/image_dfa1pab39p65hep51rdidnc14f/-FJPG/237027-003_DET_5.jpg</t>
  </si>
  <si>
    <t>Hartley</t>
  </si>
  <si>
    <t>237095-001</t>
  </si>
  <si>
    <t>Glenview 9 Drawer Dresser - Weathered Oak Veneer</t>
  </si>
  <si>
    <t>The traditional spindle structure brought to modern speed. Made from weathered oak with a light, rustic finish, nine spacious drawers bring generous storage space to the bedroom. Simple cylindrical hardware is finished in an aged bronze.</t>
  </si>
  <si>
    <t>https://dd3ka9h4chfr8.cloudfront.net/image/725136000567/image_k803vbedip6qpcooo1osmsu31v/-S150x150-FJPG/237095-001_PRM_1.jpg</t>
  </si>
  <si>
    <t>https://dd3ka9h4chfr8.cloudfront.net/image/725136000567/image_gkj6vgv0i17kt1356som22sd37/-FJPG/237095-001_FRT_1.jpg</t>
  </si>
  <si>
    <t>https://dd3ka9h4chfr8.cloudfront.net/image/725136000567/image_k803vbedip6qpcooo1osmsu31v/-FJPG/237095-001_PRM_1.jpg</t>
  </si>
  <si>
    <t>https://dd3ka9h4chfr8.cloudfront.net/image/725136000567/image_j6amo546l54g11ftnj77lr6t2h/-FJPG/237095-001_SID_1.jpg</t>
  </si>
  <si>
    <t>https://dd3ka9h4chfr8.cloudfront.net/image/725136000567/image_vqqk3cap4p7ajdn3stgfidv77m/-FJPG/237095-001_ESS.tif</t>
  </si>
  <si>
    <t>https://dd3ka9h4chfr8.cloudfront.net/image/725136000567/image_6v5glr50qd2tl5n191l5j4av6r/-FJPG/237095-001_DET_2.jpg</t>
  </si>
  <si>
    <t>https://dd3ka9h4chfr8.cloudfront.net/image/725136000567/image_kqp5e0mcvt23td5j09ldkfeg1l/-FJPG/237095-001_BCK_1.jpg</t>
  </si>
  <si>
    <t>https://dd3ka9h4chfr8.cloudfront.net/image/725136000567/image_vn6qcv6a5l6ov7r2su9411os4e/-FJPG/237095-001_DET_1.jpg</t>
  </si>
  <si>
    <t>https://dd3ka9h4chfr8.cloudfront.net/image/725136000567/image_58v7qtfq1l01h344ak4hp71h15/-FJPG/237095-001_DET_3.jpg</t>
  </si>
  <si>
    <t>https://dd3ka9h4chfr8.cloudfront.net/image/725136000567/image_4rc8cvhamd2e3evlggkvlltf67/-FJPG/237095-001_OPN_1.jpg</t>
  </si>
  <si>
    <t>https://dd3ka9h4chfr8.cloudfront.net/image/725136000567/image_hsgftm8bul4dd5sfuhbqfktu2a/-FJPG/237095-001_DET_4.jpg</t>
  </si>
  <si>
    <t>https://dd3ka9h4chfr8.cloudfront.net/image/725136000567/image_cbamkjbhhl791cbhggr6hfuc42/-FJPG/237095-001_DET_5.jpg</t>
  </si>
  <si>
    <t>https://dd3ka9h4chfr8.cloudfront.net/image/725136000567/image_iv6k4ss2ut2c78kk0ont92av42/-FJPG/237095-001_DET_6.jpg</t>
  </si>
  <si>
    <t>https://dd3ka9h4chfr8.cloudfront.net/image/725136000567/image_t2abf2o1nh6qn8asfcrmnqb23l/-FJPG/237095-001_DET_7.jpg</t>
  </si>
  <si>
    <t>https://dd3ka9h4chfr8.cloudfront.net/image/725136000567/image_jkfiftgist0vtcqvojeop6d71c/-FJPG/237095-001_DET_8.jpg</t>
  </si>
  <si>
    <t>https://dd3ka9h4chfr8.cloudfront.net/image/725136000567/image_an60mc6h1l1un2cnqjr6vhsk2p/-FJPG/237095-001_DET_9.jpg</t>
  </si>
  <si>
    <t>2.70"</t>
  </si>
  <si>
    <t>23.86"</t>
  </si>
  <si>
    <t>237095-002</t>
  </si>
  <si>
    <t>Glenview 9 Drawer Dresser - Cracked Smoked Black Veneer</t>
  </si>
  <si>
    <t>The traditional spindle structure brought to modern speed. Made from smoked black oak, nine spacious drawers bring generous storage space to the bedroom. Simple cylindrical hardware is finished in an aged bronze.</t>
  </si>
  <si>
    <t>https://dd3ka9h4chfr8.cloudfront.net/image/725136000567/image_1vmjra01ad3mjdn1ss817cc03a/-S150x150-FJPG/237095-002_PRM_1.jpg</t>
  </si>
  <si>
    <t>https://dd3ka9h4chfr8.cloudfront.net/image/725136000567/image_nrrbev52c95np0k41ulvfpt558/-FJPG/237095-002_FRT_1.jpg</t>
  </si>
  <si>
    <t>https://dd3ka9h4chfr8.cloudfront.net/image/725136000567/image_1vmjra01ad3mjdn1ss817cc03a/-FJPG/237095-002_PRM_1.jpg</t>
  </si>
  <si>
    <t>https://dd3ka9h4chfr8.cloudfront.net/image/725136000567/image_og0qturgol2rpbi82rielaoi34/-FJPG/237095-002_SID_1.jpg</t>
  </si>
  <si>
    <t>https://dd3ka9h4chfr8.cloudfront.net/image/725136000567/image_gp3jcuute933ja6a1ilpkuhp57/-FJPG/237095-002_DET_2.jpg</t>
  </si>
  <si>
    <t>https://dd3ka9h4chfr8.cloudfront.net/image/725136000567/image_qf08c7qgtd5d923vecevskgu0q/-FJPG/237095-002_BCK_1.jpg</t>
  </si>
  <si>
    <t>https://dd3ka9h4chfr8.cloudfront.net/image/725136000567/image_2304stbsph1833s49sgiaqr96k/-FJPG/237095-002_DET_1.jpg</t>
  </si>
  <si>
    <t>https://dd3ka9h4chfr8.cloudfront.net/image/725136000567/image_kqa8a1677h6r159bq8qeoi2h23/-FJPG/237095-002_DET_3.jpg</t>
  </si>
  <si>
    <t>https://dd3ka9h4chfr8.cloudfront.net/image/725136000567/image_7jb113q4vl6trds3gs0920pu2b/-FJPG/237095-002_OPN_1.jpg</t>
  </si>
  <si>
    <t>https://dd3ka9h4chfr8.cloudfront.net/image/725136000567/image_gjp7gqt1t55mb17cpqkak9pk3s/-FJPG/237095-002_TOP_1.jpg</t>
  </si>
  <si>
    <t>https://dd3ka9h4chfr8.cloudfront.net/image/725136000567/image_7als3vckm961l47sobmc2bgf1l/-FJPG/237095-002_DET_4.jpg</t>
  </si>
  <si>
    <t>https://dd3ka9h4chfr8.cloudfront.net/image/725136000567/image_98gaqkf1ih4bl0llhn8lrqhb65/-FJPG/237095-002_DET_5.jpg</t>
  </si>
  <si>
    <t>https://dd3ka9h4chfr8.cloudfront.net/image/725136000567/image_n13lvoqu611hj07nr1fdd7ti1p/-FJPG/237095-002_DET_6.jpg</t>
  </si>
  <si>
    <t>https://dd3ka9h4chfr8.cloudfront.net/image/725136000567/image_b3on88fp8l10j49ehr80bk493l/-FJPG/237095-002_DET_7.jpg</t>
  </si>
  <si>
    <t>237177-001</t>
  </si>
  <si>
    <t>Ryan Oak Coffee Table - Natural Resawn Oak</t>
  </si>
  <si>
    <t>The zen of this intentionally simple half-sphere can anchor an entire room. Natural imperfections in the wood make each table one-of-a-kind. This piece is designed in collaboration with Thomas Bina. Four Handsâ€™ partnership with the renowned Los Angeles furniture designer began in the early 2000s, producing several unique collections including reclaimed wood-driven case goods and Brazilian-inspired upholstery.</t>
  </si>
  <si>
    <t>https://dd3ka9h4chfr8.cloudfront.net/image/725136000567/image_iblp6ouuf50ur2g228v89kt47v/-S150x150-FJPG/237177-001_PRM_1.jpg</t>
  </si>
  <si>
    <t>https://dd3ka9h4chfr8.cloudfront.net/image/725136000567/image_iblp6ouuf50ur2g228v89kt47v/-FJPG/237177-001_PRM_1.jpg</t>
  </si>
  <si>
    <t>https://dd3ka9h4chfr8.cloudfront.net/image/725136000567/image_e15fl60pid1391sk4fbqpq796e/-FJPG/237177-001_ESS_1.jpg</t>
  </si>
  <si>
    <t>https://dd3ka9h4chfr8.cloudfront.net/image/725136000567/image_guqrisuuj1699cntr88knma815/-FJPG/237177-001_DET_2.jpg</t>
  </si>
  <si>
    <t>https://dd3ka9h4chfr8.cloudfront.net/image/725136000567/image_61trp5rusd5kd65ktu8o4e170j/-FJPG/237177-001_DET_1.jpg</t>
  </si>
  <si>
    <t>https://dd3ka9h4chfr8.cloudfront.net/image/725136000567/image_arksru8kn54i771obu3j1cau4i/-FJPG/237177-001_DET_3.jpg</t>
  </si>
  <si>
    <t>https://dd3ka9h4chfr8.cloudfront.net/image/725136000567/image_g42kabcunl7vhbhin6nifeug4m/-FJPG/237177-001_DET_4.jpg</t>
  </si>
  <si>
    <t>https://dd3ka9h4chfr8.cloudfront.net/image/725136000567/image_c5leedtknt47pc3a80kk244v0b/-FJPG/237177-001_DET_5.jpg</t>
  </si>
  <si>
    <t>https://dd3ka9h4chfr8.cloudfront.net/image/725136000567/image_haq896teih4f93mpdefu9odk5h/-FJPG/237177-001_DET_6.jpg</t>
  </si>
  <si>
    <t>Oneitem/Box</t>
  </si>
  <si>
    <t>Ryan</t>
  </si>
  <si>
    <t>47.83"</t>
  </si>
  <si>
    <t>12.64"</t>
  </si>
  <si>
    <t>237191-002</t>
  </si>
  <si>
    <t>Cobain Dining Table - Flint Black</t>
  </si>
  <si>
    <t>Flint Black</t>
  </si>
  <si>
    <t>A table of solid mango wood forms purposefully burnished edges, producing a warm black patina.</t>
  </si>
  <si>
    <t>https://dd3ka9h4chfr8.cloudfront.net/image/725136000567/image_b4irin0qq146n5ea864fju7337/-S150x150-FJPG/237191-002_PRM_1.jpg</t>
  </si>
  <si>
    <t>https://dd3ka9h4chfr8.cloudfront.net/image/725136000567/image_13ivv6b7qp2snd6p9eu8jpri3k/-FJPG/237191-002_FRT_1.jpg</t>
  </si>
  <si>
    <t>https://dd3ka9h4chfr8.cloudfront.net/image/725136000567/image_b4irin0qq146n5ea864fju7337/-FJPG/237191-002_PRM_1.jpg</t>
  </si>
  <si>
    <t>https://dd3ka9h4chfr8.cloudfront.net/image/725136000567/image_l0b5r1d27d3gb95maipcc0mr72/-FJPG/237191-002_SID_1.jpg</t>
  </si>
  <si>
    <t>https://dd3ka9h4chfr8.cloudfront.net/image/725136000567/image_usuoedrgjp7r17qaum0dfotk4a/-FJPG/237191-002_ESS.tif</t>
  </si>
  <si>
    <t>https://dd3ka9h4chfr8.cloudfront.net/image/725136000567/image_rd9eftoo2p37lda6pbquibc83r/-FJPG/237191-002_DET_2.jpg</t>
  </si>
  <si>
    <t>https://dd3ka9h4chfr8.cloudfront.net/image/725136000567/image_u3kdb8ajgd6p57uldul8emla2b/-FJPG/237191-002_DET_1.jpg</t>
  </si>
  <si>
    <t>https://dd3ka9h4chfr8.cloudfront.net/image/725136000567/image_b6jbpud37924f976empf3v9v44/-FJPG/237191-002_DET_3.jpg</t>
  </si>
  <si>
    <t>https://dd3ka9h4chfr8.cloudfront.net/image/725136000567/image_ngcagcsl6539f4beuopvc9t55m/-FJPG/237191-002_TOP_1.jpg</t>
  </si>
  <si>
    <t>https://dd3ka9h4chfr8.cloudfront.net/image/725136000567/image_9l259vm43945382fslf2bep828/-FJPG/237191-002_DET_4.jpg</t>
  </si>
  <si>
    <t>https://dd3ka9h4chfr8.cloudfront.net/image/725136000567/image_c9r2d0ufqt0lrdral86qleeu57/-FJPG/237191-002_DET_5.jpg</t>
  </si>
  <si>
    <t>https://dd3ka9h4chfr8.cloudfront.net/image/725136000567/image_hanjq0spfl7qf0asv2kr5gt61t/-FJPG/237191-002_DET_10.tif</t>
  </si>
  <si>
    <t>Pillet</t>
  </si>
  <si>
    <t>Cobain</t>
  </si>
  <si>
    <t>237543-001</t>
  </si>
  <si>
    <t>Cristopher Sideboard - Rubbed Light Oak Veneer</t>
  </si>
  <si>
    <t>Rubbed Light Oak Veneer</t>
  </si>
  <si>
    <t>Bronze Antimony</t>
  </si>
  <si>
    <t>A playful placement of rounded shapes and clean lines, this sideboard captivates with half-cylinder legs seamlessly blending into the storage case and top, complete with curved metal hardware. Finished in light oak for warm, light look that can move between styles with ease.</t>
  </si>
  <si>
    <t>https://dd3ka9h4chfr8.cloudfront.net/image/725136000567/image_dp1ouesh3l73l4omre0uoruf6s/-S150x150-FJPG/237543-001_PRM_1.jpg</t>
  </si>
  <si>
    <t>https://dd3ka9h4chfr8.cloudfront.net/image/725136000567/image_pju665hqpt44v29mq6afmher38/-FJPG/237543-001_FRT_1.jpg</t>
  </si>
  <si>
    <t>https://dd3ka9h4chfr8.cloudfront.net/image/725136000567/image_dp1ouesh3l73l4omre0uoruf6s/-FJPG/237543-001_PRM_1.jpg</t>
  </si>
  <si>
    <t>https://dd3ka9h4chfr8.cloudfront.net/image/725136000567/image_a40b3qn8bl6g7cicta4cei5933/-FJPG/237543-001_SID_1.jpg</t>
  </si>
  <si>
    <t>https://dd3ka9h4chfr8.cloudfront.net/image/725136000567/image_bqtdb2h3op50j163fm331a265d/-FJPG/237543-001_ESS.tif</t>
  </si>
  <si>
    <t>https://dd3ka9h4chfr8.cloudfront.net/image/725136000567/image_1jnsj1v0hp6nna6mtrtpl1kg0e/-FJPG/237543-001_DET_2.jpg</t>
  </si>
  <si>
    <t>https://dd3ka9h4chfr8.cloudfront.net/image/725136000567/image_fhcphd9ej51kh6o81tbt2ibt1r/-FJPG/237543-001_BCK_1.jpg</t>
  </si>
  <si>
    <t>https://dd3ka9h4chfr8.cloudfront.net/image/725136000567/image_0q02ac7to1765ecm39a2kv0e6i/-FJPG/237543-001_DET_1.jpg</t>
  </si>
  <si>
    <t>https://dd3ka9h4chfr8.cloudfront.net/image/725136000567/image_vo2mnv5m417ldcog71crmput5g/-FJPG/237543-001_DET_3.jpg</t>
  </si>
  <si>
    <t>https://dd3ka9h4chfr8.cloudfront.net/image/725136000567/image_52293bc2q15urd16i9lt1dqj3j/-FJPG/237543-001_OPN_1.jpg</t>
  </si>
  <si>
    <t>https://dd3ka9h4chfr8.cloudfront.net/image/725136000567/image_c5rkpfo89l7rd8716nsta4na20/-FJPG/237543-001_DET_4.jpg</t>
  </si>
  <si>
    <t>https://dd3ka9h4chfr8.cloudfront.net/image/725136000567/image_01g4ga5rhd45rfetjta9e4qr5c/-FJPG/237543-001_DET_5.jpg</t>
  </si>
  <si>
    <t>https://dd3ka9h4chfr8.cloudfront.net/image/725136000567/image_tevnin82kl0kfe859bt4vda52a/-FJPG/237543-001_DET_6.jpg</t>
  </si>
  <si>
    <t>https://dd3ka9h4chfr8.cloudfront.net/image/725136000567/image_erqu8kpbrp3gfa3co350ddpo5b/-FJPG/237543-001_DET_7.jpg</t>
  </si>
  <si>
    <t>29.76"</t>
  </si>
  <si>
    <t>Cristopher</t>
  </si>
  <si>
    <t>24.37"</t>
  </si>
  <si>
    <t>237659-002</t>
  </si>
  <si>
    <t>The 1500 Kilometer Dining Table - Aged Brown Veneer</t>
  </si>
  <si>
    <t>Van Thiel</t>
  </si>
  <si>
    <t>Aged Brown Veneer</t>
  </si>
  <si>
    <t>Pine Veneer</t>
  </si>
  <si>
    <t>By the makers at Van Thiel, known for their antique-inspired pieces and hand-applied finishes. This grand-scale vintage-style dining table is crafted from solid pine with X-structure stretchers beneath for extra support. Features hand-distressing throughout for the look of a handed-down piece. Seats 12.</t>
  </si>
  <si>
    <t>https://dd3ka9h4chfr8.cloudfront.net/image/725136000567/image_cao2m4rfg144jbtk1s82p62d0g/-S150x150-FJPG/237659-002_PRM_1.jpg</t>
  </si>
  <si>
    <t>https://dd3ka9h4chfr8.cloudfront.net/image/725136000567/image_4vjttcirrh5ib433av1fdkn86g/-FJPG/237659-002_FRT_1.jpg</t>
  </si>
  <si>
    <t>https://dd3ka9h4chfr8.cloudfront.net/image/725136000567/image_cao2m4rfg144jbtk1s82p62d0g/-FJPG/237659-002_PRM_1.jpg</t>
  </si>
  <si>
    <t>https://dd3ka9h4chfr8.cloudfront.net/image/725136000567/image_6e85tvkbgt2b11b7cjv9kvj93m/-FJPG/237659-002_SID_1.jpg</t>
  </si>
  <si>
    <t>https://dd3ka9h4chfr8.cloudfront.net/image/725136000567/image_5tbav0im2t4ph9n6ha9aknh46f/-FJPG/237659-002_ESS_1.tif</t>
  </si>
  <si>
    <t>https://dd3ka9h4chfr8.cloudfront.net/image/725136000567/image_r3gj3i02p96031prbecg7crk1k/-FJPG/237659-002_DET_2.jpg</t>
  </si>
  <si>
    <t>https://dd3ka9h4chfr8.cloudfront.net/image/725136000567/image_ncf61mbo4d0o599up87v3p8r0o/-FJPG/237659-002_DET_1.jpg</t>
  </si>
  <si>
    <t>https://dd3ka9h4chfr8.cloudfront.net/image/725136000567/image_iker2hjp9d3716ibije7hv2s0t/-FJPG/237659-002_DET_3.jpg</t>
  </si>
  <si>
    <t>https://dd3ka9h4chfr8.cloudfront.net/image/725136000567/image_t49ppp9mvd5838rvvonk4uma48/-FJPG/237659-002_TOP_1.jpg</t>
  </si>
  <si>
    <t>https://dd3ka9h4chfr8.cloudfront.net/image/725136000567/image_llsq06fotd7nt6g929hof7rp4u/-FJPG/237659-002_DET_4.jpg</t>
  </si>
  <si>
    <t>https://dd3ka9h4chfr8.cloudfront.net/image/725136000567/image_gv5j1kj00p3tt6481tjtnfeo4n/-FJPG/237659-002_DET_5.jpg</t>
  </si>
  <si>
    <t>https://dd3ka9h4chfr8.cloudfront.net/image/725136000567/image_q5dkch4rhd4ede14dlico5o30u/-FJPG/237659-002_ESS_2.tif</t>
  </si>
  <si>
    <t>The 1500 Kilometer</t>
  </si>
  <si>
    <t>28.62"</t>
  </si>
  <si>
    <t>34.92"</t>
  </si>
  <si>
    <t>28.82"</t>
  </si>
  <si>
    <t>94.13"</t>
  </si>
  <si>
    <t>9.94"</t>
  </si>
  <si>
    <t>237678-001</t>
  </si>
  <si>
    <t>Hudson Large Square Coffee Table - Natural Yukas</t>
  </si>
  <si>
    <t>Forces of nature, captured in a coffee table. Natural yukas is hand-shaped into a large, squared silhouette. As each table is unique, a variance in color is to be expected from piece to piece.</t>
  </si>
  <si>
    <t>https://dd3ka9h4chfr8.cloudfront.net/image/725136000567/image_u3p32s1ggp19lasaqifr314d6m/-S150x150-FJPG/237678-001_PRM_1.jpg</t>
  </si>
  <si>
    <t>https://dd3ka9h4chfr8.cloudfront.net/image/725136000567/image_0ej62a9mq96836iurh7ger182n/-FJPG/237678-001_FRT_1.jpg</t>
  </si>
  <si>
    <t>https://dd3ka9h4chfr8.cloudfront.net/image/725136000567/image_u3p32s1ggp19lasaqifr314d6m/-FJPG/237678-001_PRM_1.jpg</t>
  </si>
  <si>
    <t>https://dd3ka9h4chfr8.cloudfront.net/image/725136000567/image_ppjd3ed1lt5ipffev373mobe6m/-FJPG/237678-001_SID_1.jpg</t>
  </si>
  <si>
    <t>https://dd3ka9h4chfr8.cloudfront.net/image/725136000567/image_q3bvt7si8t7un00f69l8qsdh5a/-FJPG/237678-001_ESS.tif</t>
  </si>
  <si>
    <t>https://dd3ka9h4chfr8.cloudfront.net/image/725136000567/image_omam72h3h52ijbjl9p8hm9ng0u/-FJPG/237678-001_DET_2.jpg</t>
  </si>
  <si>
    <t>https://dd3ka9h4chfr8.cloudfront.net/image/725136000567/image_sjslsdo6n123tblvucrdhvkq0b/-FJPG/237678-001_BCK_1.jpg</t>
  </si>
  <si>
    <t>https://dd3ka9h4chfr8.cloudfront.net/image/725136000567/image_isqigvtjnp7657ddq5ovoro02o/-FJPG/237678-001_DET_1.jpg</t>
  </si>
  <si>
    <t>https://dd3ka9h4chfr8.cloudfront.net/image/725136000567/image_c8tl04vah126f3jtuoka0aqh58/-FJPG/237678-001_DET_3.jpg</t>
  </si>
  <si>
    <t>https://dd3ka9h4chfr8.cloudfront.net/image/725136000567/image_tjlmh6824l5fn146n0i8jcrp3n/-FJPG/237678-001_DET_4.jpg</t>
  </si>
  <si>
    <t>https://dd3ka9h4chfr8.cloudfront.net/image/725136000567/image_7oic3d1hmh2glbi40gt9p5p00b/-FJPG/237678-001_DET_5.jpg</t>
  </si>
  <si>
    <t>https://dd3ka9h4chfr8.cloudfront.net/image/725136000567/image_41ilqsgdjh4utf59smucnpoc3a/-FJPG/237678-001_DET_6.jpg</t>
  </si>
  <si>
    <t>237678-002</t>
  </si>
  <si>
    <t>Hudson Large Square Coffee Table - Spalted Primavera</t>
  </si>
  <si>
    <t>https://dd3ka9h4chfr8.cloudfront.net/image/725136000567/image_kopratb8cp2sj1uilf44n5572l/-S150x150-FJPG/237678-002_PRM_1.jpg</t>
  </si>
  <si>
    <t>https://dd3ka9h4chfr8.cloudfront.net/image/725136000567/image_qjg65jfu2h7kfa5kfgvb5bn91e/-FJPG/237678-002_FRT_1.jpg</t>
  </si>
  <si>
    <t>https://dd3ka9h4chfr8.cloudfront.net/image/725136000567/image_kopratb8cp2sj1uilf44n5572l/-FJPG/237678-002_PRM_1.jpg</t>
  </si>
  <si>
    <t>https://dd3ka9h4chfr8.cloudfront.net/image/725136000567/image_r3vekddm3h7drac1jcnanpue26/-FJPG/237678-002_SID_1.jpg</t>
  </si>
  <si>
    <t>https://dd3ka9h4chfr8.cloudfront.net/image/725136000567/image_3rti5qpt454sd091sb89b0qa0p/-FJPG/237678-002_ESS.tif</t>
  </si>
  <si>
    <t>https://dd3ka9h4chfr8.cloudfront.net/image/725136000567/image_1aeolen1u921j6uq4e53eugs3b/-FJPG/237678-002_DET_2.jpg</t>
  </si>
  <si>
    <t>https://dd3ka9h4chfr8.cloudfront.net/image/725136000567/image_bu1v7thq7h1rt3qvju8mrb180u/-FJPG/237678-002_BCK_1.jpg</t>
  </si>
  <si>
    <t>https://dd3ka9h4chfr8.cloudfront.net/image/725136000567/image_t27727fd756kb71rrjd9hdqg4r/-FJPG/Color Variance Card_Hudson Spalted Primavera-01.jpg</t>
  </si>
  <si>
    <t>https://dd3ka9h4chfr8.cloudfront.net/image/725136000567/image_sbol2q07rh4d7527v9ijgjs21c/-FJPG/237678-002_DET_1.jpg</t>
  </si>
  <si>
    <t>https://dd3ka9h4chfr8.cloudfront.net/image/725136000567/image_14iccvrimh58na3glliooute16/-FJPG/237678-002_DET_3.jpg</t>
  </si>
  <si>
    <t>https://dd3ka9h4chfr8.cloudfront.net/image/725136000567/image_h0lf4muvc17bhaoqf1pbakd77b/-FJPG/237678-002_TOP_1.jpg</t>
  </si>
  <si>
    <t>https://dd3ka9h4chfr8.cloudfront.net/image/725136000567/image_k11ofpdo8p5p1dir0c80pha40h/-FJPG/237678-002_DET_4.jpg</t>
  </si>
  <si>
    <t>https://dd3ka9h4chfr8.cloudfront.net/image/725136000567/image_1gqnoelmil1o9bj6ql1pokhg1f/-FJPG/237678-002_DET_5.jpg</t>
  </si>
  <si>
    <t>237678-003</t>
  </si>
  <si>
    <t>Hudson Large Square Coffee Table - Ashen Walnut</t>
  </si>
  <si>
    <t>https://dd3ka9h4chfr8.cloudfront.net/image/725136000567/image_nl1r3jcr5d6ubcu7jav39n2h4g/-S150x150-FJPG/237678-003_PRM_1.jpg</t>
  </si>
  <si>
    <t>https://dd3ka9h4chfr8.cloudfront.net/image/725136000567/image_hrfj4ar43t6858c8b5kq89lj58/-FJPG/237678-003_FRT_1.jpg</t>
  </si>
  <si>
    <t>https://dd3ka9h4chfr8.cloudfront.net/image/725136000567/image_nl1r3jcr5d6ubcu7jav39n2h4g/-FJPG/237678-003_PRM_1.jpg</t>
  </si>
  <si>
    <t>https://dd3ka9h4chfr8.cloudfront.net/image/725136000567/image_imm4mphj7p56dcqrmjajnh0d4a/-FJPG/237678-003_SID_1.jpg</t>
  </si>
  <si>
    <t>https://dd3ka9h4chfr8.cloudfront.net/image/725136000567/image_3f54mi6uph29j1rs90echdg54c/-FJPG/237678-003_DET_2.jpg</t>
  </si>
  <si>
    <t>https://dd3ka9h4chfr8.cloudfront.net/image/725136000567/image_7469l6ulo55o115kc2maop4i2h/-FJPG/237678-003_BCK_1.jpg</t>
  </si>
  <si>
    <t>https://dd3ka9h4chfr8.cloudfront.net/image/725136000567/image_s47n9lkl3t1a30greno9qqji1u/-FJPG/237678-003_DET_1.jpg</t>
  </si>
  <si>
    <t>https://dd3ka9h4chfr8.cloudfront.net/image/725136000567/image_35cvciovqd4k98dr8got90l74i/-FJPG/237678-003_DET_3.jpg</t>
  </si>
  <si>
    <t>https://dd3ka9h4chfr8.cloudfront.net/image/725136000567/image_id00a2sdpp0o9abqe3b026b81b/-FJPG/237678-003_DET_4.jpg</t>
  </si>
  <si>
    <t>https://dd3ka9h4chfr8.cloudfront.net/image/725136000567/image_62t5bif2p510j0g3d81v5h4b3a/-FJPG/237678-003_DET_5.jpg</t>
  </si>
  <si>
    <t>https://dd3ka9h4chfr8.cloudfront.net/image/725136000567/image_tkfq1sblbt23n99a2ttjlp5o7j/-FJPG/237678-003_ESS.tif</t>
  </si>
  <si>
    <t>237714-001</t>
  </si>
  <si>
    <t>Florent Sideboard - Amber Oak</t>
  </si>
  <si>
    <t>Large cylinder framework defines this oak sideboard with a warm oak finish. Curved lines add softness, while delicate hardware provides a visual contrast against the sideboard's substantial size.</t>
  </si>
  <si>
    <t>https://dd3ka9h4chfr8.cloudfront.net/image/725136000567/image_0l3bbbrost6h7erm0mqetfv84c/-S150x150-FJPG/237714-001_PRM_1.jpg</t>
  </si>
  <si>
    <t>https://dd3ka9h4chfr8.cloudfront.net/image/725136000567/image_g5tpulb359209dk1tj4dd0jt2o/-FJPG/237714-001_FRT_1.jpg</t>
  </si>
  <si>
    <t>https://dd3ka9h4chfr8.cloudfront.net/image/725136000567/image_0l3bbbrost6h7erm0mqetfv84c/-FJPG/237714-001_PRM_1.jpg</t>
  </si>
  <si>
    <t>https://dd3ka9h4chfr8.cloudfront.net/image/725136000567/image_u384gl6v1l6l7f4n491gnvns2c/-FJPG/237714-001_SID_1.jpg</t>
  </si>
  <si>
    <t>https://dd3ka9h4chfr8.cloudfront.net/image/725136000567/image_vtnhroaiih1gvcnj7brfri4f6c/-FJPG/237714-001_ESS.tif</t>
  </si>
  <si>
    <t>https://dd3ka9h4chfr8.cloudfront.net/image/725136000567/image_vf15dc1vu95td49cki1e89j72g/-FJPG/237714-001_DET_2.jpg</t>
  </si>
  <si>
    <t>https://dd3ka9h4chfr8.cloudfront.net/image/725136000567/image_rv1ng30nil5fd729t689fh6b5f/-FJPG/237714-001_BCK_1.jpg</t>
  </si>
  <si>
    <t>https://dd3ka9h4chfr8.cloudfront.net/image/725136000567/image_31jonb8hhp6q55gh2n6608o21l/-FJPG/237714-001_DET_1.jpg</t>
  </si>
  <si>
    <t>https://dd3ka9h4chfr8.cloudfront.net/image/725136000567/image_tqld3eb8v92u79kujddo3j0808/-FJPG/237714-001_DET_3.jpg</t>
  </si>
  <si>
    <t>https://dd3ka9h4chfr8.cloudfront.net/image/725136000567/image_h0s8t2gpl51dtc0ve0m9pn460l/-FJPG/237714-001_OPN_1.jpg</t>
  </si>
  <si>
    <t>https://dd3ka9h4chfr8.cloudfront.net/image/725136000567/image_ca5afqud814m5crnji37f0cm37/-FJPG/237714-001_DET_4.jpg</t>
  </si>
  <si>
    <t>https://dd3ka9h4chfr8.cloudfront.net/image/725136000567/image_4t8kvfn6ad7dl4r1lfdv6a4f3b/-FJPG/237714-001_DET_5.jpg</t>
  </si>
  <si>
    <t>https://dd3ka9h4chfr8.cloudfront.net/image/725136000567/image_ft0ptltlud3sh0iekcr6gnjf62/-FJPG/237714-001_DET_6.jpg</t>
  </si>
  <si>
    <t>https://dd3ka9h4chfr8.cloudfront.net/image/725136000567/image_kdikos3qn517bccq8ta8ampa10/-FJPG/237714-001_DET_7.jpg</t>
  </si>
  <si>
    <t>https://dd3ka9h4chfr8.cloudfront.net/image/725136000567/image_bbt2opmoo949t66v9rc2af126j/-FJPG/237714-001_DET_8.jpg</t>
  </si>
  <si>
    <t>https://dd3ka9h4chfr8.cloudfront.net/image/725136000567/image_b1qapcerrl26lealejnhj4la5s/-FJPG/237714-001_DET_9.tif</t>
  </si>
  <si>
    <t>https://dd3ka9h4chfr8.cloudfront.net/image/725136000567/image_17dd5n5k154fbcg1pek93h6r6f/-FJPG/237714-001_DET_10.tif</t>
  </si>
  <si>
    <t>https://dd3ka9h4chfr8.cloudfront.net/image/725136000567/image_8fe7k714b53291gqctj792l51k/-FJPG/237714-001_DET_11.tif</t>
  </si>
  <si>
    <t>https://dd3ka9h4chfr8.cloudfront.net/image/725136000567/image_ce15o5nin56tt6qqn9m9vhhs3e/-FJPG/FHMPRJ-013_SCENE_5.tif</t>
  </si>
  <si>
    <t>14.69"</t>
  </si>
  <si>
    <t>23.27"</t>
  </si>
  <si>
    <t>35.08"</t>
  </si>
  <si>
    <t>Florent</t>
  </si>
  <si>
    <t>4.29"</t>
  </si>
  <si>
    <t>23.11"</t>
  </si>
  <si>
    <t>237737-001</t>
  </si>
  <si>
    <t>Galini Sideboard - Weathered Dark Oak</t>
  </si>
  <si>
    <t>With weathered dark oak and white marble, this pill-shaped sideboard pairs soft lines with wide sliding door panels. Groove cutouts on the ends of the doors serve as a substitute for hardware and maintain a clean, uninterrupted form.</t>
  </si>
  <si>
    <t>https://dd3ka9h4chfr8.cloudfront.net/image/725136000567/image_st64enq86l5fl36023880is92c/-S150x150-FJPG/237737-001_PRM_1.jpg</t>
  </si>
  <si>
    <t>https://dd3ka9h4chfr8.cloudfront.net/image/725136000567/image_iu0vf33mat15107v46iq8ovr7n/-FJPG/237737-001_FRT_1.jpg</t>
  </si>
  <si>
    <t>https://dd3ka9h4chfr8.cloudfront.net/image/725136000567/image_st64enq86l5fl36023880is92c/-FJPG/237737-001_PRM_1.jpg</t>
  </si>
  <si>
    <t>https://dd3ka9h4chfr8.cloudfront.net/image/725136000567/image_etvougqnt12hv38vbuhavr4i2i/-FJPG/237737-001_SID_1.jpg</t>
  </si>
  <si>
    <t>https://dd3ka9h4chfr8.cloudfront.net/image/725136000567/image_07eh0v7i7l5e35past79gagb38/-FJPG/237737-001_DET_2.jpg</t>
  </si>
  <si>
    <t>https://dd3ka9h4chfr8.cloudfront.net/image/725136000567/image_okshbdkpud3ovd6bv1su5vjk6v/-FJPG/237737-001_BCK_1.jpg</t>
  </si>
  <si>
    <t>https://dd3ka9h4chfr8.cloudfront.net/image/725136000567/image_lov1s64ant1i522l3hbi87vb4m/-FJPG/237737-001_DET_1.jpg</t>
  </si>
  <si>
    <t>https://dd3ka9h4chfr8.cloudfront.net/image/725136000567/image_rv0dh97rn97gj59dias64nqp62/-FJPG/237737-001_DET_3.jpg</t>
  </si>
  <si>
    <t>https://dd3ka9h4chfr8.cloudfront.net/image/725136000567/image_dleq6fmmb54it1v9n0jgoiv632/-FJPG/237737-001_OPN_1.jpg</t>
  </si>
  <si>
    <t>https://dd3ka9h4chfr8.cloudfront.net/image/725136000567/image_a1asvhvbfd7ar33t2shjtu935a/-FJPG/237737-001_DET_4.jpg</t>
  </si>
  <si>
    <t>https://dd3ka9h4chfr8.cloudfront.net/image/725136000567/image_r7hqvpio5p2jj5jha6vor8a82m/-FJPG/237737-001_DET_5.jpg</t>
  </si>
  <si>
    <t>https://dd3ka9h4chfr8.cloudfront.net/image/725136000567/image_1ald0mufgd6913r5o1q6da7729/-FJPG/237737-001_DET_6.jpg</t>
  </si>
  <si>
    <t>https://dd3ka9h4chfr8.cloudfront.net/image/725136000567/image_7pfvv9u1r57btb1qgepfaes56b/-FJPG/237737-001_DET_7.jpg</t>
  </si>
  <si>
    <t>https://dd3ka9h4chfr8.cloudfront.net/image/725136000567/image_jjf51ttq6l19r8d8p81tlb2i57/-FJPG/237737-001_DET_8.jpg</t>
  </si>
  <si>
    <t>https://dd3ka9h4chfr8.cloudfront.net/image/725136000567/image_c7iachk6nd6rf57dcnmnh9io0k/-FJPG/237737-001_DET_9.tif</t>
  </si>
  <si>
    <t>https://dd3ka9h4chfr8.cloudfront.net/image/725136000567/image_3j681j52f545f3s4tl3ngi547b/-FJPG/237737-001_DET_10.tif</t>
  </si>
  <si>
    <t>https://dd3ka9h4chfr8.cloudfront.net/image/725136000567/image_8vk5j7i84p1o59run9q5e3fg3t/-FJPG/237737-001_ESS.tif</t>
  </si>
  <si>
    <t>https://dd3ka9h4chfr8.cloudfront.net/image/725136000567/image_v86g0almfh61d884l6fl6hq72a/-FJPG/237737-001_OPN_2.jpg</t>
  </si>
  <si>
    <t>Galini</t>
  </si>
  <si>
    <t>Sliding</t>
  </si>
  <si>
    <t>237803-001</t>
  </si>
  <si>
    <t>Halston Chair With Ottoman - Heirloom Sienna</t>
  </si>
  <si>
    <t>https://dd3ka9h4chfr8.cloudfront.net/image/725136000567/image_cn16i6p9v57hffc7g8favca868/-S150x150-FJPG/237803-001_PRM_1.jpg</t>
  </si>
  <si>
    <t>https://dd3ka9h4chfr8.cloudfront.net/image/725136000567/image_fjobpgainl09b63krrah24jm54/-FJPG/237803-001_FRT_1.jpg</t>
  </si>
  <si>
    <t>https://dd3ka9h4chfr8.cloudfront.net/image/725136000567/image_cn16i6p9v57hffc7g8favca868/-FJPG/237803-001_PRM_1.jpg</t>
  </si>
  <si>
    <t>https://dd3ka9h4chfr8.cloudfront.net/image/725136000567/image_92325i5uj91vvejemevsfqsg31/-FJPG/237803-001_SID_1.jpg</t>
  </si>
  <si>
    <t>https://dd3ka9h4chfr8.cloudfront.net/image/725136000567/image_jfav54h6e57918rsqoqai8hm62/-FJPG/237803-001_ESS_1.jpg</t>
  </si>
  <si>
    <t>https://dd3ka9h4chfr8.cloudfront.net/image/725136000567/image_3q9fira92l7fh4hf8vf2bijm1c/-FJPG/237803-001_BCK_1.jpg</t>
  </si>
  <si>
    <t>https://dd3ka9h4chfr8.cloudfront.net/image/725136000567/image_v00v4bs1gl0cj52i4022dqls0f/-FJPG/237803-001_DET_1.jpg</t>
  </si>
  <si>
    <t>https://dd3ka9h4chfr8.cloudfront.net/image/725136000567/image_doiltsboa525rc01rrjpjjut38/-FJPG/237803-001_PRM_2.jpg</t>
  </si>
  <si>
    <t>237803-003</t>
  </si>
  <si>
    <t>Halston Chair With Ottoman - Heirloom Black</t>
  </si>
  <si>
    <t>https://dd3ka9h4chfr8.cloudfront.net/image/725136000567/image_c5n2efrkkd3jl2786m5arlef7m/-S150x150-FJPG/237803-003_PRM_1.jpg</t>
  </si>
  <si>
    <t>https://dd3ka9h4chfr8.cloudfront.net/image/725136000567/image_4rodtcqp953ktfsl4177uuu06v/-FJPG/237803-003_FRT_1.jpg</t>
  </si>
  <si>
    <t>https://dd3ka9h4chfr8.cloudfront.net/image/725136000567/image_c5n2efrkkd3jl2786m5arlef7m/-FJPG/237803-003_PRM_1.jpg</t>
  </si>
  <si>
    <t>https://dd3ka9h4chfr8.cloudfront.net/image/725136000567/image_u47m1p4k2l3uf24518s87h5329/-FJPG/237803-003_SID_1.jpg</t>
  </si>
  <si>
    <t>https://dd3ka9h4chfr8.cloudfront.net/image/725136000567/image_r10vro6nf95cr53nirvq1c706l/-FJPG/237803-003_ESS_1.jpg</t>
  </si>
  <si>
    <t>https://dd3ka9h4chfr8.cloudfront.net/image/725136000567/image_0vc3ti5aj918t8gg6is59mjp51/-FJPG/237803-003_BCK_1.jpg</t>
  </si>
  <si>
    <t>https://dd3ka9h4chfr8.cloudfront.net/image/725136000567/image_gfencvhh2l65leuuk36l9mc10l/-FJPG/237803-003_DET_1.jpg</t>
  </si>
  <si>
    <t>https://dd3ka9h4chfr8.cloudfront.net/image/725136000567/image_joohm4h6il1ifedems5mpdg14o/-FJPG/237803-003_PRM_2.jpg</t>
  </si>
  <si>
    <t>237803-004</t>
  </si>
  <si>
    <t>Halston Chair With Ottoman - Palermo Drift</t>
  </si>
  <si>
    <t>Dramatically tufted and angled for comfort, this Seventies-inspired sling seat is made from thick-cut top-grain leather in an earthy taupe, with wide brown ash framing. A plump, pronounced grain accentuates leather's natural markings for a supple, lived-in look. Paired with a matching ottoman for a complete lounging experience.</t>
  </si>
  <si>
    <t>https://dd3ka9h4chfr8.cloudfront.net/image/725136000567/image_pc4ps8rsdp1g3859ck48rsot6g/-S150x150-FJPG/237803-004_PRM_1.jpg</t>
  </si>
  <si>
    <t>https://dd3ka9h4chfr8.cloudfront.net/image/725136000567/image_sspqjsa6551kj836bd1fu36c3e/-FJPG/237803-004_FRT_1.jpg</t>
  </si>
  <si>
    <t>https://dd3ka9h4chfr8.cloudfront.net/image/725136000567/image_pc4ps8rsdp1g3859ck48rsot6g/-FJPG/237803-004_PRM_1.jpg</t>
  </si>
  <si>
    <t>https://dd3ka9h4chfr8.cloudfront.net/image/725136000567/image_rohf3p0bfd75p9r266h98nmi2i/-FJPG/237803-004_SID_1.jpg</t>
  </si>
  <si>
    <t>https://dd3ka9h4chfr8.cloudfront.net/image/725136000567/image_mn2l3b3kg93mb22mtar51e901h/-FJPG/237803-004_DET_2.jpg</t>
  </si>
  <si>
    <t>https://dd3ka9h4chfr8.cloudfront.net/image/725136000567/image_ooch0rc3990rrdv1n2ub1p7d3r/-FJPG/237803-004_BCK_1.jpg</t>
  </si>
  <si>
    <t>https://dd3ka9h4chfr8.cloudfront.net/image/725136000567/image_p16np0i8ll7il2v7jm1guk7m3n/-FJPG/237803-004_DET_1.jpg</t>
  </si>
  <si>
    <t>https://dd3ka9h4chfr8.cloudfront.net/image/725136000567/image_r4n10rf8ql7llfcu75m10lgb12/-FJPG/237803-004_DET_3.jpg</t>
  </si>
  <si>
    <t>237906-002</t>
  </si>
  <si>
    <t>Bahari Sideboard - Light Warm Maple Veneer</t>
  </si>
  <si>
    <t>Light Warm Maple Veneer</t>
  </si>
  <si>
    <t>Light Maple Veneer</t>
  </si>
  <si>
    <t>Carving detail adds depth and texture to this simple, streamlined design. Made from Guanacaste with a light, natural finish, bringing rich character and an organic look to any room.</t>
  </si>
  <si>
    <t>https://dd3ka9h4chfr8.cloudfront.net/image/725136000567/image_lttqt6l72t0lne6lqlnpds0d3i/-S150x150-FJPG/237906-002_PRM_1.jpg</t>
  </si>
  <si>
    <t>https://dd3ka9h4chfr8.cloudfront.net/image/725136000567/image_us31e7k5jt0opdupjddcucr34l/-FJPG/237906-002_FRT_1.jpg</t>
  </si>
  <si>
    <t>https://dd3ka9h4chfr8.cloudfront.net/image/725136000567/image_lttqt6l72t0lne6lqlnpds0d3i/-FJPG/237906-002_PRM_1.jpg</t>
  </si>
  <si>
    <t>https://dd3ka9h4chfr8.cloudfront.net/image/725136000567/image_csnou3o0857cd274m6an0thl4n/-FJPG/237906-002_SID_1.jpg</t>
  </si>
  <si>
    <t>https://dd3ka9h4chfr8.cloudfront.net/image/725136000567/image_tghcp657ol4638siob8knbv85i/-FJPG/237906-002_ESS.tif</t>
  </si>
  <si>
    <t>https://dd3ka9h4chfr8.cloudfront.net/image/725136000567/image_5ag6415q5t6mdfotdt1c398d5m/-FJPG/237906-002_DET_2.jpg</t>
  </si>
  <si>
    <t>https://dd3ka9h4chfr8.cloudfront.net/image/725136000567/image_45ohj9o91d3v33tj7dorgrab2k/-FJPG/237906-002_BCK_1.jpg</t>
  </si>
  <si>
    <t>https://dd3ka9h4chfr8.cloudfront.net/image/725136000567/image_54lml9v6rt76t0ehgubgbpf257/-FJPG/237906-002_DET_1.jpg</t>
  </si>
  <si>
    <t>https://dd3ka9h4chfr8.cloudfront.net/image/725136000567/image_1upts8hhu92ih3ltb0t823hn3h/-FJPG/237906-002_DET_3.jpg</t>
  </si>
  <si>
    <t>https://dd3ka9h4chfr8.cloudfront.net/image/725136000567/image_mnt4v459752l3277ae90tjsc62/-FJPG/237906-002_OPN_1.jpg</t>
  </si>
  <si>
    <t>https://dd3ka9h4chfr8.cloudfront.net/image/725136000567/image_06abepaevd24942pl8i3td8l4q/-FJPG/237906-002_TOP_1.jpg</t>
  </si>
  <si>
    <t>https://dd3ka9h4chfr8.cloudfront.net/image/725136000567/image_h3ab9kvmah48tf4rtmhmlp4f57/-FJPG/237906-002_DET_8.jpg</t>
  </si>
  <si>
    <t>https://dd3ka9h4chfr8.cloudfront.net/image/725136000567/image_j1sf25720p5k500fan3qv5en2a/-FJPG/237906-002_DET_9.tif</t>
  </si>
  <si>
    <t>https://dd3ka9h4chfr8.cloudfront.net/image/725136000567/image_vi956pj0up2ph99v09vaemgv2s/-FJPG/237906-002_DET_9.jpg</t>
  </si>
  <si>
    <t>https://dd3ka9h4chfr8.cloudfront.net/image/725136000567/image_ttp0fdis3958beap7ad15g5u68/-FJPG/FHMPRJ-013_SCENE_1.tif</t>
  </si>
  <si>
    <t>30.25"</t>
  </si>
  <si>
    <t>Bahari</t>
  </si>
  <si>
    <t>237944-001</t>
  </si>
  <si>
    <t>Soho Dining Table - Aged Natural Oak Veneer</t>
  </si>
  <si>
    <t>A Parsons-style dining table is defined by heavy proportions and angled, over-scaled legs. Crafted from reclaimed wood and finished with an aged natural oak stain to showcase natural cracks and patches for added character.</t>
  </si>
  <si>
    <t>https://dd3ka9h4chfr8.cloudfront.net/image/725136000567/image_55ieoe4h6t5lf7t2k4rnt6c04f/-S150x150-FJPG/237944-001_PRM_1.jpg</t>
  </si>
  <si>
    <t>https://dd3ka9h4chfr8.cloudfront.net/image/725136000567/image_q67vd5mqeh7ej0rhqalidg1p71/-FJPG/237944-001_FRT_1.jpg</t>
  </si>
  <si>
    <t>https://dd3ka9h4chfr8.cloudfront.net/image/725136000567/image_55ieoe4h6t5lf7t2k4rnt6c04f/-FJPG/237944-001_PRM_1.jpg</t>
  </si>
  <si>
    <t>https://dd3ka9h4chfr8.cloudfront.net/image/725136000567/image_04vp2q6f3d2lf4lkggs41rsa6v/-FJPG/237944-001_SID_1.jpg</t>
  </si>
  <si>
    <t>https://dd3ka9h4chfr8.cloudfront.net/image/725136000567/image_gva92qntct0ctbk57a7e5b250k/-FJPG/237944-001_ESS.tif</t>
  </si>
  <si>
    <t>https://dd3ka9h4chfr8.cloudfront.net/image/725136000567/image_hcqlnqoait159bp5fq8c7sh336/-FJPG/237944-001_DET_2.jpg</t>
  </si>
  <si>
    <t>https://dd3ka9h4chfr8.cloudfront.net/image/725136000567/image_kvhr17ccft2r9212omq6ubne6r/-FJPG/237944-001_DET_1.jpg</t>
  </si>
  <si>
    <t>https://dd3ka9h4chfr8.cloudfront.net/image/725136000567/image_go39b5nvad563fs0ba78r0jc7v/-FJPG/237944-001_TOP_1.jpg</t>
  </si>
  <si>
    <t>https://dd3ka9h4chfr8.cloudfront.net/image/725136000567/image_7t1a3kjf0l5i9avq97v58rqg05/-FJPG/237944-001_DET_4.jpg</t>
  </si>
  <si>
    <t>https://dd3ka9h4chfr8.cloudfront.net/image/725136000567/image_8ingive60h6hf6pc3j79u9h77u/-FJPG/237944-001_DET_5.jpg</t>
  </si>
  <si>
    <t>https://dd3ka9h4chfr8.cloudfront.net/image/725136000567/image_nva4mt6cbh0t1fvnc12s2u9518/-FJPG/FHMPRJ016_SCENE-1-CROP-1.tif</t>
  </si>
  <si>
    <t>Soho</t>
  </si>
  <si>
    <t>3.13"</t>
  </si>
  <si>
    <t>237973-001</t>
  </si>
  <si>
    <t>Delray Slipcover Sofa-97" - Evere Creme</t>
  </si>
  <si>
    <t>Helm</t>
  </si>
  <si>
    <t>Evere Creme</t>
  </si>
  <si>
    <t>Mocha</t>
  </si>
  <si>
    <t>51% Rayon</t>
  </si>
  <si>
    <t>22% Linen</t>
  </si>
  <si>
    <t>16% Polyester</t>
  </si>
  <si>
    <t>Proudly built by American makers using US-sourced materials and mechanisms. Slightly flared and rolled arms lend a traditional look to this upholstered sofa. Slipcovered styles are fully removable and can be dry cleaned. Performance fabrics are specially created to withstand spills, stains, high traffic and wear, ensuring long-term comfort and unmatched durability. Crafted in the USA.</t>
  </si>
  <si>
    <t>https://dd3ka9h4chfr8.cloudfront.net/image/725136000567/image_qjsmic54fl4np1u14dm9s6kp0t/-S150x150-FJPG/237973-001_PRM_1.jpg</t>
  </si>
  <si>
    <t>https://dd3ka9h4chfr8.cloudfront.net/image/725136000567/image_ca8mqnh4f55l3e8j5mrd25nj75/-FJPG/237973-001_FRT_1.jpg</t>
  </si>
  <si>
    <t>https://dd3ka9h4chfr8.cloudfront.net/image/725136000567/image_qjsmic54fl4np1u14dm9s6kp0t/-FJPG/237973-001_PRM_1.jpg</t>
  </si>
  <si>
    <t>https://dd3ka9h4chfr8.cloudfront.net/image/725136000567/image_ci1ldmb0753tf06p0h1ukdmj2v/-FJPG/237973-001_SID_1.jpg</t>
  </si>
  <si>
    <t>https://dd3ka9h4chfr8.cloudfront.net/image/725136000567/image_qsc4kg5nqd42nfketkmkf1f65f/-FJPG/237973-001_ESS_1.jpg</t>
  </si>
  <si>
    <t>https://dd3ka9h4chfr8.cloudfront.net/image/725136000567/image_s8td5ppe8p3grej18scc239v0k/-FJPG/237973-001_DET_2.jpg</t>
  </si>
  <si>
    <t>https://dd3ka9h4chfr8.cloudfront.net/image/725136000567/image_djgfd1bvj16872jrbrv8ebq137/-FJPG/237973-001_BCK_1.jpg</t>
  </si>
  <si>
    <t>https://dd3ka9h4chfr8.cloudfront.net/image/725136000567/image_u449n0mlrl2150qpg10hu64m0d/-FJPG/237973-001_INF_1.jpg</t>
  </si>
  <si>
    <t>https://dd3ka9h4chfr8.cloudfront.net/image/725136000567/image_pc0klm31452fbbafqk6k04nl7c/-FJPG/237973-001_DET_1.jpg</t>
  </si>
  <si>
    <t>https://dd3ka9h4chfr8.cloudfront.net/image/725136000567/image_86n7tjgn0128f1dh3smu3cel64/-FJPG/237973-001_DET_3.jpg</t>
  </si>
  <si>
    <t>https://dd3ka9h4chfr8.cloudfront.net/image/725136000567/image_nfijhh1fol4992s1m9vu0ccu6s/-FJPG/237973-001_DET_4.jpg</t>
  </si>
  <si>
    <t>https://dd3ka9h4chfr8.cloudfront.net/image/725136000567/image_68jjjjkfb95jf2304g0jmcoj3d/-FJPG/237973-001_DET_5.jpg</t>
  </si>
  <si>
    <t>https://dd3ka9h4chfr8.cloudfront.net/image/725136000567/image_6d1akdj2gp3o3cfffpcb1ils4t/-FJPG/237973-001_ROM_1.jpg</t>
  </si>
  <si>
    <t>1 Slipcover Sofa</t>
  </si>
  <si>
    <t>84.00"</t>
  </si>
  <si>
    <t>Delray</t>
  </si>
  <si>
    <t>75% Polyurethane Foam Pad, 25% Polyester Fiber</t>
  </si>
  <si>
    <t>237988-001</t>
  </si>
  <si>
    <t>Hampton Swivel Chair - Delta Sand</t>
  </si>
  <si>
    <t>Delta Sand</t>
  </si>
  <si>
    <t>97.42% Olefin 2.58% Polyester</t>
  </si>
  <si>
    <t>Proudly built by American makers using US-sourced materials and mechanisms. This classic swivel chair features clean track arms, PFAS-free performance fabric, feather filling and a 360-degree swivel for comfort and functionality.  Performance fabrics are specially created to withstand spills, stains, high traffic and wear, ensuring long-term comfort and unmatched durability. Crafted in the USA.</t>
  </si>
  <si>
    <t>https://dd3ka9h4chfr8.cloudfront.net/image/725136000567/image_plg7n0fpdl6qv0tkjpshdr9263/-S150x150-FJPG/237988-001_PRM_1.jpg</t>
  </si>
  <si>
    <t>https://dd3ka9h4chfr8.cloudfront.net/image/725136000567/image_fi7nmhk8nd6hl4o998n9pc7o28/-FJPG/237988-001_FRT_1.jpg</t>
  </si>
  <si>
    <t>https://dd3ka9h4chfr8.cloudfront.net/image/725136000567/image_plg7n0fpdl6qv0tkjpshdr9263/-FJPG/237988-001_PRM_1.jpg</t>
  </si>
  <si>
    <t>https://dd3ka9h4chfr8.cloudfront.net/image/725136000567/image_f9n28vudkh4rpes46mcb9qf71u/-FJPG/237988-001_SID_1.jpg</t>
  </si>
  <si>
    <t>https://dd3ka9h4chfr8.cloudfront.net/image/725136000567/image_iq98nd661p1oj97r2suru7l40n/-FJPG/237988-001_ESS_1.jpg</t>
  </si>
  <si>
    <t>https://dd3ka9h4chfr8.cloudfront.net/image/725136000567/image_7bl4976idh76pclc145cb3cj4g/-FJPG/237988-001_DET_2.jpg</t>
  </si>
  <si>
    <t>https://dd3ka9h4chfr8.cloudfront.net/image/725136000567/image_g81sa0goal6qh61g4n9sufbv73/-FJPG/237988-001_BCK_1.jpg</t>
  </si>
  <si>
    <t>https://dd3ka9h4chfr8.cloudfront.net/image/725136000567/image_vl08gpm5cd3g57g4obckvr1e17/-FJPG/237988-001_INF_1.jpg</t>
  </si>
  <si>
    <t>https://dd3ka9h4chfr8.cloudfront.net/image/725136000567/image_iqj801la3l5vp073k8s47ln725/-FJPG/237988-001_DET_1.jpg</t>
  </si>
  <si>
    <t>https://dd3ka9h4chfr8.cloudfront.net/image/725136000567/image_3g9tefimad12p0htve3ss78c54/-FJPG/237988-001_DET_3.jpg</t>
  </si>
  <si>
    <t>https://dd3ka9h4chfr8.cloudfront.net/image/725136000567/image_e178pda9ap2kvenp6r80nqid3g/-FJPG/237988-001_TOP_1.jpg</t>
  </si>
  <si>
    <t>https://dd3ka9h4chfr8.cloudfront.net/image/725136000567/image_j2irpg3qs57b3csvvhttk5e15f/-FJPG/237988-001_DET_4.jpg</t>
  </si>
  <si>
    <t>https://dd3ka9h4chfr8.cloudfront.net/image/725136000567/image_2qs7rlqm0d6fvdvidks623qk47/-FJPG/237988-001_DET_5.jpg</t>
  </si>
  <si>
    <t>https://dd3ka9h4chfr8.cloudfront.net/image/725136000567/image_n2o9pkqqsh3ph3ch96gt0s1i70/-FJPG/237988-001_DET_6.jpg</t>
  </si>
  <si>
    <t>https://dd3ka9h4chfr8.cloudfront.net/image/725136000567/image_h6unc01v7521lcdnsmrctaua3b/-FJPG/237988-001_DET_7.jpg</t>
  </si>
  <si>
    <t>1 Swivel Chair</t>
  </si>
  <si>
    <t>Hampton</t>
  </si>
  <si>
    <t>237989-001</t>
  </si>
  <si>
    <t>Hampton Slipcover Swivel Chair - Evere Creme</t>
  </si>
  <si>
    <t>Proudly built by American makers using US-sourced materials and mechanisms. This classic swivel chair features clean track arms, a high, supportive back, feather filling and a 360-degree swivel. Upholstered with a fully removable slipcover of PFAS-free performance fabric that can be dry-cleaned for easy care. Performance fabrics are specially created to withstand spills, stains, high traffic and wear, ensuring long-term comfort and unmatched durability. Crafted in the USA.</t>
  </si>
  <si>
    <t>https://dd3ka9h4chfr8.cloudfront.net/image/725136000567/image_ith2q2fhnl2f38pt44ssb8g36k/-S150x150-FJPG/237989-001_PRM_1.jpg</t>
  </si>
  <si>
    <t>https://dd3ka9h4chfr8.cloudfront.net/image/725136000567/image_gf22mrapbd2ht030gr6n7ee573/-FJPG/237989-001_FRT_1.jpg</t>
  </si>
  <si>
    <t>https://dd3ka9h4chfr8.cloudfront.net/image/725136000567/image_ith2q2fhnl2f38pt44ssb8g36k/-FJPG/237989-001_PRM_1.jpg</t>
  </si>
  <si>
    <t>https://dd3ka9h4chfr8.cloudfront.net/image/725136000567/image_0u8cfhkeap1ad3lc4l49sv9403/-FJPG/237989-001_SID_1.jpg</t>
  </si>
  <si>
    <t>https://dd3ka9h4chfr8.cloudfront.net/image/725136000567/image_5a3j3lm3g53n98roo9jm3m1o08/-FJPG/237989-001_ESS_1.jpg</t>
  </si>
  <si>
    <t>https://dd3ka9h4chfr8.cloudfront.net/image/725136000567/image_i8in58nqnh3m1co8b1hd40lm2h/-FJPG/237989-001_DET_2.jpg</t>
  </si>
  <si>
    <t>https://dd3ka9h4chfr8.cloudfront.net/image/725136000567/image_mhg3mhufo551befvsvt9uvtt0c/-FJPG/237989-001_BCK_1.jpg</t>
  </si>
  <si>
    <t>https://dd3ka9h4chfr8.cloudfront.net/image/725136000567/image_kgvpntllvl4rv81ef2fba3mr5a/-FJPG/237989-001_INF_1.jpg</t>
  </si>
  <si>
    <t>https://dd3ka9h4chfr8.cloudfront.net/image/725136000567/image_ut6kp081at36r5h2iml67m184l/-FJPG/237989-001_DET_1.jpg</t>
  </si>
  <si>
    <t>https://dd3ka9h4chfr8.cloudfront.net/image/725136000567/image_5h4ib3r0hl48v3rcjjk0sa591n/-FJPG/237989-001_DET_3.jpg</t>
  </si>
  <si>
    <t>https://dd3ka9h4chfr8.cloudfront.net/image/725136000567/image_c7mq1sk4gd3419rd8lkn0uj25i/-FJPG/237989-001_DET_4.jpg</t>
  </si>
  <si>
    <t>https://dd3ka9h4chfr8.cloudfront.net/image/725136000567/image_1g250r0aql1155lgj1f0l4eu28/-FJPG/237989-001_DET_5.jpg</t>
  </si>
  <si>
    <t>https://dd3ka9h4chfr8.cloudfront.net/image/725136000567/image_lgf8ceivit6vjbkt7rnadidn5t/-FJPG/237989-001_DET_6.jpg</t>
  </si>
  <si>
    <t>https://dd3ka9h4chfr8.cloudfront.net/image/725136000567/image_bbismurhh11at761rqm806co6m/-FJPG/237989-001_DET_7.jpg</t>
  </si>
  <si>
    <t>https://dd3ka9h4chfr8.cloudfront.net/image/725136000567/image_fpt1i5mbhh2s936e91qafakp61/-FJPG/FHMPRJ-007_SCENE_24B.tif</t>
  </si>
  <si>
    <t>237989-003</t>
  </si>
  <si>
    <t>Hampton Slipcover Swivel Chair - Antwerp Cafe</t>
  </si>
  <si>
    <t>https://dd3ka9h4chfr8.cloudfront.net/image/725136000567/image_bsnrmnjokh7hp2g9co6qn9i27u/-S150x150-FJPG/237989-003_PRM_1.jpg</t>
  </si>
  <si>
    <t>https://dd3ka9h4chfr8.cloudfront.net/image/725136000567/image_af351cr4355fven4nu9a75pb4i/-FJPG/237989-003_FRT_1.jpg</t>
  </si>
  <si>
    <t>https://dd3ka9h4chfr8.cloudfront.net/image/725136000567/image_bsnrmnjokh7hp2g9co6qn9i27u/-FJPG/237989-003_PRM_1.jpg</t>
  </si>
  <si>
    <t>https://dd3ka9h4chfr8.cloudfront.net/image/725136000567/image_ace3ds6t6d76n8gkeuiqbten5l/-FJPG/237989-003_SID_1.jpg</t>
  </si>
  <si>
    <t>https://dd3ka9h4chfr8.cloudfront.net/image/725136000567/image_3h6p99vrj92jp6oq0h6pvnep3r/-FJPG/237989-003_ESS.tif</t>
  </si>
  <si>
    <t>https://dd3ka9h4chfr8.cloudfront.net/image/725136000567/image_m34bgueho543lb56r5h9g7dq1n/-FJPG/237989-003_DET_2.jpg</t>
  </si>
  <si>
    <t>https://dd3ka9h4chfr8.cloudfront.net/image/725136000567/image_301pcchijl3lbf4c4dv6jp7856/-FJPG/237989-003_BCK_1.jpg</t>
  </si>
  <si>
    <t>https://dd3ka9h4chfr8.cloudfront.net/image/725136000567/image_8bdclpkpop11n4io44e7a22d11/-FJPG/237989-003_DET_3.jpg</t>
  </si>
  <si>
    <t>https://dd3ka9h4chfr8.cloudfront.net/image/725136000567/image_d8bh4c0bfl3pn8s1oc52ip9l27/-FJPG/237989-003_TOP_1.jpg</t>
  </si>
  <si>
    <t>https://dd3ka9h4chfr8.cloudfront.net/image/725136000567/image_r0ao23v02d4010jm614mt02j2e/-FJPG/237989-003_DET_4.jpg</t>
  </si>
  <si>
    <t>https://dd3ka9h4chfr8.cloudfront.net/image/725136000567/image_ffa57ibh796c5cdj6hosl97s63/-FJPG/237989-003_DET_5.jpg</t>
  </si>
  <si>
    <t>https://dd3ka9h4chfr8.cloudfront.net/image/725136000567/image_omhqgjrhlt1i38ofdnl8gibm6s/-FJPG/237989-003_DET_6.jpg</t>
  </si>
  <si>
    <t>237992-001</t>
  </si>
  <si>
    <t>Hampton Sofa-93" - Delta Sand</t>
  </si>
  <si>
    <t>Proudly built by American makers using US-sourced materials and mechanisms. This sofa features clean track arms and PFAS-free performance fabric, with feather filling for a plush sit. Performance fabrics are specially created to withstand spills, stains, high traffic and wear, ensuring long-term comfort and unmatched durability. Crafted in the USA.</t>
  </si>
  <si>
    <t>https://dd3ka9h4chfr8.cloudfront.net/image/725136000567/image_uocp0kgjhd60b1fdnpj4mha46r/-S150x150-FJPG/237992-001_PRM_1.jpg</t>
  </si>
  <si>
    <t>https://dd3ka9h4chfr8.cloudfront.net/image/725136000567/image_nhlcibpull0e34isa2eku6m265/-FJPG/237992-001_FRT_1.jpg</t>
  </si>
  <si>
    <t>https://dd3ka9h4chfr8.cloudfront.net/image/725136000567/image_uocp0kgjhd60b1fdnpj4mha46r/-FJPG/237992-001_PRM_1.jpg</t>
  </si>
  <si>
    <t>https://dd3ka9h4chfr8.cloudfront.net/image/725136000567/image_atsg5qoanh7m5am16qr4i5m52f/-FJPG/237992-001_SID_1.jpg</t>
  </si>
  <si>
    <t>https://dd3ka9h4chfr8.cloudfront.net/image/725136000567/image_mu7bseaaf93uh7b7ajrl7k9l46/-FJPG/237992-001_ESS_1.jpg</t>
  </si>
  <si>
    <t>https://dd3ka9h4chfr8.cloudfront.net/image/725136000567/image_c3cd3ro9t13kl1228evdb1i30h/-FJPG/237992-001_DET_2.jpg</t>
  </si>
  <si>
    <t>https://dd3ka9h4chfr8.cloudfront.net/image/725136000567/image_fmecivjutl6lr6cmu34ogbsb1e/-FJPG/237992-001_BCK_1.jpg</t>
  </si>
  <si>
    <t>https://dd3ka9h4chfr8.cloudfront.net/image/725136000567/image_v7d3q3sglt01b5vlvk1r3bp94a/-FJPG/237992-001_INF_1.jpg</t>
  </si>
  <si>
    <t>https://dd3ka9h4chfr8.cloudfront.net/image/725136000567/image_beqgnsnc1t33n7clm7kof6nh6q/-FJPG/237992-001_DET_1.jpg</t>
  </si>
  <si>
    <t>https://dd3ka9h4chfr8.cloudfront.net/image/725136000567/image_23fckue38h6m1c8o3flrtd4662/-FJPG/237992-001_DET_3.jpg</t>
  </si>
  <si>
    <t>https://dd3ka9h4chfr8.cloudfront.net/image/725136000567/image_0r2qh0qts10eraf1m43iftep53/-FJPG/237992-001_DET_4.jpg</t>
  </si>
  <si>
    <t>https://dd3ka9h4chfr8.cloudfront.net/image/725136000567/image_uu4a2b7mfd26reqk0cves06d63/-FJPG/237992-001_DET_5.jpg</t>
  </si>
  <si>
    <t>https://dd3ka9h4chfr8.cloudfront.net/image/725136000567/image_cihvl85qih6cjd2ophrrvik11r/-FJPG/237992-001_DET_6.jpg</t>
  </si>
  <si>
    <t>https://dd3ka9h4chfr8.cloudfront.net/image/725136000567/image_s3ms8r8ldp06lcmsgoul0j3m5t/-FJPG/237992-001_DET_7.jpg</t>
  </si>
  <si>
    <t>https://dd3ka9h4chfr8.cloudfront.net/image/725136000567/image_uq46m29l6h5md32pth5mi4gk41/-FJPG/237992-001_DET_8.jpg</t>
  </si>
  <si>
    <t>https://dd3ka9h4chfr8.cloudfront.net/image/725136000567/image_jac3k9nsv56pvfpg202t9pov57/-FJPG/237992-001_DET_9.jpg</t>
  </si>
  <si>
    <t>https://dd3ka9h4chfr8.cloudfront.net/image/725136000567/image_ool0s45hq963h6liutn96nfc44/-FJPG/237992-001_DET_10.jpg</t>
  </si>
  <si>
    <t>1 Sofa</t>
  </si>
  <si>
    <t>84.75"</t>
  </si>
  <si>
    <t>238008-001</t>
  </si>
  <si>
    <t>Sylvie Sideboard - Brushed Dark Brown</t>
  </si>
  <si>
    <t>Brushed Dark Brown</t>
  </si>
  <si>
    <t>Made from rich oak, a spacious sideboard features wrap stretchers for a fluid, design-forward touch.</t>
  </si>
  <si>
    <t>https://dd3ka9h4chfr8.cloudfront.net/image/725136000567/image_o6r9or8rf10837lt8pjs8d5r53/-S150x150-FJPG/238008-001_PRM_1.jpg</t>
  </si>
  <si>
    <t>https://dd3ka9h4chfr8.cloudfront.net/image/725136000567/image_pnq0n51hu95q7cd3eoi46nvf4o/-FJPG/238008-001_FRT_1.jpg</t>
  </si>
  <si>
    <t>https://dd3ka9h4chfr8.cloudfront.net/image/725136000567/image_o6r9or8rf10837lt8pjs8d5r53/-FJPG/238008-001_PRM_1.jpg</t>
  </si>
  <si>
    <t>https://dd3ka9h4chfr8.cloudfront.net/image/725136000567/image_pui6h4c1sd1df89id7djdssr6a/-FJPG/238008-001_SID_1.jpg</t>
  </si>
  <si>
    <t>https://dd3ka9h4chfr8.cloudfront.net/image/725136000567/image_5roaqhc1at2i35pna2aip0701b/-FJPG/238008-001_ESS_1.tif</t>
  </si>
  <si>
    <t>https://dd3ka9h4chfr8.cloudfront.net/image/725136000567/image_tq9r5fd15p3i1dtfa2nvg0q32c/-FJPG/238008-001_DET_2.jpg</t>
  </si>
  <si>
    <t>https://dd3ka9h4chfr8.cloudfront.net/image/725136000567/image_5fkkndh6410c39tkqesql4v917/-FJPG/238008-001_BCK_1.jpg</t>
  </si>
  <si>
    <t>https://dd3ka9h4chfr8.cloudfront.net/image/725136000567/image_tp96q1d21h0df84n99pi8bhg6k/-FJPG/238008-001_DET_1.jpg</t>
  </si>
  <si>
    <t>https://dd3ka9h4chfr8.cloudfront.net/image/725136000567/image_6isb44qa296o54bkhq5g10gv4g/-FJPG/238008-001_DET_3.jpg</t>
  </si>
  <si>
    <t>https://dd3ka9h4chfr8.cloudfront.net/image/725136000567/image_bid475m2jh7djaqvp9nf8hhh57/-FJPG/238008-001_OPN_1.jpg</t>
  </si>
  <si>
    <t>https://dd3ka9h4chfr8.cloudfront.net/image/725136000567/image_k6pditlu4l52f74jp6bgjdpt7i/-FJPG/238008-001_TOP_1.jpg</t>
  </si>
  <si>
    <t>https://dd3ka9h4chfr8.cloudfront.net/image/725136000567/image_5fgs22ansp7bj665a8fmqu5h55/-FJPG/238008-001_DET_4.jpg</t>
  </si>
  <si>
    <t>https://dd3ka9h4chfr8.cloudfront.net/image/725136000567/image_slolumll8140beklpsno7o466e/-FJPG/238008-001_DET_5.jpg</t>
  </si>
  <si>
    <t>https://dd3ka9h4chfr8.cloudfront.net/image/725136000567/image_jdsm803d8p3n9du7gl0qj72l5c/-FJPG/238008-001_DET_6.jpg</t>
  </si>
  <si>
    <t>https://dd3ka9h4chfr8.cloudfront.net/image/725136000567/image_rv45egr95t6chdki30km8tb568/-FJPG/238008-001_DET_7.jpg</t>
  </si>
  <si>
    <t>https://dd3ka9h4chfr8.cloudfront.net/image/725136000567/image_ra4emq0k1l37j8remtkj033m7t/-FJPG/238008-001_DET_8.jpg</t>
  </si>
  <si>
    <t>https://dd3ka9h4chfr8.cloudfront.net/image/725136000567/image_mfm492dbhp4rr0dagj6dmk070k/-FJPG/238008-001_DET_9.jpg</t>
  </si>
  <si>
    <t>https://dd3ka9h4chfr8.cloudfront.net/image/725136000567/image_rntsrujfm912d1skq4l74umu3g/-FJPG/238008-001_DET_9.tif</t>
  </si>
  <si>
    <t>https://dd3ka9h4chfr8.cloudfront.net/image/725136000567/image_fl03g77ild2413dh765eliil26/-FJPG/238008-001_DET_10.tif</t>
  </si>
  <si>
    <t>Sylvie</t>
  </si>
  <si>
    <t>238144-001</t>
  </si>
  <si>
    <t>Torrington Desk - Umber Oak Resawn</t>
  </si>
  <si>
    <t>Umber Oak Resawn</t>
  </si>
  <si>
    <t>An executive-sized desk of rich brown oak offers generous surface and storage space, while a flip top keeps cords out of sight. Invisible wireless charging for Android and Apple products.</t>
  </si>
  <si>
    <t>https://dd3ka9h4chfr8.cloudfront.net/image/725136000567/image_743e08qad579nck97nn44o2912/-S150x150-FJPG/238144-001_PRM_1.jpg</t>
  </si>
  <si>
    <t>https://dd3ka9h4chfr8.cloudfront.net/image/725136000567/image_99rk846o4t4b99pe0g45pt3103/-FJPG/238144-001_FRT_1.jpg</t>
  </si>
  <si>
    <t>https://dd3ka9h4chfr8.cloudfront.net/image/725136000567/image_743e08qad579nck97nn44o2912/-FJPG/238144-001_PRM_1.jpg</t>
  </si>
  <si>
    <t>https://dd3ka9h4chfr8.cloudfront.net/image/725136000567/image_qan1crd4j17st8s6dc8mlr4072/-FJPG/238144-001_SID_1.jpg</t>
  </si>
  <si>
    <t>https://dd3ka9h4chfr8.cloudfront.net/image/725136000567/image_uioop8bgdl1rheu21t8oi24i13/-FJPG/238144-001_ESS_1.tif</t>
  </si>
  <si>
    <t>https://dd3ka9h4chfr8.cloudfront.net/image/725136000567/image_9ug7oqbqlt5j30qk5sq2s9jn3p/-FJPG/238144-001_DET_2.jpg</t>
  </si>
  <si>
    <t>https://dd3ka9h4chfr8.cloudfront.net/image/725136000567/image_dgqsvmvemp5fb8vqa8gps9jm2v/-FJPG/238144-001_BCK_1.jpg</t>
  </si>
  <si>
    <t>https://dd3ka9h4chfr8.cloudfront.net/image/725136000567/image_v8c46ghcqp1871rhp6n65oic5h/-FJPG/238222-001_DET_1.jpg</t>
  </si>
  <si>
    <t>https://dd3ka9h4chfr8.cloudfront.net/image/725136000567/image_okqkmk30pp62l1rdvrmcoi2v7n/-FJPG/238144-001_DET_5.jpg</t>
  </si>
  <si>
    <t>https://dd3ka9h4chfr8.cloudfront.net/image/725136000567/image_i51hkajerl3l53l1n6sbmb5j2s/-FJPG/238144-001_DET_3.jpg</t>
  </si>
  <si>
    <t>https://dd3ka9h4chfr8.cloudfront.net/image/725136000567/image_f8bbfmmffd4jfemabe38bbnh64/-FJPG/238144-001_OPN_1.jpg</t>
  </si>
  <si>
    <t>https://dd3ka9h4chfr8.cloudfront.net/image/725136000567/image_8andmgrdm96d94otivrqntdc3i/-FJPG/238144-001_TOP_1.jpg</t>
  </si>
  <si>
    <t>https://dd3ka9h4chfr8.cloudfront.net/image/725136000567/image_d6b46cekmp2c3diiptkpit9g6r/-FJPG/238144-001_DET_4.jpg</t>
  </si>
  <si>
    <t>https://dd3ka9h4chfr8.cloudfront.net/image/725136000567/image_npi7umuqj970l00o2v5md8b06i/-FJPG/238144-001_DET_6.jpg</t>
  </si>
  <si>
    <t>https://dd3ka9h4chfr8.cloudfront.net/image/725136000567/image_2eq54rkov90lv3d8vd30sc914r/-FJPG/238144-001_DET_7.jpg</t>
  </si>
  <si>
    <t>https://dd3ka9h4chfr8.cloudfront.net/image/725136000567/image_dlg55c6b9p7rv3tompbn4s9t1u/-FJPG/238144-001_DET_8.jpg</t>
  </si>
  <si>
    <t>https://dd3ka9h4chfr8.cloudfront.net/image/725136000567/image_sikucis6m16kvec0hnoc9sj51s/-FJPG/238144-001_DET_9.jpg</t>
  </si>
  <si>
    <t>https://dd3ka9h4chfr8.cloudfront.net/image/725136000567/image_b33jm1h7r137j2uu796up0ma3s/-FJPG/238144-001_DET_9.tif</t>
  </si>
  <si>
    <t>https://dd3ka9h4chfr8.cloudfront.net/image/725136000567/image_0c5fqpol157jba6c4svjo1e369/-FJPG/238144-001_DET_10.jpg</t>
  </si>
  <si>
    <t>https://dd3ka9h4chfr8.cloudfront.net/image/725136000567/image_q3octlnnkp5099pls5sm7ej939/-FJPG/238144-001_DET_11.jpg</t>
  </si>
  <si>
    <t>https://dd3ka9h4chfr8.cloudfront.net/image/725136000567/image_0ko03kg82965ddbricjs6vad33/-FJPG/238144-001_DET_12.jpg</t>
  </si>
  <si>
    <t>https://dd3ka9h4chfr8.cloudfront.net/image/725136000567/image_6iac9toagd7bb5bp5pmliqtm00/-FJPG/238144-001_ESS.tif</t>
  </si>
  <si>
    <t>17.48"</t>
  </si>
  <si>
    <t>73.98"</t>
  </si>
  <si>
    <t>31.30"</t>
  </si>
  <si>
    <t>16.46"</t>
  </si>
  <si>
    <t>238144-002</t>
  </si>
  <si>
    <t>Torrington Desk - Sandy Oak Resawn</t>
  </si>
  <si>
    <t>An executive-sized desk of resawn oak offers generous surface and storage space, while a flip top keeps cords out of sight. Invisible wireless charging for Android and Apple products.</t>
  </si>
  <si>
    <t>https://dd3ka9h4chfr8.cloudfront.net/image/725136000567/image_ojlebcepmp00p552f0b0fl2i0v/-S150x150-FJPG/238144-002_PRM_1.jpg</t>
  </si>
  <si>
    <t>https://dd3ka9h4chfr8.cloudfront.net/image/725136000567/image_dlg6rhbcqp6t75ipcr9htmbd63/-FJPG/238144-002_FRT_1.jpg</t>
  </si>
  <si>
    <t>https://dd3ka9h4chfr8.cloudfront.net/image/725136000567/image_ojlebcepmp00p552f0b0fl2i0v/-FJPG/238144-002_PRM_1.jpg</t>
  </si>
  <si>
    <t>https://dd3ka9h4chfr8.cloudfront.net/image/725136000567/image_2jfibavact4i38srnl9sl7044d/-FJPG/238144-002_SID_1.jpg</t>
  </si>
  <si>
    <t>https://dd3ka9h4chfr8.cloudfront.net/image/725136000567/image_ko7varodkh1q5bn5uofrgab45d/-FJPG/238144-002_DET_2.jpg</t>
  </si>
  <si>
    <t>https://dd3ka9h4chfr8.cloudfront.net/image/725136000567/image_lf23o1larl2ntfn3jpsdv82027/-FJPG/238144-002_BCK_1.jpg</t>
  </si>
  <si>
    <t>https://dd3ka9h4chfr8.cloudfront.net/image/725136000567/image_kvttgv4pp91fv8204a6vtfsv0g/-FJPG/238144-002_DET_1.jpg</t>
  </si>
  <si>
    <t>https://dd3ka9h4chfr8.cloudfront.net/image/725136000567/image_3ag2t5v8kd4e17lq5psoa4bg25/-FJPG/238144-002_DET_3.jpg</t>
  </si>
  <si>
    <t>https://dd3ka9h4chfr8.cloudfront.net/image/725136000567/image_ofk6o996kh3r942neecrgct45s/-FJPG/238144-002_OPN_1.jpg</t>
  </si>
  <si>
    <t>https://dd3ka9h4chfr8.cloudfront.net/image/725136000567/image_ghfuvk8frd3j5eme87r8ir664l/-FJPG/238144-002_DET_4.jpg</t>
  </si>
  <si>
    <t>https://dd3ka9h4chfr8.cloudfront.net/image/725136000567/image_k1rvrdub4h3dja6n2s9rafsa4j/-FJPG/238144-002_DET_5.jpg</t>
  </si>
  <si>
    <t>https://dd3ka9h4chfr8.cloudfront.net/image/725136000567/image_gioi21pm9t7l94r7js4eer2b4s/-FJPG/238144-002_DET_6.jpg</t>
  </si>
  <si>
    <t>https://dd3ka9h4chfr8.cloudfront.net/image/725136000567/image_r9rread6914lj2p0bdev0tse25/-FJPG/238144-002_DET_7.jpg</t>
  </si>
  <si>
    <t>https://dd3ka9h4chfr8.cloudfront.net/image/725136000567/image_93rjuj3o315617hd29ulocje50/-FJPG/238144-002_DET_8.jpg</t>
  </si>
  <si>
    <t>238149-001</t>
  </si>
  <si>
    <t>Torrington Dining Table - Umber Oak Resawn</t>
  </si>
  <si>
    <t>Umber Oak Veneer</t>
  </si>
  <si>
    <t>The primitive design of this table pairs a waterfall-inspired leg design with large slabs of resawn umber oak for a piece that is both modern and understated.</t>
  </si>
  <si>
    <t>https://dd3ka9h4chfr8.cloudfront.net/image/725136000567/image_6si3gg9k055cl098a6bu8di17j/-S150x150-FJPG/238149-001_PRM_1.jpg</t>
  </si>
  <si>
    <t>https://dd3ka9h4chfr8.cloudfront.net/image/725136000567/image_5s2k6a628h0vp95v68uknlkf72/-FJPG/238149-001_FRT_1.jpg</t>
  </si>
  <si>
    <t>https://dd3ka9h4chfr8.cloudfront.net/image/725136000567/image_6si3gg9k055cl098a6bu8di17j/-FJPG/238149-001_PRM_1.jpg</t>
  </si>
  <si>
    <t>https://dd3ka9h4chfr8.cloudfront.net/image/725136000567/image_gugeh12s2l63re2bp9k1j7oi5i/-FJPG/238149-001_SID_1.jpg</t>
  </si>
  <si>
    <t>https://dd3ka9h4chfr8.cloudfront.net/image/725136000567/image_6cbuaeg62h607e25ur1br8fa7n/-FJPG/238149-001_ESS.tif</t>
  </si>
  <si>
    <t>https://dd3ka9h4chfr8.cloudfront.net/image/725136000567/image_8jossngdu109hau4cmvjgpav7u/-FJPG/238149-001_DET_2.jpg</t>
  </si>
  <si>
    <t>https://dd3ka9h4chfr8.cloudfront.net/image/725136000567/image_9amliofd9p0h58l0e59u4gcg5u/-FJPG/238149-001_BCK_1.jpg</t>
  </si>
  <si>
    <t>https://dd3ka9h4chfr8.cloudfront.net/image/725136000567/image_jgst250b3h44j5mj74kvb93t5m/-FJPG/238149-001_DET_1.jpg</t>
  </si>
  <si>
    <t>https://dd3ka9h4chfr8.cloudfront.net/image/725136000567/image_einhk29k595d1bomde5mtjsm26/-FJPG/238149-001_DET_3.jpg</t>
  </si>
  <si>
    <t>https://dd3ka9h4chfr8.cloudfront.net/image/725136000567/image_2dgvquu2cl0ur6eum5217q4q2r/-FJPG/238149-001_TOP_1.jpg</t>
  </si>
  <si>
    <t>https://dd3ka9h4chfr8.cloudfront.net/image/725136000567/image_1vlue2a3n55vl62bfpgs5hb81b/-FJPG/238149-001_DET_4.jpg</t>
  </si>
  <si>
    <t>https://dd3ka9h4chfr8.cloudfront.net/image/725136000567/image_o8to252ceh2lr60i7oiln7274f/-FJPG/238149-001_DET_5.jpg</t>
  </si>
  <si>
    <t>https://dd3ka9h4chfr8.cloudfront.net/image/725136000567/image_t6bsbkimd52f30kdh9m40f3c12/-FJPG/238149-001_DET_6.jpg</t>
  </si>
  <si>
    <t>https://dd3ka9h4chfr8.cloudfront.net/image/725136000567/image_ol9autri2l7mv5rb55middp26b/-FJPG/238149-001_DET_9.tif</t>
  </si>
  <si>
    <t>https://dd3ka9h4chfr8.cloudfront.net/image/725136000567/image_vil3dft4bt5kr4bs677hb6ku76/-FJPG/238149-001_DET_10.tif</t>
  </si>
  <si>
    <t>25.49"</t>
  </si>
  <si>
    <t>27.99"</t>
  </si>
  <si>
    <t>238149-002</t>
  </si>
  <si>
    <t>Torrington Dining Table - Sandy Oak Resawn</t>
  </si>
  <si>
    <t>https://dd3ka9h4chfr8.cloudfront.net/image/725136000567/image_o1ktai9n2d0d1dilcgo31gqc66/-S150x150-FJPG/238149-002_PRM_1.jpg</t>
  </si>
  <si>
    <t>https://dd3ka9h4chfr8.cloudfront.net/image/725136000567/image_jua7pnsr797hldsjg45g0udq6p/-FJPG/238149-002_FRT_1.jpg</t>
  </si>
  <si>
    <t>https://dd3ka9h4chfr8.cloudfront.net/image/725136000567/image_o1ktai9n2d0d1dilcgo31gqc66/-FJPG/238149-002_PRM_1.jpg</t>
  </si>
  <si>
    <t>https://dd3ka9h4chfr8.cloudfront.net/image/725136000567/image_d18spemdu17fl5icmse3rsj937/-FJPG/238149-002_SID_1.jpg</t>
  </si>
  <si>
    <t>https://dd3ka9h4chfr8.cloudfront.net/image/725136000567/image_dupmi6p33579j3ufbdavp28v27/-FJPG/238149-002_DET_2.jpg</t>
  </si>
  <si>
    <t>https://dd3ka9h4chfr8.cloudfront.net/image/725136000567/image_fnm0rog6j91ot70ticeb6ot25f/-FJPG/238149-002_BCK_1.jpg</t>
  </si>
  <si>
    <t>https://dd3ka9h4chfr8.cloudfront.net/image/725136000567/image_gusdsf1fp131775di3sutk0b3u/-FJPG/238149-002_DET_1.jpg</t>
  </si>
  <si>
    <t>https://dd3ka9h4chfr8.cloudfront.net/image/725136000567/image_bk59kst7b11r77p4n32bn8ah7e/-FJPG/238149-002_DET_3.jpg</t>
  </si>
  <si>
    <t>https://dd3ka9h4chfr8.cloudfront.net/image/725136000567/image_el4oemael12qd7qmqpterhk811/-FJPG/238149-002_TOP_1.jpg</t>
  </si>
  <si>
    <t>https://dd3ka9h4chfr8.cloudfront.net/image/725136000567/image_ql42b9bsb549r1k12idq6fic70/-FJPG/238149-002_DET_4.jpg</t>
  </si>
  <si>
    <t>https://dd3ka9h4chfr8.cloudfront.net/image/725136000567/image_81e1sa66rl3vneea73n4bf3n5p/-FJPG/238149-002_DET_5.jpg</t>
  </si>
  <si>
    <t>https://dd3ka9h4chfr8.cloudfront.net/image/725136000567/image_bqeua4kodt0jt8hsj6i7efsb41/-FJPG/238149-002_DET_6.jpg</t>
  </si>
  <si>
    <t>https://dd3ka9h4chfr8.cloudfront.net/image/725136000567/image_0m1gsvtbsd3g5br9q2deglvq3n/-FJPG/238149-002_DET_7.jpg</t>
  </si>
  <si>
    <t>238222-001</t>
  </si>
  <si>
    <t>Torrington Charging Nightstand - Umber Oak Resawn</t>
  </si>
  <si>
    <t>Straight planks of solid umber oak and veneer encase this spacious nightstand for an understated modern look. Deep wood grain adds natural character. Invisible wireless charging for Android and Apple products.</t>
  </si>
  <si>
    <t>https://dd3ka9h4chfr8.cloudfront.net/image/725136000567/image_b20hq1du6p58d3fouv7qcipj25/-S150x150-FJPG/238222-001_PRM_1.jpg</t>
  </si>
  <si>
    <t>https://dd3ka9h4chfr8.cloudfront.net/image/725136000567/image_s4pbd4vb7d3hr7eanf5h66iv0n/-FJPG/238222-001_FRT_1.jpg</t>
  </si>
  <si>
    <t>https://dd3ka9h4chfr8.cloudfront.net/image/725136000567/image_b20hq1du6p58d3fouv7qcipj25/-FJPG/238222-001_PRM_1.jpg</t>
  </si>
  <si>
    <t>https://dd3ka9h4chfr8.cloudfront.net/image/725136000567/image_v86s0rn9c94rf88vvgc9a8ha5k/-FJPG/238222-001_SID_1.jpg</t>
  </si>
  <si>
    <t>https://dd3ka9h4chfr8.cloudfront.net/image/725136000567/image_kq9d84idr91ilcjf8thf5ce731/-FJPG/238222-001_ESS_1.tif</t>
  </si>
  <si>
    <t>https://dd3ka9h4chfr8.cloudfront.net/image/725136000567/image_j41ievqbi97ub5n5mfqs9nsa55/-FJPG/238222-001_DET_2.jpg</t>
  </si>
  <si>
    <t>https://dd3ka9h4chfr8.cloudfront.net/image/725136000567/image_bm76cc98m55k1fc7d66iqcpv4n/-FJPG/238222-001_BCK_1.jpg</t>
  </si>
  <si>
    <t>https://dd3ka9h4chfr8.cloudfront.net/image/725136000567/image_v2ospjsvll3rt47cubjmu6gp3d/-FJPG/238222-001_DET_3.jpg</t>
  </si>
  <si>
    <t>https://dd3ka9h4chfr8.cloudfront.net/image/725136000567/image_0gqjih90l133j354v3lhd9ct1s/-FJPG/238222-001_OPN_1.jpg</t>
  </si>
  <si>
    <t>https://dd3ka9h4chfr8.cloudfront.net/image/725136000567/image_cpjf5odlnt1k9536nq7g5p3a1g/-FJPG/238222-001_TOP_1.jpg</t>
  </si>
  <si>
    <t>https://dd3ka9h4chfr8.cloudfront.net/image/725136000567/image_0e3lvmhbcp66t41hjj9v49tm05/-FJPG/238222-001_DET_4.jpg</t>
  </si>
  <si>
    <t>https://dd3ka9h4chfr8.cloudfront.net/image/725136000567/image_5n2epdvd6p485evluam6on8p1s/-FJPG/238222-001_DET_6.jpg</t>
  </si>
  <si>
    <t>https://dd3ka9h4chfr8.cloudfront.net/image/725136000567/image_jo2bqft8st6cddar6gfjc05m1p/-FJPG/238222-001_DET_7.jpg</t>
  </si>
  <si>
    <t>https://dd3ka9h4chfr8.cloudfront.net/image/725136000567/image_u7viaciv3d4k3863t7vethof3o/-FJPG/238222-001_DET_9.jpg</t>
  </si>
  <si>
    <t>https://dd3ka9h4chfr8.cloudfront.net/image/725136000567/image_5vduc7ucp1625bkfkn69bue734/-FJPG/238222-001_DET_10.jpg</t>
  </si>
  <si>
    <t>https://dd3ka9h4chfr8.cloudfront.net/image/725136000567/image_sqhgkl0spp7bp1bba9bq4rn936/-FJPG/238222-001_ESS.tif</t>
  </si>
  <si>
    <t>25.67"</t>
  </si>
  <si>
    <t>238222-002</t>
  </si>
  <si>
    <t>Torrington Charging Nightstand - Sandy Oak Resawn</t>
  </si>
  <si>
    <t>Aged Bronze</t>
  </si>
  <si>
    <t>https://dd3ka9h4chfr8.cloudfront.net/image/725136000567/image_ftrmckc0g91j32c2ad06otn35h/-S150x150-FJPG/238222-002_PRM_1.jpg</t>
  </si>
  <si>
    <t>https://dd3ka9h4chfr8.cloudfront.net/image/725136000567/image_jd369jgat12h1592p43d05jb1p/-FJPG/238222-002_FRT_1.jpg</t>
  </si>
  <si>
    <t>https://dd3ka9h4chfr8.cloudfront.net/image/725136000567/image_ftrmckc0g91j32c2ad06otn35h/-FJPG/238222-002_PRM_1.jpg</t>
  </si>
  <si>
    <t>https://dd3ka9h4chfr8.cloudfront.net/image/725136000567/image_vpcbf1lked1kdd31ku6e47g93u/-FJPG/238222-002_SID_1.jpg</t>
  </si>
  <si>
    <t>https://dd3ka9h4chfr8.cloudfront.net/image/725136000567/image_jqm7hmlhqd11p6qicngbvg0b58/-FJPG/238222-002_DET_2.jpg</t>
  </si>
  <si>
    <t>https://dd3ka9h4chfr8.cloudfront.net/image/725136000567/image_b5vv2bp5o16fdetm11h0k1r051/-FJPG/238222-002_BCK_1.jpg</t>
  </si>
  <si>
    <t>https://dd3ka9h4chfr8.cloudfront.net/image/725136000567/image_hdsmlnt79126heorkrvf2mrj3q/-FJPG/238222-002_DET_1.jpg</t>
  </si>
  <si>
    <t>https://dd3ka9h4chfr8.cloudfront.net/image/725136000567/image_j58qa961gt441839cqbrfe2l0k/-FJPG/238222-002_DET_3.jpg</t>
  </si>
  <si>
    <t>https://dd3ka9h4chfr8.cloudfront.net/image/725136000567/image_ukfojbqe5t4ij6bjj8kot75r24/-FJPG/238222-002_OPN_1.jpg</t>
  </si>
  <si>
    <t>https://dd3ka9h4chfr8.cloudfront.net/image/725136000567/image_tdg4uop1jl2dr1gueq00qou266/-FJPG/238222-002_DET_4.jpg</t>
  </si>
  <si>
    <t>https://dd3ka9h4chfr8.cloudfront.net/image/725136000567/image_qj5fku3hn16c75scktvfj9ii18/-FJPG/238222-002_DET_5.jpg</t>
  </si>
  <si>
    <t>https://dd3ka9h4chfr8.cloudfront.net/image/725136000567/image_9jjsb3lckh4ut2ngvba11r686p/-FJPG/238222-002_DET_6.jpg</t>
  </si>
  <si>
    <t>https://dd3ka9h4chfr8.cloudfront.net/image/725136000567/image_rkcojnv9g95r16ubsq74j57v0s/-FJPG/238222-002_DET_7.jpg</t>
  </si>
  <si>
    <t>https://dd3ka9h4chfr8.cloudfront.net/image/725136000567/image_4teeide9j970b6b8bc4io45h1k/-FJPG/238222-002_DET_8.jpg</t>
  </si>
  <si>
    <t>238223-001</t>
  </si>
  <si>
    <t>Zion Nesting Coffee Table Set - Merlot Marble</t>
  </si>
  <si>
    <t>Made from solid marble with visible natural veining, turned pillar-style legs complement organically shaped tabletops, perfectly sized for nesting. Option to buy tables individually or together as a two-piece set.</t>
  </si>
  <si>
    <t>https://dd3ka9h4chfr8.cloudfront.net/image/725136000567/image_i8ba11c6ad3qjbv79l917pde35/-S150x150-FJPG/238223-001_PRM_1.jpg</t>
  </si>
  <si>
    <t>https://dd3ka9h4chfr8.cloudfront.net/image/725136000567/image_9g58i3sma51ofb7nlul820h647/-FJPG/238223-001_FRT_1.jpg</t>
  </si>
  <si>
    <t>https://dd3ka9h4chfr8.cloudfront.net/image/725136000567/image_i8ba11c6ad3qjbv79l917pde35/-FJPG/238223-001_PRM_1.jpg</t>
  </si>
  <si>
    <t>https://dd3ka9h4chfr8.cloudfront.net/image/725136000567/image_kgckhns1l565p0lhqsf5mlan3c/-FJPG/238223-001_SID_1.jpg</t>
  </si>
  <si>
    <t>https://dd3ka9h4chfr8.cloudfront.net/image/725136000567/image_dnqfguvsv9169btomqgd75t079/-FJPG/238223-001_ESS.tif</t>
  </si>
  <si>
    <t>https://dd3ka9h4chfr8.cloudfront.net/image/725136000567/image_ov54m6sn1h4r98kjddalkdkt4n/-FJPG/238223-001_DET_2.jpg</t>
  </si>
  <si>
    <t>https://dd3ka9h4chfr8.cloudfront.net/image/725136000567/image_61ntecg1kd32n72opopl4k2u46/-FJPG/238223-001_BCK_1.jpg</t>
  </si>
  <si>
    <t>https://dd3ka9h4chfr8.cloudfront.net/image/725136000567/image_ophgjg1n7h1oj0irduthspl54p/-FJPG/238223-001_DET_1.jpg</t>
  </si>
  <si>
    <t>https://dd3ka9h4chfr8.cloudfront.net/image/725136000567/image_8gt70pi7h15qbedod06slrd135/-FJPG/238223-001_DET_3.jpg</t>
  </si>
  <si>
    <t>https://dd3ka9h4chfr8.cloudfront.net/image/725136000567/image_kuf4saos713nv2f8g7p5p7614n/-FJPG/238223-001_TOP_1.jpg</t>
  </si>
  <si>
    <t>https://dd3ka9h4chfr8.cloudfront.net/image/725136000567/image_cutd661pl102367q4t6aofg97p/-FJPG/238223-001_DET_4.jpg</t>
  </si>
  <si>
    <t>https://dd3ka9h4chfr8.cloudfront.net/image/725136000567/image_rdfoib4u957j31b719g90dso2u/-FJPG/238223-001_DET_5.jpg</t>
  </si>
  <si>
    <t>https://dd3ka9h4chfr8.cloudfront.net/image/725136000567/image_8d7psko2914hn4r76f6oi9de0j/-FJPG/238223-001_DET_9.tif</t>
  </si>
  <si>
    <t>https://dd3ka9h4chfr8.cloudfront.net/image/725136000567/image_4e86sqj8t563n3mp30td7kji16/-FJPG/238223-001_PRM_2.jpg</t>
  </si>
  <si>
    <t>Zion</t>
  </si>
  <si>
    <t>238223-003</t>
  </si>
  <si>
    <t>Zion Nesting Coffee Table Set - Cream Marble</t>
  </si>
  <si>
    <t>Cream Marble</t>
  </si>
  <si>
    <t>https://dd3ka9h4chfr8.cloudfront.net/image/725136000567/image_44bsr8h4l965hagg1qh0u2ee54/-S150x150-FJPG/238223-003_PRM_1.jpg</t>
  </si>
  <si>
    <t>https://dd3ka9h4chfr8.cloudfront.net/image/725136000567/image_44bsr8h4l965hagg1qh0u2ee54/-FJPG/238223-003_PRM_1.jpg</t>
  </si>
  <si>
    <t>https://dd3ka9h4chfr8.cloudfront.net/image/725136000567/image_omoif19m9l3in5p3jed9r0q23q/-FJPG/238223-003_SID_1.jpg</t>
  </si>
  <si>
    <t>https://dd3ka9h4chfr8.cloudfront.net/image/725136000567/image_ti9623mkdt49lc81amv110j83f/-FJPG/238223-003_ESS.tif</t>
  </si>
  <si>
    <t>https://dd3ka9h4chfr8.cloudfront.net/image/725136000567/image_ug298et36h1adf3msirtuonh27/-FJPG/238223-003_DET_2.jpg</t>
  </si>
  <si>
    <t>https://dd3ka9h4chfr8.cloudfront.net/image/725136000567/image_305qvilfvl1pvbfk8cdcar743l/-FJPG/238223-003_DET_1.jpg</t>
  </si>
  <si>
    <t>https://dd3ka9h4chfr8.cloudfront.net/image/725136000567/image_33s2upvtlh7nd55b51flod4q7s/-FJPG/238223-003_DET_3.jpg</t>
  </si>
  <si>
    <t>https://dd3ka9h4chfr8.cloudfront.net/image/725136000567/image_qep5d32ugl299drdv20piuao23/-FJPG/238223-003_DET_4.jpg</t>
  </si>
  <si>
    <t>https://dd3ka9h4chfr8.cloudfront.net/image/725136000567/image_4d7c9579n144v8nq3c9mpl1b0o/-FJPG/238223-003_DET_5.jpg</t>
  </si>
  <si>
    <t>https://dd3ka9h4chfr8.cloudfront.net/image/725136000567/image_hl065mm2id7a3c7b44jeppod3m/-FJPG/238223-003_DET_6.jpg</t>
  </si>
  <si>
    <t>https://dd3ka9h4chfr8.cloudfront.net/image/725136000567/image_oe3tgqfq5p1gvdlnu69lv80q1o/-FJPG/238223-003_DET_7.jpg</t>
  </si>
  <si>
    <t>https://dd3ka9h4chfr8.cloudfront.net/image/725136000567/image_9irapd71v16qtfr03j9odhra46/-FJPG/238223-003_DET_9.tif</t>
  </si>
  <si>
    <t>https://dd3ka9h4chfr8.cloudfront.net/image/725136000567/image_04qb3kgbch2r1enr1bhngagc4v/-FJPG/238223-003_DET_10.tif</t>
  </si>
  <si>
    <t>https://dd3ka9h4chfr8.cloudfront.net/image/725136000567/image_dle8uf4uk53t92drmigrpt015e/-FJPG/238223-003_DET_11.tif</t>
  </si>
  <si>
    <t>238223-004</t>
  </si>
  <si>
    <t>Zion Nesting Coffee Table Set - Natural Oak</t>
  </si>
  <si>
    <t>Made from solid natural oak, turned pillar-style legs complement organically shaped tabletops, perfectly sized for nesting. Option to buy tables individually or together as a two-piece set.</t>
  </si>
  <si>
    <t>https://dd3ka9h4chfr8.cloudfront.net/image/725136000567/image_enurvk673t5c58eoemq3bk2i3l/-S150x150-FJPG/238223-004_PRM_1.jpg</t>
  </si>
  <si>
    <t>https://dd3ka9h4chfr8.cloudfront.net/image/725136000567/image_du3c7bb9p92c916pft6j8j5e63/-FJPG/238223-004_FRT_1.jpg</t>
  </si>
  <si>
    <t>https://dd3ka9h4chfr8.cloudfront.net/image/725136000567/image_enurvk673t5c58eoemq3bk2i3l/-FJPG/238223-004_PRM_1.jpg</t>
  </si>
  <si>
    <t>https://dd3ka9h4chfr8.cloudfront.net/image/725136000567/image_hgefhnq5el3s170ndgu5ujat32/-FJPG/239699-005_SID_1.jpg</t>
  </si>
  <si>
    <t>https://dd3ka9h4chfr8.cloudfront.net/image/725136000567/image_p81mbumu850hfe3ks7c581an4a/-FJPG/238223-004_ESS.tif</t>
  </si>
  <si>
    <t>https://dd3ka9h4chfr8.cloudfront.net/image/725136000567/image_vml04tulhp7jpd8dh8pfnrj946/-FJPG/239699-005_DET_2.jpg</t>
  </si>
  <si>
    <t>https://dd3ka9h4chfr8.cloudfront.net/image/725136000567/image_6okrjrv1914k9egf3d18pmc26a/-FJPG/239699-005_DET_1.jpg</t>
  </si>
  <si>
    <t>https://dd3ka9h4chfr8.cloudfront.net/image/725136000567/image_ve7dbkgd113fndeiektv8pqq51/-FJPG/239699-005_DET_3.jpg</t>
  </si>
  <si>
    <t>https://dd3ka9h4chfr8.cloudfront.net/image/725136000567/image_9leji439n15tt4rfah427ttm46/-FJPG/239699-005_TOP_1.jpg</t>
  </si>
  <si>
    <t>https://dd3ka9h4chfr8.cloudfront.net/image/725136000567/image_geptvhhn291vv2t6vdp26oa175/-FJPG/239699-005_DET_4.jpg</t>
  </si>
  <si>
    <t>https://dd3ka9h4chfr8.cloudfront.net/image/725136000567/image_sftotnahn50f7dr5n9jniqu20q/-FJPG/238223-004_DET_9.tif</t>
  </si>
  <si>
    <t>238393-001</t>
  </si>
  <si>
    <t>Sully Chair - Surrey Moss</t>
  </si>
  <si>
    <t>Surrey Moss</t>
  </si>
  <si>
    <t>Shape-driven from top to bottom, this modern accent chair is tightly upholstered in a smooth cotton velvet fabric. Subtle highs and lows throughout the fabric change in appearance depending on the direction of the fabric's nap and the lighting in the room, bringing movement to the entire piece. S-spring construction ensures a supportive sit, while side cutouts catch the eye.</t>
  </si>
  <si>
    <t>https://dd3ka9h4chfr8.cloudfront.net/image/725136000567/image_g480rrqh5t5dhcv2eam5pj772h/-S150x150-FJPG/238393-001_PRM_1.jpg</t>
  </si>
  <si>
    <t>https://dd3ka9h4chfr8.cloudfront.net/image/725136000567/image_ev6ehuk57h2hhbgr0fq4pq5n55/-FJPG/238393-001_FRT_1.jpg</t>
  </si>
  <si>
    <t>https://dd3ka9h4chfr8.cloudfront.net/image/725136000567/image_g480rrqh5t5dhcv2eam5pj772h/-FJPG/238393-001_PRM_1.jpg</t>
  </si>
  <si>
    <t>https://dd3ka9h4chfr8.cloudfront.net/image/725136000567/image_nko5sh9b3p04v28q5omq6jus58/-FJPG/238393-001_SID_1.jpg</t>
  </si>
  <si>
    <t>https://dd3ka9h4chfr8.cloudfront.net/image/725136000567/image_o4ouc4308p3fj8gkg33rti6821/-FJPG/238393-001_ESS.tif</t>
  </si>
  <si>
    <t>https://dd3ka9h4chfr8.cloudfront.net/image/725136000567/image_ae5pmj6atp4oj5vj88tsragf3b/-FJPG/238393-001_DET_2.jpg</t>
  </si>
  <si>
    <t>https://dd3ka9h4chfr8.cloudfront.net/image/725136000567/image_ncdpskch010ef57fkka2rkc72b/-FJPG/238393-001_BCK_1.jpg</t>
  </si>
  <si>
    <t>https://dd3ka9h4chfr8.cloudfront.net/image/725136000567/image_mlq3bpub2902356r2f0dficq6s/-FJPG/238393-001_DET_1.jpg</t>
  </si>
  <si>
    <t>https://dd3ka9h4chfr8.cloudfront.net/image/725136000567/image_4qucfqsq5p2t71hg5jocttsd1h/-FJPG/238393-001_DET_3.jpg</t>
  </si>
  <si>
    <t>https://dd3ka9h4chfr8.cloudfront.net/image/725136000567/image_rk9c3kbjop22f80bv1u6h1rn2h/-FJPG/238393-001_DET_4.jpg</t>
  </si>
  <si>
    <t>https://dd3ka9h4chfr8.cloudfront.net/image/725136000567/image_5nfn6c67c15ot4tucjs8j1sb04/-FJPG/238393-001_DET_5.jpg</t>
  </si>
  <si>
    <t>https://dd3ka9h4chfr8.cloudfront.net/image/725136000567/image_o2mancaeg54rl56rbgg912cm16/-FJPG/238393-001_DET_6.jpg</t>
  </si>
  <si>
    <t>https://dd3ka9h4chfr8.cloudfront.net/image/725136000567/image_iekjkeeij144lahbbfi608m81t/-FJPG/238393-001_ESS.tif</t>
  </si>
  <si>
    <t>23.20"</t>
  </si>
  <si>
    <t>17.30"</t>
  </si>
  <si>
    <t>Sully</t>
  </si>
  <si>
    <t>13.20"</t>
  </si>
  <si>
    <t>238393-006</t>
  </si>
  <si>
    <t>Sully Chair - Monte Navy</t>
  </si>
  <si>
    <t>Monte Navy</t>
  </si>
  <si>
    <t>50% Viscose</t>
  </si>
  <si>
    <t>50% Wool</t>
  </si>
  <si>
    <t>Shape-driven from top to bottom, this modern accent chair is tightly upholstered in a smooth wool-blend velvet. Subtle highs and lows throughout the fabric change in appearance depending on the direction of the fabric's nap and the lighting in the room, bringing movement to the entire piece. S-spring construction ensures a supportive sit, while side cutouts catch the eye.</t>
  </si>
  <si>
    <t>https://dd3ka9h4chfr8.cloudfront.net/image/725136000567/image_6updoj9cvh4hv9od7m06cgsb41/-S150x150-FJPG/238393-006_PRM_1.JPG</t>
  </si>
  <si>
    <t>https://dd3ka9h4chfr8.cloudfront.net/image/725136000567/image_ui0pj7o10d67h3v1rupi1bdm5f/-FJPG/238393-006_FRT_1.JPG</t>
  </si>
  <si>
    <t>https://dd3ka9h4chfr8.cloudfront.net/image/725136000567/image_6updoj9cvh4hv9od7m06cgsb41/-FJPG/238393-006_PRM_1.JPG</t>
  </si>
  <si>
    <t>https://dd3ka9h4chfr8.cloudfront.net/image/725136000567/image_60f0fdvlnp6rr89vfmfm7asc3j/-FJPG/238393-006_SID_1.JPG</t>
  </si>
  <si>
    <t>https://dd3ka9h4chfr8.cloudfront.net/image/725136000567/image_gtto7flfah4np57ft7t571ki1n/-FJPG/238393-006_DET_2.JPG</t>
  </si>
  <si>
    <t>https://dd3ka9h4chfr8.cloudfront.net/image/725136000567/image_p6didfne017jf3d5jdj0h7045h/-FJPG/238393-006_BCK_1.JPG</t>
  </si>
  <si>
    <t>https://dd3ka9h4chfr8.cloudfront.net/image/725136000567/image_5e5vs30quh20j3ucrlotfhka0p/-FJPG/238393-006_DET_1.JPG</t>
  </si>
  <si>
    <t>https://dd3ka9h4chfr8.cloudfront.net/image/725136000567/image_0kkpphulr52hdc5na7cfgndl1u/-FJPG/238393-006_DET_3.JPG</t>
  </si>
  <si>
    <t>https://dd3ka9h4chfr8.cloudfront.net/image/725136000567/image_jsij3h4ejt7sp1mca52uh0v82f/-FJPG/238393-006_DET_4.JPG</t>
  </si>
  <si>
    <t>https://dd3ka9h4chfr8.cloudfront.net/image/725136000567/image_gmk0iuv6n554h9uljog0i0t60p/-FJPG/238393-006_DET_5.JPG</t>
  </si>
  <si>
    <t>238415-002</t>
  </si>
  <si>
    <t>Ira Chair - Somerton Ash</t>
  </si>
  <si>
    <t>Somerton Ash</t>
  </si>
  <si>
    <t>https://dd3ka9h4chfr8.cloudfront.net/image/725136000567/image_5201bmlr7t3v1ele8fnsrisk46/-S150x150-FJPG/238415-002_PRM_1.JPG</t>
  </si>
  <si>
    <t>https://dd3ka9h4chfr8.cloudfront.net/image/725136000567/image_vm39cr74kp77jfi3lr7telo01o/-FJPG/238415-002_FRT_1.JPG</t>
  </si>
  <si>
    <t>https://dd3ka9h4chfr8.cloudfront.net/image/725136000567/image_5201bmlr7t3v1ele8fnsrisk46/-FJPG/238415-002_PRM_1.JPG</t>
  </si>
  <si>
    <t>https://dd3ka9h4chfr8.cloudfront.net/image/725136000567/image_g0bkjeqkad42f73vmu71lier13/-FJPG/238415-002_SID_1.JPG</t>
  </si>
  <si>
    <t>https://dd3ka9h4chfr8.cloudfront.net/image/725136000567/image_9bu9lqiidd7it7stbrq3tck12a/-FJPG/238415-002_ESS.tif</t>
  </si>
  <si>
    <t>https://dd3ka9h4chfr8.cloudfront.net/image/725136000567/image_9haagetugt1g71vaqc9aod4l0r/-FJPG/238415-002_DET_2.JPG</t>
  </si>
  <si>
    <t>https://dd3ka9h4chfr8.cloudfront.net/image/725136000567/image_6f146pa27571tdocafavikuv68/-FJPG/238415-002_BCK_1.JPG</t>
  </si>
  <si>
    <t>https://dd3ka9h4chfr8.cloudfront.net/image/725136000567/image_gn1bmmgn391it0bugh69quud3i/-FJPG/238415-002_DET_1.JPG</t>
  </si>
  <si>
    <t>https://dd3ka9h4chfr8.cloudfront.net/image/725136000567/image_k3rldgbhc52plfpm7o76as1b0e/-FJPG/238415-002_DET_3.JPG</t>
  </si>
  <si>
    <t>https://dd3ka9h4chfr8.cloudfront.net/image/725136000567/image_i9hpf1ovh113f13resfsvdhb2i/-FJPG/238415-002_DET_4.JPG</t>
  </si>
  <si>
    <t>https://dd3ka9h4chfr8.cloudfront.net/image/725136000567/image_n0l23km3fl5ifa93m12vraon6h/-FJPG/238415-002_DET_5.JPG</t>
  </si>
  <si>
    <t>https://dd3ka9h4chfr8.cloudfront.net/image/725136000567/image_f24de7s79p4rpcoqkl2r8qgr7i/-FJPG/238415-002_DET_6.JPG</t>
  </si>
  <si>
    <t>https://dd3ka9h4chfr8.cloudfront.net/image/725136000567/image_j2kv7vd77d26369d7qb9sk8u2m/-FJPG/238415-002_DET_9.tif</t>
  </si>
  <si>
    <t>https://dd3ka9h4chfr8.cloudfront.net/image/725136000567/image_85jjgenab52k35674g6n15857k/-FJPG/238415-002_DET_10.tif</t>
  </si>
  <si>
    <t>Ira</t>
  </si>
  <si>
    <t>238548-003</t>
  </si>
  <si>
    <t>Sinclair Square Ottoman-36" - Knoll Natural</t>
  </si>
  <si>
    <t>Upholstered in a cream boucle fabric and paired with a solid parawood base, this 36" square ottoman can be placed just about anywhere â€“ bringing with it a retro vibe. Style with a tray as a design-forward coffee table.</t>
  </si>
  <si>
    <t>https://dd3ka9h4chfr8.cloudfront.net/image/725136000567/image_emuag3u8r570t1gtpb4p7sl975/-S150x150-FJPG/238548-003_PRM_1.jpg</t>
  </si>
  <si>
    <t>https://dd3ka9h4chfr8.cloudfront.net/image/725136000567/image_pqvdrlsid13etd0f1vnlr0ms0n/-FJPG/238548-003_FRT_1.jpg</t>
  </si>
  <si>
    <t>https://dd3ka9h4chfr8.cloudfront.net/image/725136000567/image_emuag3u8r570t1gtpb4p7sl975/-FJPG/238548-003_PRM_1.jpg</t>
  </si>
  <si>
    <t>https://dd3ka9h4chfr8.cloudfront.net/image/725136000567/image_qv0sjj1ogt5fr8fomjie0qiv58/-FJPG/238548-003_ESS.tif</t>
  </si>
  <si>
    <t>https://dd3ka9h4chfr8.cloudfront.net/image/725136000567/image_v9lb9hd6tl2g9dm8c48l8m784l/-FJPG/238548-003_DET_2.jpg</t>
  </si>
  <si>
    <t>https://dd3ka9h4chfr8.cloudfront.net/image/725136000567/image_p1qqjb35hd4bfej4im2c09qa5q/-FJPG/238548-003_DET_1.jpg</t>
  </si>
  <si>
    <t>https://dd3ka9h4chfr8.cloudfront.net/image/725136000567/image_5et9vu18nl5154o01gao3dg02l/-FJPG/238548-003_DET_3.jpg</t>
  </si>
  <si>
    <t>https://dd3ka9h4chfr8.cloudfront.net/image/725136000567/image_ehtifr8hhh6p1447ooghheao4i/-FJPG/238548-003_DET_4.jpg</t>
  </si>
  <si>
    <t>https://dd3ka9h4chfr8.cloudfront.net/image/725136000567/image_k888j7ufid19v6hn4frfk58218/-FJPG/238548-003_DET_5.jpg</t>
  </si>
  <si>
    <t>https://dd3ka9h4chfr8.cloudfront.net/image/725136000567/image_8sr8tfo16t28b1hish1rbuvf7e/-FJPG/238548-003_DET_6.jpg</t>
  </si>
  <si>
    <t>238548-004</t>
  </si>
  <si>
    <t>Sinclair Square Ottoman-36" - Palermo Butterscotch</t>
  </si>
  <si>
    <t>Upholstered in a butterscotch top-grain leather and paired with a solid parawood base, this 36" square ottoman can be placed just about anywhere â€“ bringing with it a retro vibe. Style with a tray as a design-forward coffee table.</t>
  </si>
  <si>
    <t>https://dd3ka9h4chfr8.cloudfront.net/image/725136000567/image_vn64567o155jn2m15qb8lva36m/-S150x150-FJPG/238548-004_PRM_1.jpg</t>
  </si>
  <si>
    <t>https://dd3ka9h4chfr8.cloudfront.net/image/725136000567/image_ph216horcd3sh33oi22htcs73e/-FJPG/238548-004_FRT_1.jpg</t>
  </si>
  <si>
    <t>https://dd3ka9h4chfr8.cloudfront.net/image/725136000567/image_vn64567o155jn2m15qb8lva36m/-FJPG/238548-004_PRM_1.jpg</t>
  </si>
  <si>
    <t>https://dd3ka9h4chfr8.cloudfront.net/image/725136000567/image_g3rnm2mcit0p56luc4dcijmq18/-FJPG/238548-004_DET_2.jpg</t>
  </si>
  <si>
    <t>https://dd3ka9h4chfr8.cloudfront.net/image/725136000567/image_3bsi6mnjfh5jh2ton0mooff242/-FJPG/238548-004_DET_1.jpg</t>
  </si>
  <si>
    <t>https://dd3ka9h4chfr8.cloudfront.net/image/725136000567/image_3aaep04pip7g3an252saeekm5t/-FJPG/238548-004_DET_3.jpg</t>
  </si>
  <si>
    <t>https://dd3ka9h4chfr8.cloudfront.net/image/725136000567/image_rg4244v701741f4egdeqdakl1r/-FJPG/238548-004_DET_4.jpg</t>
  </si>
  <si>
    <t>https://dd3ka9h4chfr8.cloudfront.net/image/725136000567/image_j9v938u94l0e596tggbmbono41/-FJPG/238548-004_DET_5.jpg</t>
  </si>
  <si>
    <t>238548-009</t>
  </si>
  <si>
    <t>Sinclair Square Ottoman-36" - Barrow Taupe</t>
  </si>
  <si>
    <t>Barrow Taupe</t>
  </si>
  <si>
    <t>30% Wool</t>
  </si>
  <si>
    <t>Upholstered in tonal check fabric and paired with a solid ash base, this 36" square ottoman can be placed just about anywhere â€“ bringing with it a retro vibe. Style with a tray as a design-forward coffee table.</t>
  </si>
  <si>
    <t>https://dd3ka9h4chfr8.cloudfront.net/image/725136000567/image_icuuhfmbgd5q90khp1l7ch5n6j/-S150x150-FJPG/238548-009_PRM_1.jpg</t>
  </si>
  <si>
    <t>https://dd3ka9h4chfr8.cloudfront.net/image/725136000567/image_hm7tsok1e566787dqtor6vha5k/-FJPG/238548-009_FRT_1.jpg</t>
  </si>
  <si>
    <t>https://dd3ka9h4chfr8.cloudfront.net/image/725136000567/image_icuuhfmbgd5q90khp1l7ch5n6j/-FJPG/238548-009_PRM_1.jpg</t>
  </si>
  <si>
    <t>https://dd3ka9h4chfr8.cloudfront.net/image/725136000567/image_lo4hnteit140p9ntih02ln1g0s/-FJPG/238548-009_SID_1.jpg</t>
  </si>
  <si>
    <t>https://dd3ka9h4chfr8.cloudfront.net/image/725136000567/image_qjdplocsvt28dc1f5pnt4r113o/-FJPG/238548-009_ESS.tif</t>
  </si>
  <si>
    <t>https://dd3ka9h4chfr8.cloudfront.net/image/725136000567/image_7kr0o3oni15lt9iud3av272v61/-FJPG/238548-009_DET_2.jpg</t>
  </si>
  <si>
    <t>https://dd3ka9h4chfr8.cloudfront.net/image/725136000567/image_mvhedvheel0d73n2eogrnj6a0c/-FJPG/238548-009_DET_1.jpg</t>
  </si>
  <si>
    <t>https://dd3ka9h4chfr8.cloudfront.net/image/725136000567/image_osq88luath3dp7uhrc8pluf04m/-FJPG/238548-009_DET_3.jpg</t>
  </si>
  <si>
    <t>https://dd3ka9h4chfr8.cloudfront.net/image/725136000567/image_m8ra7kvnv57ojdkrj1agk32v0o/-FJPG/238548-009_DET_4.jpg</t>
  </si>
  <si>
    <t>https://dd3ka9h4chfr8.cloudfront.net/image/725136000567/image_ubteu4dq0931j6d50mkjavqm27/-FJPG/238548-009_DET_5.jpg</t>
  </si>
  <si>
    <t>https://dd3ka9h4chfr8.cloudfront.net/image/725136000567/image_cdigkokmvt74d1rev0gqv75s53/-FJPG/238548-009_DET_6.jpg</t>
  </si>
  <si>
    <t>https://dd3ka9h4chfr8.cloudfront.net/image/725136000567/image_22qsg6ovpp3bbfnvaf97vkqf7r/-FJPG/238548-009_DET_9.tif</t>
  </si>
  <si>
    <t>https://dd3ka9h4chfr8.cloudfront.net/image/725136000567/image_qnlqhabu2h59ff0jhm19dfur77/-FJPG/FHMPRJ-010_SCENE-02-V1-B.tif</t>
  </si>
  <si>
    <t>238548-010</t>
  </si>
  <si>
    <t>Sinclair Square Ottoman-36" - Ivan Granite</t>
  </si>
  <si>
    <t>Upholstered in a granite flax/linen blend and paired with a deep brown base, this 36" square ottoman can be placed just about anywhere â€“ bringing with it a retro vibe.</t>
  </si>
  <si>
    <t>https://dd3ka9h4chfr8.cloudfront.net/image/725136000567/image_arcv9a5k4l7enajqhmnbuu404b/-S150x150-FJPG/238548-010_PRM_1.jpg</t>
  </si>
  <si>
    <t>https://dd3ka9h4chfr8.cloudfront.net/image/725136000567/image_547ac2so855rh56800mdlf7v35/-FJPG/238548-010_FRT_1.jpg</t>
  </si>
  <si>
    <t>https://dd3ka9h4chfr8.cloudfront.net/image/725136000567/image_arcv9a5k4l7enajqhmnbuu404b/-FJPG/238548-010_PRM_1.jpg</t>
  </si>
  <si>
    <t>https://dd3ka9h4chfr8.cloudfront.net/image/725136000567/image_tt455fiob174b5cv6fgolknv1g/-FJPG/238548-010_SID_1.jpg</t>
  </si>
  <si>
    <t>https://dd3ka9h4chfr8.cloudfront.net/image/725136000567/image_fhk7e2trq917ba95710e5tq04p/-FJPG/238548-010_DET_2.jpg</t>
  </si>
  <si>
    <t>https://dd3ka9h4chfr8.cloudfront.net/image/725136000567/image_nqauv080i53jf1v5q8gvmsls4p/-FJPG/238548-010_BCK_1.jpg</t>
  </si>
  <si>
    <t>https://dd3ka9h4chfr8.cloudfront.net/image/725136000567/image_0hi382b9p534pc30o86pma1338/-FJPG/238548-010_DET_1.jpg</t>
  </si>
  <si>
    <t>https://dd3ka9h4chfr8.cloudfront.net/image/725136000567/image_2bc5k0rjjd4ihb8ur9apralo5s/-FJPG/238548-010_DET_3.jpg</t>
  </si>
  <si>
    <t>https://dd3ka9h4chfr8.cloudfront.net/image/725136000567/image_h3uicmknip48l3228lf4a3bc2i/-FJPG/238548-010_TOP_1.jpg</t>
  </si>
  <si>
    <t>https://dd3ka9h4chfr8.cloudfront.net/image/725136000567/image_knr5721i857cr62giptckbfl6g/-FJPG/238548-010_DET_4.jpg</t>
  </si>
  <si>
    <t>238548-011</t>
  </si>
  <si>
    <t>Sinclair Square Ottoman-36" - Manchester Flint</t>
  </si>
  <si>
    <t>Upholstered in a classic cream-and-grey striped flax/linen blend paired with a solid brown wood base, this 36" square ottoman can be placed just about anywhere â€“ bringing with it a traditional vibe. Style with a tray as a design-forward coffee table.</t>
  </si>
  <si>
    <t>https://dd3ka9h4chfr8.cloudfront.net/image/725136000567/image_j6chbqsmc54nb73hd8vgmfds2a/-S150x150-FJPG/238548-011_PRM_1.jpg</t>
  </si>
  <si>
    <t>https://dd3ka9h4chfr8.cloudfront.net/image/725136000567/image_9j2s1emo657tr5hagh4t29kd5i/-FJPG/238548-011_FRT_1.jpg</t>
  </si>
  <si>
    <t>https://dd3ka9h4chfr8.cloudfront.net/image/725136000567/image_j6chbqsmc54nb73hd8vgmfds2a/-FJPG/238548-011_PRM_1.jpg</t>
  </si>
  <si>
    <t>https://dd3ka9h4chfr8.cloudfront.net/image/725136000567/image_kqkppr0dt576187jhigk9g9l52/-FJPG/238548-011_SID_1.jpg</t>
  </si>
  <si>
    <t>https://dd3ka9h4chfr8.cloudfront.net/image/725136000567/image_s9sgqcoce11up1d45coh18ca0e/-FJPG/238548-011_DET_2.jpg</t>
  </si>
  <si>
    <t>https://dd3ka9h4chfr8.cloudfront.net/image/725136000567/image_ibck5a9dgh3i50klrnc1ela10a/-FJPG/238548-011_DET_1.jpg</t>
  </si>
  <si>
    <t>https://dd3ka9h4chfr8.cloudfront.net/image/725136000567/image_ecgofgsb355nb9gh9fvoesbh0g/-FJPG/238548-011_DET_3.jpg</t>
  </si>
  <si>
    <t>https://dd3ka9h4chfr8.cloudfront.net/image/725136000567/image_fgmfigg9fd06dei6m5julqgp3n/-FJPG/238548-011_DET_4.jpg</t>
  </si>
  <si>
    <t>https://dd3ka9h4chfr8.cloudfront.net/image/725136000567/image_8cjosct00p3an3h8t899pbu12v/-FJPG/238548-011_DET_5.jpg</t>
  </si>
  <si>
    <t>https://dd3ka9h4chfr8.cloudfront.net/image/725136000567/image_tinl6lfa0t33r45319usdcgk16/-FJPG/238548-011_DET_6.jpg</t>
  </si>
  <si>
    <t>238548-012</t>
  </si>
  <si>
    <t>Sinclair Square Ottoman-36" - Surrey Olive</t>
  </si>
  <si>
    <t>Upholstered in a deep olive velvet paired with a solid brown wood base, this 36" square ottoman can be placed just about anywhere â€“ bringing with it a luxe vibe. Style with a tray as a design-forward coffee table.</t>
  </si>
  <si>
    <t>https://dd3ka9h4chfr8.cloudfront.net/image/725136000567/image_tevtdhq29t24712g3q2r1gi50j/-S150x150-FJPG/238548-012_PRM_1.jpg</t>
  </si>
  <si>
    <t>https://dd3ka9h4chfr8.cloudfront.net/image/725136000567/image_e8f5nmr7k12bj2gcpqh7iehg45/-FJPG/238548-012_FRT_1.jpg</t>
  </si>
  <si>
    <t>https://dd3ka9h4chfr8.cloudfront.net/image/725136000567/image_tevtdhq29t24712g3q2r1gi50j/-FJPG/238548-012_PRM_1.jpg</t>
  </si>
  <si>
    <t>https://dd3ka9h4chfr8.cloudfront.net/image/725136000567/image_pq9da7p55p5klasmlknvr1l81a/-FJPG/238548-012_SID_1.jpg</t>
  </si>
  <si>
    <t>https://dd3ka9h4chfr8.cloudfront.net/image/725136000567/image_n3min41jv11dnau9b132lck60o/-FJPG/238548-012_DET_2.jpg</t>
  </si>
  <si>
    <t>https://dd3ka9h4chfr8.cloudfront.net/image/725136000567/image_4jak77otul5fd0i3vta1p5sd7u/-FJPG/238548-012_DET_1.jpg</t>
  </si>
  <si>
    <t>https://dd3ka9h4chfr8.cloudfront.net/image/725136000567/image_kq0taehrkd7j13rks9oemmf560/-FJPG/238548-012_DET_3.jpg</t>
  </si>
  <si>
    <t>https://dd3ka9h4chfr8.cloudfront.net/image/725136000567/image_5j4a06hb3t2c54kq9g3a5tqj5m/-FJPG/238548-012_DET_4.jpg</t>
  </si>
  <si>
    <t>https://dd3ka9h4chfr8.cloudfront.net/image/725136000567/image_3fhuf7ukct4id6dc80mt7f5m0g/-FJPG/238548-012_DET_5.jpg</t>
  </si>
  <si>
    <t>https://dd3ka9h4chfr8.cloudfront.net/image/725136000567/image_20nqo5uo2p0dhf12qobkqoak3m/-FJPG/238548-012_DET_6.jpg</t>
  </si>
  <si>
    <t>238548-013</t>
  </si>
  <si>
    <t>Sinclair Square Ottoman-36" - Balkan Ochre</t>
  </si>
  <si>
    <t>Upholstered in an abstract, Tibetan-inspired landscape motif, woven from soft chenille yarns with subtle texture for added depth, dimension and drama. This square ottoman can be placed just about anywhere, bringing with it a luxe vibe.</t>
  </si>
  <si>
    <t>https://dd3ka9h4chfr8.cloudfront.net/image/725136000567/image_ba1uahd1cd20pe8fhib60hs17c/-S150x150-FJPG/238548-013_PRM_1.jpg</t>
  </si>
  <si>
    <t>https://dd3ka9h4chfr8.cloudfront.net/image/725136000567/image_akii1g1mfd0d19h9vrup8fng01/-FJPG/238548-013_FRT_1.jpg</t>
  </si>
  <si>
    <t>https://dd3ka9h4chfr8.cloudfront.net/image/725136000567/image_ba1uahd1cd20pe8fhib60hs17c/-FJPG/238548-013_PRM_1.jpg</t>
  </si>
  <si>
    <t>https://dd3ka9h4chfr8.cloudfront.net/image/725136000567/image_l13uo2s0ht76d6niiltnr4pe6n/-FJPG/238548-013_SID_1.jpg</t>
  </si>
  <si>
    <t>https://dd3ka9h4chfr8.cloudfront.net/image/725136000567/image_8i129lrdsd2pb7hqb1npu6su7c/-FJPG/238548-013_ESS.tif</t>
  </si>
  <si>
    <t>https://dd3ka9h4chfr8.cloudfront.net/image/725136000567/image_full531ptp2v1e7ot0o8mcqe72/-FJPG/238548-013_DET_2.jpg</t>
  </si>
  <si>
    <t>https://dd3ka9h4chfr8.cloudfront.net/image/725136000567/image_q8h1iv8q390mtbvvo38cnkpi4p/-FJPG/238548-013_DET_1.jpg</t>
  </si>
  <si>
    <t>https://dd3ka9h4chfr8.cloudfront.net/image/725136000567/image_urlm986qr10ah69ugdr2ac6c5l/-FJPG/238548-013_DET_3.jpg</t>
  </si>
  <si>
    <t>https://dd3ka9h4chfr8.cloudfront.net/image/725136000567/image_n09j6pdi8l6157pn9vlla94p42/-FJPG/238548-013_DET_4.jpg</t>
  </si>
  <si>
    <t>https://dd3ka9h4chfr8.cloudfront.net/image/725136000567/image_nhof0jbk3549d14ips4njc4b7o/-FJPG/238548-013_DET_5.jpg</t>
  </si>
  <si>
    <t>https://dd3ka9h4chfr8.cloudfront.net/image/725136000567/image_at53nojfu13d56mjmes6prad27/-FJPG/238548-013_DET_6.jpg</t>
  </si>
  <si>
    <t>https://dd3ka9h4chfr8.cloudfront.net/image/725136000567/image_53789jd1690vj6a50ir27jme3v/-FJPG/238548-013_DET_9.tif</t>
  </si>
  <si>
    <t>238567-003</t>
  </si>
  <si>
    <t>Boden Chair - Palermo Cigar</t>
  </si>
  <si>
    <t>Palermo Cigar</t>
  </si>
  <si>
    <t>This vintage-inspired chair features deep cushioning for a relaxed, sink-in feel. Designed with cushion-wrapped arms and upholstered in a signature leather in a rich cigar shade. Parawood frame brings a monotone moment to the entire piece.</t>
  </si>
  <si>
    <t>https://dd3ka9h4chfr8.cloudfront.net/image/725136000567/image_89qb5i2hml5k5c308aj83jpr6q/-S150x150-FJPG/238567-003_PRM_1.jpg</t>
  </si>
  <si>
    <t>https://dd3ka9h4chfr8.cloudfront.net/image/725136000567/image_ju1uuki0n129d7m08vshqrqe0m/-FJPG/238567-003_FRT_1.jpg</t>
  </si>
  <si>
    <t>https://dd3ka9h4chfr8.cloudfront.net/image/725136000567/image_89qb5i2hml5k5c308aj83jpr6q/-FJPG/238567-003_PRM_1.jpg</t>
  </si>
  <si>
    <t>https://dd3ka9h4chfr8.cloudfront.net/image/725136000567/image_85s6m371il4vb2ri0cid5d7a6n/-FJPG/238567-003_SID_1.jpg</t>
  </si>
  <si>
    <t>https://dd3ka9h4chfr8.cloudfront.net/image/725136000567/image_r96lnmqs317pd9j7bc0j14h65b/-FJPG/238567-003_ESS.tif</t>
  </si>
  <si>
    <t>https://dd3ka9h4chfr8.cloudfront.net/image/725136000567/image_e1u3kuag552utan6gofahmvr2h/-FJPG/238567-003_DET_2.jpg</t>
  </si>
  <si>
    <t>https://dd3ka9h4chfr8.cloudfront.net/image/725136000567/image_kf3ul0mqk518n6eamse89eaj39/-FJPG/238567-003_BCK_1.jpg</t>
  </si>
  <si>
    <t>https://dd3ka9h4chfr8.cloudfront.net/image/725136000567/image_9aqulp4k3d5g54mvreaqlg531h/-FJPG/238567-003_DET_1.jpg</t>
  </si>
  <si>
    <t>https://dd3ka9h4chfr8.cloudfront.net/image/725136000567/image_d0qdbcbq7d74t5fbbftj7vla5u/-FJPG/238567-003_DET_3.jpg</t>
  </si>
  <si>
    <t>https://dd3ka9h4chfr8.cloudfront.net/image/725136000567/image_1ae589ebf95d3djopl25cih22k/-FJPG/238567-003_DET_4.jpg</t>
  </si>
  <si>
    <t>https://dd3ka9h4chfr8.cloudfront.net/image/725136000567/image_04bf00bvhd4f32ged0uv54906r/-FJPG/238567-003_DET_5.jpg</t>
  </si>
  <si>
    <t>https://dd3ka9h4chfr8.cloudfront.net/image/725136000567/image_7a19olle9d7er082meipvmoa2l/-FJPG/238567-003_DET_9.tif</t>
  </si>
  <si>
    <t>Boden</t>
  </si>
  <si>
    <t>29.25"</t>
  </si>
  <si>
    <t>238571-001</t>
  </si>
  <si>
    <t>Abaso Rectangular Coffee Table - Rustic Wormwood Oak</t>
  </si>
  <si>
    <t>Made from thick-cut oak veneer with a faux rustic finish made to emulate wormwood, this large, rectangular coffee table features chunky squared legs and dovetail joinery detailing.</t>
  </si>
  <si>
    <t>https://dd3ka9h4chfr8.cloudfront.net/image/725136000567/image_526lvaq5c92tt0n1sh226nv47a/-S150x150-FJPG/238571-001_PRM_1.jpg</t>
  </si>
  <si>
    <t>https://dd3ka9h4chfr8.cloudfront.net/image/725136000567/image_2r1t7bqtmd2nt0l3u04mhg5j5u/-FJPG/238571-001_FRT_1.jpg</t>
  </si>
  <si>
    <t>https://dd3ka9h4chfr8.cloudfront.net/image/725136000567/image_526lvaq5c92tt0n1sh226nv47a/-FJPG/238571-001_PRM_1.jpg</t>
  </si>
  <si>
    <t>https://dd3ka9h4chfr8.cloudfront.net/image/725136000567/image_ps287kvul90lddtg6tibkrgs7l/-FJPG/238571-001_SID_1.jpg</t>
  </si>
  <si>
    <t>https://dd3ka9h4chfr8.cloudfront.net/image/725136000567/image_5s7bq4kgsh42p88al4ua00t94f/-FJPG/238571-001_ESS_1.jpg</t>
  </si>
  <si>
    <t>https://dd3ka9h4chfr8.cloudfront.net/image/725136000567/image_r90grh9cqp5hpc4q76rc7n1774/-FJPG/238571-001_DET_2.jpg</t>
  </si>
  <si>
    <t>https://dd3ka9h4chfr8.cloudfront.net/image/725136000567/image_mno1tkittd515951vln5l1km6k/-FJPG/238571-001_DET_1.jpg</t>
  </si>
  <si>
    <t>https://dd3ka9h4chfr8.cloudfront.net/image/725136000567/image_cfo04m1gvh7jndovjvut4c7g1h/-FJPG/238571-001_DET_3.jpg</t>
  </si>
  <si>
    <t>https://dd3ka9h4chfr8.cloudfront.net/image/725136000567/image_j2kouaj3c10sb7qakg4u5iga4j/-FJPG/238571-001_DET_4.jpg</t>
  </si>
  <si>
    <t>https://dd3ka9h4chfr8.cloudfront.net/image/725136000567/image_l2spmoeeah19576b155kqm5n7m/-FJPG/238571-001_DET_5.jpg</t>
  </si>
  <si>
    <t>https://dd3ka9h4chfr8.cloudfront.net/image/725136000567/image_8k8kpa23up11letiov74pqvs2l/-FJPG/238571-001_DET_6.jpg</t>
  </si>
  <si>
    <t>https://dd3ka9h4chfr8.cloudfront.net/image/725136000567/image_edipocigb16cd8ooor5evkku2d/-FJPG/238571-001_DET_7.jpg</t>
  </si>
  <si>
    <t>https://dd3ka9h4chfr8.cloudfront.net/image/725136000567/image_5p7h8udlb95l79d8e9q7r5as7v/-FJPG/238571-001_DET_8.jpg</t>
  </si>
  <si>
    <t>54.50"</t>
  </si>
  <si>
    <t>238571-002</t>
  </si>
  <si>
    <t>Abaso Rectangular Coffee Table - Ebony Rustic Wormwood Oak</t>
  </si>
  <si>
    <t>Made from thick-cut oak veneer with a rustic ebony finish, this large rectangular coffee table features chunky squared legs and dovetail joinery detailing.</t>
  </si>
  <si>
    <t>https://dd3ka9h4chfr8.cloudfront.net/image/725136000567/image_oiest7ris17tn2124fe06k7a5l/-S150x150-FJPG/238571-002_PRM_1.jpg</t>
  </si>
  <si>
    <t>https://dd3ka9h4chfr8.cloudfront.net/image/725136000567/image_p5fou4rghl03d4mmsgceqqi01n/-FJPG/238571-002_FRT_1.jpg</t>
  </si>
  <si>
    <t>https://dd3ka9h4chfr8.cloudfront.net/image/725136000567/image_oiest7ris17tn2124fe06k7a5l/-FJPG/238571-002_PRM_1.jpg</t>
  </si>
  <si>
    <t>https://dd3ka9h4chfr8.cloudfront.net/image/725136000567/image_ieanquk7hh0e7aducqpgrcpi1k/-FJPG/238571-002_SID_1.jpg</t>
  </si>
  <si>
    <t>https://dd3ka9h4chfr8.cloudfront.net/image/725136000567/image_knpselatb95n72unkr099jfk11/-FJPG/238571-002_DET_2.jpg</t>
  </si>
  <si>
    <t>https://dd3ka9h4chfr8.cloudfront.net/image/725136000567/image_phaalr0h79233eknhfm7onei6r/-FJPG/238571-002_DET_1.jpg</t>
  </si>
  <si>
    <t>https://dd3ka9h4chfr8.cloudfront.net/image/725136000567/image_0ot2rnp0q90dv7a92hnb2uec6o/-FJPG/238571-002_DET_3.jpg</t>
  </si>
  <si>
    <t>https://dd3ka9h4chfr8.cloudfront.net/image/725136000567/image_amk5kp230p72j5j7rhn53b196u/-FJPG/238571-002_DET_4.jpg</t>
  </si>
  <si>
    <t>https://dd3ka9h4chfr8.cloudfront.net/image/725136000567/image_enafqihfc17at0qmopbqicad5p/-FJPG/238571-002_DET_5.jpg</t>
  </si>
  <si>
    <t>https://dd3ka9h4chfr8.cloudfront.net/image/725136000567/image_gvtgeglgn165r5bm6emsrnf96q/-FJPG/238571-002_DET_6.jpg</t>
  </si>
  <si>
    <t>https://dd3ka9h4chfr8.cloudfront.net/image/725136000567/image_qfm3f9rug560374h6sfobato27/-FJPG/238571-002_DET_7.jpg</t>
  </si>
  <si>
    <t>https://dd3ka9h4chfr8.cloudfront.net/image/725136000567/image_efcf8731hh2cv4pufmamg2aq1a/-FJPG/238571-002_DET_8.jpg</t>
  </si>
  <si>
    <t>238680-003</t>
  </si>
  <si>
    <t>Monette Slipcover Sofa - Brussels Natural</t>
  </si>
  <si>
    <t>This sofa is defined by slightly sloping, flared arms and a floor-length slipcover. Finished in a soft, tight weave slipcover for a traditional style. Durable and soft to the touch, Libecoâ„¢-sourced linens are artisan-made and free of toxic chemicals. Slipcovered styles are fully removable and machine-washable for easy care.</t>
  </si>
  <si>
    <t>https://dd3ka9h4chfr8.cloudfront.net/image/725136000567/image_q6susl0kql6itenr41k4rlrf6q/-S150x150-FJPG/238680-003_PRM_1.jpg</t>
  </si>
  <si>
    <t>https://dd3ka9h4chfr8.cloudfront.net/image/725136000567/image_adm8ugk5u957718i9f71ift378/-FJPG/238680-003_FRT_1.jpg</t>
  </si>
  <si>
    <t>https://dd3ka9h4chfr8.cloudfront.net/image/725136000567/image_q6susl0kql6itenr41k4rlrf6q/-FJPG/238680-003_PRM_1.jpg</t>
  </si>
  <si>
    <t>https://dd3ka9h4chfr8.cloudfront.net/image/725136000567/image_t4tpn3447l0ipcf8la4d4rfs6t/-FJPG/238680-003_SID_1.jpg</t>
  </si>
  <si>
    <t>https://dd3ka9h4chfr8.cloudfront.net/image/725136000567/image_jmi18a4p6l08t24pdbo6r31h7b/-FJPG/238680-003_ESS_1.jpg</t>
  </si>
  <si>
    <t>https://dd3ka9h4chfr8.cloudfront.net/image/725136000567/image_iqchokte8t4s5288d593oqei1n/-FJPG/238680-003_DET_2.jpg</t>
  </si>
  <si>
    <t>https://dd3ka9h4chfr8.cloudfront.net/image/725136000567/image_p558f51ihl0rdaeu3jgri8bt1u/-FJPG/238680-003_BCK_1.jpg</t>
  </si>
  <si>
    <t>https://dd3ka9h4chfr8.cloudfront.net/image/725136000567/image_qmq17bjspd2t33qg9dful26760/-FJPG/238680-003_INF_1.jpg</t>
  </si>
  <si>
    <t>https://dd3ka9h4chfr8.cloudfront.net/image/725136000567/image_8kijg4563p2rlfg9d5k3eoqn5u/-FJPG/238680-003_DET_1.jpg</t>
  </si>
  <si>
    <t>https://dd3ka9h4chfr8.cloudfront.net/image/725136000567/image_gr6qr3ff891vp47938adtoea6k/-FJPG/238680-003_DET_3.jpg</t>
  </si>
  <si>
    <t>https://dd3ka9h4chfr8.cloudfront.net/image/725136000567/image_9vc2jb66e16i758sgus9lung25/-FJPG/238680-003_DET_4.jpg</t>
  </si>
  <si>
    <t>https://dd3ka9h4chfr8.cloudfront.net/image/725136000567/image_5ljor12fg93ob1c1rfpehr4d4e/-FJPG/238680-003_DET_5.jpg</t>
  </si>
  <si>
    <t>https://dd3ka9h4chfr8.cloudfront.net/image/725136000567/image_m73qgtps1t2m3c8h5j1th5kq00/-FJPG/238680-003_DET_6.jpg</t>
  </si>
  <si>
    <t>Cover, 1 Item/1 Inner Box, 5 Boxes/1 Master Carton</t>
  </si>
  <si>
    <t>87.00"</t>
  </si>
  <si>
    <t>Monette</t>
  </si>
  <si>
    <t>84.50"</t>
  </si>
  <si>
    <t>238730-002</t>
  </si>
  <si>
    <t>Kickapoo River Cricket Table - Distressed Black Veneer</t>
  </si>
  <si>
    <t>Distressed Black Veneer</t>
  </si>
  <si>
    <t>By the makers at Van Thiel, known for their antique-inspired pieces and hand-applied finishes. A versatile end table of distressed black pine brings an extra surface or seat to any room.</t>
  </si>
  <si>
    <t>https://dd3ka9h4chfr8.cloudfront.net/image/725136000567/image_uguinaog5519t9v3arpfai1l4b/-S150x150-FJPG/238730-002_PRM_1.jpg</t>
  </si>
  <si>
    <t>https://dd3ka9h4chfr8.cloudfront.net/image/725136000567/image_0et943dj7h4a3bncu9k2s6a865/-FJPG/238730-002_FRT_1.jpg</t>
  </si>
  <si>
    <t>https://dd3ka9h4chfr8.cloudfront.net/image/725136000567/image_uguinaog5519t9v3arpfai1l4b/-FJPG/238730-002_PRM_1.jpg</t>
  </si>
  <si>
    <t>https://dd3ka9h4chfr8.cloudfront.net/image/725136000567/image_bsa1ql7tt55o95pucmv8r1co42/-FJPG/238730-002_SID_1.jpg</t>
  </si>
  <si>
    <t>https://dd3ka9h4chfr8.cloudfront.net/image/725136000567/image_ojpardttat22tftjan2apnk65g/-FJPG/238730-002_ESS_1.tif</t>
  </si>
  <si>
    <t>https://dd3ka9h4chfr8.cloudfront.net/image/725136000567/image_irh14uikr97nhaucjujghaeb0q/-FJPG/238730-002_DET_2.jpg</t>
  </si>
  <si>
    <t>https://dd3ka9h4chfr8.cloudfront.net/image/725136000567/image_vdbb1ort0h5kj43osha5voek6j/-FJPG/238730-002_BCK_1.jpg</t>
  </si>
  <si>
    <t>https://dd3ka9h4chfr8.cloudfront.net/image/725136000567/image_9scrhauuep3ddc7k8h8fpibs5v/-FJPG/238730-002_DET_1.jpg</t>
  </si>
  <si>
    <t>https://dd3ka9h4chfr8.cloudfront.net/image/725136000567/image_9u9pg2egq12ud6meugqv378c76/-FJPG/238730-002_DET_3.jpg</t>
  </si>
  <si>
    <t>https://dd3ka9h4chfr8.cloudfront.net/image/725136000567/image_nq06a83f513k74shbb0dgs7c64/-FJPG/238730-002_TOP_1.jpg</t>
  </si>
  <si>
    <t>https://dd3ka9h4chfr8.cloudfront.net/image/725136000567/image_sjd66poo0t5f5dtfnj010m2q0i/-FJPG/238730-002_DET_4.jpg</t>
  </si>
  <si>
    <t>https://dd3ka9h4chfr8.cloudfront.net/image/725136000567/image_8m83j5eka14nfe1nvjl6s1gc4j/-FJPG/238730-002_DET_9.tif</t>
  </si>
  <si>
    <t>https://dd3ka9h4chfr8.cloudfront.net/image/725136000567/image_6tvd3v2tb554f8ikbtjo85qq2m/-FJPG/238730-002_DET_10.tif</t>
  </si>
  <si>
    <t>15.71"</t>
  </si>
  <si>
    <t>Kickapoo River Cricket</t>
  </si>
  <si>
    <t>1.71"</t>
  </si>
  <si>
    <t>238732-001</t>
  </si>
  <si>
    <t>The Pimms Table - Aged Brown Veneer</t>
  </si>
  <si>
    <t>Zinc Alloy</t>
  </si>
  <si>
    <t>Brown-finished pine forms a versatile three-legged end table with a playful feel. By the makers at Van Thiel, known for their antique-inspired pieces and hand-applied finishes.</t>
  </si>
  <si>
    <t>https://dd3ka9h4chfr8.cloudfront.net/image/725136000567/image_rcrhvfs4e91bd2qiukf2m1sg29/-S150x150-FJPG/238732-001_PRM_1.jpg</t>
  </si>
  <si>
    <t>https://dd3ka9h4chfr8.cloudfront.net/image/725136000567/image_tfqvr26vvh7h590k4qln1no65t/-FJPG/238732-001_FRT_1.jpg</t>
  </si>
  <si>
    <t>https://dd3ka9h4chfr8.cloudfront.net/image/725136000567/image_rcrhvfs4e91bd2qiukf2m1sg29/-FJPG/238732-001_PRM_1.jpg</t>
  </si>
  <si>
    <t>https://dd3ka9h4chfr8.cloudfront.net/image/725136000567/image_akbr27h9ft1e3511qfmpogdv27/-FJPG/238732-001_SID_1.jpg</t>
  </si>
  <si>
    <t>https://dd3ka9h4chfr8.cloudfront.net/image/725136000567/image_km96gt161p1ib5iuavvqqnf65p/-FJPG/238732-001_ESS_1.jpg</t>
  </si>
  <si>
    <t>https://dd3ka9h4chfr8.cloudfront.net/image/725136000567/image_sp3ntd517l4eh6q4qmrfkav356/-FJPG/238732-001_ESS_1.tif</t>
  </si>
  <si>
    <t>https://dd3ka9h4chfr8.cloudfront.net/image/725136000567/image_amtdhp24f94qv1q0u7a34d7n19/-FJPG/238732-001_DET_2.jpg</t>
  </si>
  <si>
    <t>https://dd3ka9h4chfr8.cloudfront.net/image/725136000567/image_s783qsl75p1cl3b15nmj2v4a71/-FJPG/238732-001_BCK_1..jpg</t>
  </si>
  <si>
    <t>https://dd3ka9h4chfr8.cloudfront.net/image/725136000567/image_96mcagsphd1ldaucs6m31tc209/-FJPG/238732-001_BCK_1.jpg</t>
  </si>
  <si>
    <t>https://dd3ka9h4chfr8.cloudfront.net/image/725136000567/image_54gvrs0aoh3q55agnf037lmr11/-FJPG/238732-001_DET_1.jpg</t>
  </si>
  <si>
    <t>https://dd3ka9h4chfr8.cloudfront.net/image/725136000567/image_3aclbc4f5d3sl7hjdn7ccbsh1b/-FJPG/238732-001_DET_3.jpg</t>
  </si>
  <si>
    <t>https://dd3ka9h4chfr8.cloudfront.net/image/725136000567/image_81gt2tf72575n6fv8b3j5p276a/-FJPG/238732-001_TOP_1.jpg</t>
  </si>
  <si>
    <t>https://dd3ka9h4chfr8.cloudfront.net/image/725136000567/image_d48mq287ih6mj6r5tnri0ne93a/-FJPG/238732-001_DET_4.jpg</t>
  </si>
  <si>
    <t>https://dd3ka9h4chfr8.cloudfront.net/image/725136000567/image_krhpiq125h6p13sv9u15i56u5g/-FJPG/238732-001_DET_5.jpg</t>
  </si>
  <si>
    <t>The Pimms</t>
  </si>
  <si>
    <t>1.08"</t>
  </si>
  <si>
    <t>238772-001</t>
  </si>
  <si>
    <t>Shizuko Sideboard - Distressed Walnut</t>
  </si>
  <si>
    <t>Made from solid birch wood and inspired by antique Chinese furniture, with clean lines, inset legs and spacious lower shelving. Four small drawers are flanked by two-door cabinets on each side, giving the piece an unexpected design format. A distressed walnut finish plays up a natural patina.</t>
  </si>
  <si>
    <t>https://dd3ka9h4chfr8.cloudfront.net/image/725136000567/image_dc8aunt2511c54k9tsphsl0n0v/-S150x150-FJPG/238772-001_PRM_1.jpg</t>
  </si>
  <si>
    <t>https://dd3ka9h4chfr8.cloudfront.net/image/725136000567/image_jqh5qc8i3l20j7t3skcfsmhj61/-FJPG/238772-001_FRT_1.jpg</t>
  </si>
  <si>
    <t>https://dd3ka9h4chfr8.cloudfront.net/image/725136000567/image_dc8aunt2511c54k9tsphsl0n0v/-FJPG/238772-001_PRM_1.jpg</t>
  </si>
  <si>
    <t>https://dd3ka9h4chfr8.cloudfront.net/image/725136000567/image_a1du812buh2tpfja5k5qbsco0f/-FJPG/238772-001_SID_1.jpg</t>
  </si>
  <si>
    <t>https://dd3ka9h4chfr8.cloudfront.net/image/725136000567/image_99vooef36t3jp3jnd0sk7mk34u/-FJPG/238772-001_ESS.tif</t>
  </si>
  <si>
    <t>https://dd3ka9h4chfr8.cloudfront.net/image/725136000567/image_jibv74a01h5158lrads1jsdt2m/-FJPG/238772-001_DET_2.jpg</t>
  </si>
  <si>
    <t>https://dd3ka9h4chfr8.cloudfront.net/image/725136000567/image_vbvqfnrlhh0qpd68h7meb31r6p/-FJPG/238772-001_BCK_1.jpg</t>
  </si>
  <si>
    <t>https://dd3ka9h4chfr8.cloudfront.net/image/725136000567/image_tapk3sd9it0o59642juftrh80h/-FJPG/238772-001_DET_1.jpg</t>
  </si>
  <si>
    <t>https://dd3ka9h4chfr8.cloudfront.net/image/725136000567/image_okdkccmca57jt2fanou22f585c/-FJPG/238772-001_DET_3.jpg</t>
  </si>
  <si>
    <t>https://dd3ka9h4chfr8.cloudfront.net/image/725136000567/image_ko5rov1s9h3m75oht791rvr94h/-FJPG/238772-001_OPN_1.jpg</t>
  </si>
  <si>
    <t>https://dd3ka9h4chfr8.cloudfront.net/image/725136000567/image_deh61fb9jh55pd586jk7pfmj2f/-FJPG/238772-001_DET_4.jpg</t>
  </si>
  <si>
    <t>https://dd3ka9h4chfr8.cloudfront.net/image/725136000567/image_v8tr2td8nh0df6cri92m5ca93u/-FJPG/238772-001_DET_5.jpg</t>
  </si>
  <si>
    <t>https://dd3ka9h4chfr8.cloudfront.net/image/725136000567/image_q9n4rs30lp1mn3kjrahfb7qn0j/-FJPG/238772-001_DET_6.jpg</t>
  </si>
  <si>
    <t>https://dd3ka9h4chfr8.cloudfront.net/image/725136000567/image_14rsr2cost6jbe6l24ka63u23e/-FJPG/238772-001_DET_7.jpg</t>
  </si>
  <si>
    <t>https://dd3ka9h4chfr8.cloudfront.net/image/725136000567/image_ep1i9001j906d8bhvigef1257c/-FJPG/238772-001_DET_8.jpg</t>
  </si>
  <si>
    <t>https://dd3ka9h4chfr8.cloudfront.net/image/725136000567/image_uph3tkq65l5jp0vi8ef5kicv7r/-FJPG/238772-001_OPN_2.jpg</t>
  </si>
  <si>
    <t>One Sideboard</t>
  </si>
  <si>
    <t>Shizuko</t>
  </si>
  <si>
    <t>8.78"</t>
  </si>
  <si>
    <t>37.64"</t>
  </si>
  <si>
    <t>238970-005</t>
  </si>
  <si>
    <t>Radley Power Recliner 3-Piece Sectional - Sonoma Coco</t>
  </si>
  <si>
    <t>https://dd3ka9h4chfr8.cloudfront.net/image/725136000567/image_aiu416f3o92k11s01a8se9c05l/-S150x150-FJPG/238970-005_PRM_1.jpg</t>
  </si>
  <si>
    <t>https://dd3ka9h4chfr8.cloudfront.net/image/725136000567/image_cn5f6aqcst5ltfpkdf751t4a0h/-FJPG/238970-005_FRT_1.jpg</t>
  </si>
  <si>
    <t>https://dd3ka9h4chfr8.cloudfront.net/image/725136000567/image_aiu416f3o92k11s01a8se9c05l/-FJPG/238970-005_PRM_1.jpg</t>
  </si>
  <si>
    <t>https://dd3ka9h4chfr8.cloudfront.net/image/725136000567/image_eh0cqcl0al71jdl83b7ml8rp70/-FJPG/238970-005_SID_1.jpg</t>
  </si>
  <si>
    <t>https://dd3ka9h4chfr8.cloudfront.net/image/725136000567/image_1q7bg6n1sp3jtatmj1mddghf4h/-FJPG/238970-005_ESS.tif</t>
  </si>
  <si>
    <t>https://dd3ka9h4chfr8.cloudfront.net/image/725136000567/image_2fbld9qrid2tpb7p3nnf4kpi3s/-FJPG/238970-005_DET_2.jpg</t>
  </si>
  <si>
    <t>https://dd3ka9h4chfr8.cloudfront.net/image/725136000567/image_othmavd4st6fj84n5iv7hbmi26/-FJPG/238970-005_BCK_1.jpg</t>
  </si>
  <si>
    <t>https://dd3ka9h4chfr8.cloudfront.net/image/725136000567/image_mjuh8i2fht1br0p4ao1remqa6h/-FJPG/238970-005_DET_1.jpg</t>
  </si>
  <si>
    <t>https://dd3ka9h4chfr8.cloudfront.net/image/725136000567/image_adofrlkbi55k12o7dtlt075s2f/-FJPG/238970-005_DET_9.tif</t>
  </si>
  <si>
    <t>https://dd3ka9h4chfr8.cloudfront.net/image/725136000567/image_mn9qnbbdhl4opat7kqd3m1i47n/-FJPG/238970-005_PRM_2.jpg</t>
  </si>
  <si>
    <t>https://dd3ka9h4chfr8.cloudfront.net/image/725136000567/image_sj8b03ktld1154372k0ksgpq4r/-FJPG/238970-005_FRT_2.jpg</t>
  </si>
  <si>
    <t>https://dd3ka9h4chfr8.cloudfront.net/image/725136000567/image_6cjbj1hfo940d7fk28eq5p963k/-FJPG/238970-005_ESS_2.tif</t>
  </si>
  <si>
    <t>https://dd3ka9h4chfr8.cloudfront.net/image/725136000567/image_l0qi0e7p152u90g3fertvktj73/-FJPG/238970-005_BCK_2.jpg</t>
  </si>
  <si>
    <t>L Shape Box Complete Item</t>
  </si>
  <si>
    <t>1050 lb</t>
  </si>
  <si>
    <t>238975-001</t>
  </si>
  <si>
    <t>Tillery Power Recliner 3-Piece Sectional - Antigo Natural</t>
  </si>
  <si>
    <t>A modern, elevated take on the traditional recliner sectional. Customize your comfort level with the push of hidden buttons with pieces in our Power Motion collection. Sectional features a slightly higher seat and backrest, low, sleek arms, and a motion footrest. Plush feather-blend cushions create a relaxed look and feel. Fluff cushions regularly to maintain appearance. Zero-clearance design means the chair can be placed up against a wall. Performance fabrics are specially created to withstand spills, stains, high traffic and wear, ensuring long-term comfort and unmatched durability. Includes 9'5" power cord. There is a six-motor maximum per power outlet. Each motor comes with a two-year warranty.</t>
  </si>
  <si>
    <t>https://dd3ka9h4chfr8.cloudfront.net/image/725136000567/image_dep69bjgu16h52c1dr5c67om0o/-S150x150-FJPG/238975-001_PRM_1.jpg</t>
  </si>
  <si>
    <t>https://dd3ka9h4chfr8.cloudfront.net/image/725136000567/image_smon1d7v996tb8q29oe38gpg7g/-FJPG/238975-001_FRT_1.jpg</t>
  </si>
  <si>
    <t>https://dd3ka9h4chfr8.cloudfront.net/image/725136000567/image_dep69bjgu16h52c1dr5c67om0o/-FJPG/238975-001_PRM_1.jpg</t>
  </si>
  <si>
    <t>https://dd3ka9h4chfr8.cloudfront.net/image/725136000567/image_3vq7cq48cp18t82v8tre2lck45/-FJPG/238975-001_SID_1.jpg</t>
  </si>
  <si>
    <t>https://dd3ka9h4chfr8.cloudfront.net/image/725136000567/image_t7ctgjdvr971d0oakuhshb9p0s/-FJPG/238975-001_ESS.tif</t>
  </si>
  <si>
    <t>https://dd3ka9h4chfr8.cloudfront.net/image/725136000567/image_k49e014d2h0sj43i42hqlblr5h/-FJPG/238975-001_DET_2.jpg</t>
  </si>
  <si>
    <t>https://dd3ka9h4chfr8.cloudfront.net/image/725136000567/image_bq7ll2i7g144r6p4abb8baip49/-FJPG/238975-001_BCK_1.jpg</t>
  </si>
  <si>
    <t>https://dd3ka9h4chfr8.cloudfront.net/image/725136000567/image_oaahl9bbil359es2rgkqeftp22/-FJPG/238975-001_DET_1.jpg</t>
  </si>
  <si>
    <t>https://dd3ka9h4chfr8.cloudfront.net/image/725136000567/image_k2i35kf8c543fdqh1favohhp4l/-FJPG/238975-001_DET_9.tif</t>
  </si>
  <si>
    <t>https://dd3ka9h4chfr8.cloudfront.net/image/725136000567/image_dd1jdh8v2d6lp0ds74kshc283b/-FJPG/238975-001_DET_10.tif</t>
  </si>
  <si>
    <t>https://dd3ka9h4chfr8.cloudfront.net/image/725136000567/image_6bo3s90o8t0u55of974b0b0v55/-FJPG/238975-001_ROM_1.jpg</t>
  </si>
  <si>
    <t>https://dd3ka9h4chfr8.cloudfront.net/image/725136000567/image_eau7lfg51h2et4mmuhqo3q441u/-FJPG/238975-001_HOV_1.jpg</t>
  </si>
  <si>
    <t>https://dd3ka9h4chfr8.cloudfront.net/image/725136000567/image_id17fj8tf96896vhj8tg37e16f/-FJPG/238975-001_PRM_2.jpg</t>
  </si>
  <si>
    <t>https://dd3ka9h4chfr8.cloudfront.net/image/725136000567/image_nj8he9rkql2q3e0svvqeeve06u/-FJPG/238975-001_FRT_2.jpg</t>
  </si>
  <si>
    <t>https://dd3ka9h4chfr8.cloudfront.net/image/725136000567/image_2o49jlonfl6m92k5ksfj93io2t/-FJPG/238975-001_ESS_2.tif</t>
  </si>
  <si>
    <t>Tillery</t>
  </si>
  <si>
    <t>238975-002</t>
  </si>
  <si>
    <t>Tillery Power Recliner 3-Piece Sectional - Sonoma Butterscotch</t>
  </si>
  <si>
    <t>A modern take on the traditional recliner sectional Customize your comfort level with the push of hidden buttons with pieces in our Power Motion collection. Sectional features a slightly higher seat and backrest, low, sleek arms, and a motion footrest. Plush feather-blend cushions create a relaxed look and feel. Fluff cushions regularly to maintain appearance. Zero-clearance design means the chair can be placed up against a wall. Upholstered in top-grain leather exclusive to Four Hands with slightly distressed character. Includes 9'5" power cord. There is a six-motor maximum per power outlet. Each motor comes with a two-year warranty.</t>
  </si>
  <si>
    <t>https://dd3ka9h4chfr8.cloudfront.net/image/725136000567/image_2fktnbevo53lvahqakni2k1s7n/-S150x150-FJPG/238975-002_PRM_1.jpg</t>
  </si>
  <si>
    <t>https://dd3ka9h4chfr8.cloudfront.net/image/725136000567/image_ae46ji45c12d30hmebtqmljo7e/-FJPG/238975-002_FRT_1.jpg</t>
  </si>
  <si>
    <t>https://dd3ka9h4chfr8.cloudfront.net/image/725136000567/image_2fktnbevo53lvahqakni2k1s7n/-FJPG/238975-002_PRM_1.jpg</t>
  </si>
  <si>
    <t>https://dd3ka9h4chfr8.cloudfront.net/image/725136000567/image_2k01ioh3u13avft22cjjjtl924/-FJPG/238975-002_SID_1.jpg</t>
  </si>
  <si>
    <t>https://dd3ka9h4chfr8.cloudfront.net/image/725136000567/image_lmvi079di96ere67fjr2usmg4l/-FJPG/238975-002_ESS_1.jpg</t>
  </si>
  <si>
    <t>https://dd3ka9h4chfr8.cloudfront.net/image/725136000567/image_b9riquog5h2r1cficf7psiji54/-FJPG/238975-002_DET_2.jpg</t>
  </si>
  <si>
    <t>https://dd3ka9h4chfr8.cloudfront.net/image/725136000567/image_cgif7iekr160t49eq711et1j1k/-FJPG/238975-002_BCK_1.jpg</t>
  </si>
  <si>
    <t>https://dd3ka9h4chfr8.cloudfront.net/image/725136000567/image_4oc72195c91fj21so42t6eub0m/-FJPG/238975-002_DET_1.jpg</t>
  </si>
  <si>
    <t>https://dd3ka9h4chfr8.cloudfront.net/image/725136000567/image_69h4173sj11fp7h2g04u8tnb1v/-FJPG/238975-002_DET_3.jpg</t>
  </si>
  <si>
    <t>https://dd3ka9h4chfr8.cloudfront.net/image/725136000567/image_smd4abcg215kle2td4j0ah664m/-FJPG/238975-002_PRM_2.jpg</t>
  </si>
  <si>
    <t>https://dd3ka9h4chfr8.cloudfront.net/image/725136000567/image_k7bvlnkus54v3d40c3cokvgn1v/-FJPG/238975-002_FRT_2.jpg</t>
  </si>
  <si>
    <t>https://dd3ka9h4chfr8.cloudfront.net/image/725136000567/image_lddmala6tp2j19r7bke5163l2m/-FJPG/238975-002_FRT_3.jpg</t>
  </si>
  <si>
    <t>https://dd3ka9h4chfr8.cloudfront.net/image/725136000567/image_a505c2n3qt6r15ot3trh2u0v7v/-FJPG/238975-002_PRM_3.jpg</t>
  </si>
  <si>
    <t>238975-003</t>
  </si>
  <si>
    <t>Tillery Power Recliner 3-Piece Sectional - Laken Stone</t>
  </si>
  <si>
    <t>A modern, elevated take on the traditional recliner sectional. Customize your comfort level with the push of hidden buttons with pieces in our Power Motion collection. Recliner features a slightly higher seat and backrest, low, sleek arms, and a motion footrest. Plush feather-blend cushions create a relaxed look and feel. Fluff cushions regularly to maintain appearance. Zero-clearance design means the chair can be placed up against a wall. Includes 9'5" power cord. There is a six-motor maximum per power outlet. Each motor comes with a two-year warranty.</t>
  </si>
  <si>
    <t>https://dd3ka9h4chfr8.cloudfront.net/image/725136000567/image_7rp16cb1s55ar6fesja1grsv37/-S150x150-FJPG/238975-003_PRM_1.JPG</t>
  </si>
  <si>
    <t>https://dd3ka9h4chfr8.cloudfront.net/image/725136000567/image_p7r1am5njh6lv83qr6oh64b818/-FJPG/238975-003_FRT_1.JPG</t>
  </si>
  <si>
    <t>https://dd3ka9h4chfr8.cloudfront.net/image/725136000567/image_7rp16cb1s55ar6fesja1grsv37/-FJPG/238975-003_PRM_1.JPG</t>
  </si>
  <si>
    <t>https://dd3ka9h4chfr8.cloudfront.net/image/725136000567/image_kcusou3pet67pcepjsurq4ak4s/-FJPG/238975-003_SID_1.JPG</t>
  </si>
  <si>
    <t>https://dd3ka9h4chfr8.cloudfront.net/image/725136000567/image_0uejss5bv574led1vf81ch0l4v/-FJPG/238975-003_DET_2.JPG</t>
  </si>
  <si>
    <t>https://dd3ka9h4chfr8.cloudfront.net/image/725136000567/image_e56747ipsh4h36cla9jr45gp0h/-FJPG/238975-003_BCK_1.JPG</t>
  </si>
  <si>
    <t>https://dd3ka9h4chfr8.cloudfront.net/image/725136000567/image_nu884lsp594j32e2rhodneva06/-FJPG/238975-003_DET_1.JPG</t>
  </si>
  <si>
    <t>https://dd3ka9h4chfr8.cloudfront.net/image/725136000567/image_krj5crrmhp25b3th5oe4nl8976/-FJPG/238975-003_DET_3.JPG</t>
  </si>
  <si>
    <t>https://dd3ka9h4chfr8.cloudfront.net/image/725136000567/image_5lrvlocptd19vcdff8dakbp06l/-FJPG/238975-003_OPN_1.JPG</t>
  </si>
  <si>
    <t>https://dd3ka9h4chfr8.cloudfront.net/image/725136000567/image_rij1opvti557d5vuu4mbj18i2c/-FJPG/238975-003_OPN_2.JPG</t>
  </si>
  <si>
    <t>238975-004</t>
  </si>
  <si>
    <t>Tillery Power Recliner 3-Piece Sectional - Crypton Nomad Taupe</t>
  </si>
  <si>
    <t>https://dd3ka9h4chfr8.cloudfront.net/image/725136000567/image_sdg76t74113av73rqhih5vfs13/-S150x150-FJPG/238975-004_PRM_1.jpg</t>
  </si>
  <si>
    <t>https://dd3ka9h4chfr8.cloudfront.net/image/725136000567/image_0hdvbj9tb54mhamr9fqsmrgs2p/-FJPG/238975-004_FRT_1.jpg</t>
  </si>
  <si>
    <t>https://dd3ka9h4chfr8.cloudfront.net/image/725136000567/image_sdg76t74113av73rqhih5vfs13/-FJPG/238975-004_PRM_1.jpg</t>
  </si>
  <si>
    <t>https://dd3ka9h4chfr8.cloudfront.net/image/725136000567/image_6u5seuf0rd5jl6f7p2ssojha5c/-FJPG/238975-004_SID_1.jpg</t>
  </si>
  <si>
    <t>https://dd3ka9h4chfr8.cloudfront.net/image/725136000567/image_gvngpkn5j17cl601k86ohb781h/-FJPG/238975-004_ESS.tif</t>
  </si>
  <si>
    <t>https://dd3ka9h4chfr8.cloudfront.net/image/725136000567/image_j1l3m68ush5ipeovppinbp052s/-FJPG/238975-004_DET_2.jpg</t>
  </si>
  <si>
    <t>https://dd3ka9h4chfr8.cloudfront.net/image/725136000567/image_vq0i4jssmh3lf9d63i18k4553d/-FJPG/238975-004_BCK_1.jpg</t>
  </si>
  <si>
    <t>https://dd3ka9h4chfr8.cloudfront.net/image/725136000567/image_0esg8lq1rp3rb0j1ep45jbuh2g/-FJPG/238975-004_DET_1.jpg</t>
  </si>
  <si>
    <t>https://dd3ka9h4chfr8.cloudfront.net/image/725136000567/image_oh3h30nep52f5f8l0o0uob514u/-FJPG/238975-004_DET_3.jpg</t>
  </si>
  <si>
    <t>https://dd3ka9h4chfr8.cloudfront.net/image/725136000567/image_ig8vpk7utl5qv7jj05v1q6tv33/-FJPG/238975-004_DET_4.jpg</t>
  </si>
  <si>
    <t>https://dd3ka9h4chfr8.cloudfront.net/image/725136000567/image_5n8r75u0c532j76rvkjg7ct725/-FJPG/238975-004_DET_5.jpg</t>
  </si>
  <si>
    <t>https://dd3ka9h4chfr8.cloudfront.net/image/725136000567/image_b4a2ijn38d3mpbmvvvtuk07i4m/-FJPG/238975-004_PRM_2.jpg</t>
  </si>
  <si>
    <t>https://dd3ka9h4chfr8.cloudfront.net/image/725136000567/image_tgn182galh5uf6dpe791h98u51/-FJPG/238975-004_ESS_2.tif</t>
  </si>
  <si>
    <t>https://dd3ka9h4chfr8.cloudfront.net/image/725136000567/image_b51qpt10813r99tp17h995445e/-FJPG/238975-004_FRT_2.jpg</t>
  </si>
  <si>
    <t>238975-005</t>
  </si>
  <si>
    <t>Tillery Power Recliner 3-Piece Sectional - Sonoma Coco</t>
  </si>
  <si>
    <t>https://dd3ka9h4chfr8.cloudfront.net/image/725136000567/image_5phgfact496j5b7894c1rtec56/-S150x150-FJPG/238975-005_PRM_1.jpg</t>
  </si>
  <si>
    <t>https://dd3ka9h4chfr8.cloudfront.net/image/725136000567/image_ehsj5si3g116l9hdqtq8gb6971/-FJPG/238975-005_FRT_1.jpg</t>
  </si>
  <si>
    <t>https://dd3ka9h4chfr8.cloudfront.net/image/725136000567/image_5phgfact496j5b7894c1rtec56/-FJPG/238975-005_PRM_1.jpg</t>
  </si>
  <si>
    <t>https://dd3ka9h4chfr8.cloudfront.net/image/725136000567/image_s5bf2l3u694434980qmus3446t/-FJPG/238975-005_SID_1.jpg</t>
  </si>
  <si>
    <t>https://dd3ka9h4chfr8.cloudfront.net/image/725136000567/image_52ge1jepq927b8mdhrl85m7l7u/-FJPG/238975-005_DET_2.jpg</t>
  </si>
  <si>
    <t>https://dd3ka9h4chfr8.cloudfront.net/image/725136000567/image_asgm508j4p4217nvc4l68eq158/-FJPG/238975-005_BCK_1.jpg</t>
  </si>
  <si>
    <t>https://dd3ka9h4chfr8.cloudfront.net/image/725136000567/image_rekotrrert6jr9i3paqq9ned05/-FJPG/238975-005_DET_1.jpg</t>
  </si>
  <si>
    <t>https://dd3ka9h4chfr8.cloudfront.net/image/725136000567/image_pm9s20i5od08t0poifquhm336b/-FJPG/238975-005_DET_3.jpg</t>
  </si>
  <si>
    <t>https://dd3ka9h4chfr8.cloudfront.net/image/725136000567/image_dq2qqet3n90htfsmmfduep7m06/-FJPG/238975-005_PRM_2.jpg</t>
  </si>
  <si>
    <t>https://dd3ka9h4chfr8.cloudfront.net/image/725136000567/image_r76j61j6kt1krcmuphg680ci49/-FJPG/238975-005_SID_2.jpg</t>
  </si>
  <si>
    <t>https://dd3ka9h4chfr8.cloudfront.net/image/725136000567/image_9v8a3vpopp5732391l6700l06u/-FJPG/238975-005_FRT_2.jpg</t>
  </si>
  <si>
    <t>239081-002</t>
  </si>
  <si>
    <t>Winchester Coffee Table - Smoked Alder</t>
  </si>
  <si>
    <t>Smoked Alder</t>
  </si>
  <si>
    <t>Smoked Alder Solid</t>
  </si>
  <si>
    <t>Resawn Alder Veneer</t>
  </si>
  <si>
    <t>Solid Alder</t>
  </si>
  <si>
    <t>Smoked alder shapes a character-rich coffee table with Wabi Sabi vibes. Joinery pulls through stretchers, with groove detailing on legs, for an artisan feel.</t>
  </si>
  <si>
    <t>https://dd3ka9h4chfr8.cloudfront.net/image/725136000567/image_u74s77p5e96etejrufn80iq378/-S150x150-FJPG/239081-002_PRM_1.jpg</t>
  </si>
  <si>
    <t>https://dd3ka9h4chfr8.cloudfront.net/image/725136000567/image_cocu5edeql691049smontfhh5a/-FJPG/239081-002_FRT_1.jpg</t>
  </si>
  <si>
    <t>https://dd3ka9h4chfr8.cloudfront.net/image/725136000567/image_u74s77p5e96etejrufn80iq378/-FJPG/239081-002_PRM_1.jpg</t>
  </si>
  <si>
    <t>https://dd3ka9h4chfr8.cloudfront.net/image/725136000567/image_fhcl7s08gp33v0aqr0vcp5or38/-FJPG/239081-002_SID_1.jpg</t>
  </si>
  <si>
    <t>https://dd3ka9h4chfr8.cloudfront.net/image/725136000567/image_nn4fhjahat7f39ri673k0bih5v/-FJPG/239081-002_ESS.tif</t>
  </si>
  <si>
    <t>https://dd3ka9h4chfr8.cloudfront.net/image/725136000567/image_26b6gqgpv143lajhagnka2q722/-FJPG/239081-002_DET_2.jpg</t>
  </si>
  <si>
    <t>https://dd3ka9h4chfr8.cloudfront.net/image/725136000567/image_mnipcsem3h5lt3utbh8ado335n/-FJPG/239081-002_BCK_1.jpg</t>
  </si>
  <si>
    <t>https://dd3ka9h4chfr8.cloudfront.net/image/725136000567/image_6o6hk8dont7v90r7n1tcqte735/-FJPG/239081-002_DET_3.jpg</t>
  </si>
  <si>
    <t>https://dd3ka9h4chfr8.cloudfront.net/image/725136000567/image_dc14cek0lh56v6uiguvg1g0h45/-FJPG/239081-002_TOP_1.jpg</t>
  </si>
  <si>
    <t>https://dd3ka9h4chfr8.cloudfront.net/image/725136000567/image_7b2dneo3bl5cfdo7o6esdsoi3e/-FJPG/239081-002_DET_4.jpg</t>
  </si>
  <si>
    <t>https://dd3ka9h4chfr8.cloudfront.net/image/725136000567/image_6peol75b1538t9te4c54lolo74/-FJPG/239081-002_DET_5.jpg</t>
  </si>
  <si>
    <t>https://dd3ka9h4chfr8.cloudfront.net/image/725136000567/image_bakkn0s9dt2cj2icebbcjlbj3b/-FJPG/239081-002_DET_9.tif</t>
  </si>
  <si>
    <t>Winchester</t>
  </si>
  <si>
    <t>52.13"</t>
  </si>
  <si>
    <t>239124-001</t>
  </si>
  <si>
    <t>Julius Swivel Chair - Sheldon Ivory</t>
  </si>
  <si>
    <t>With a high, yarn-like pile that's soft to the touch, ivory upholstery pairs with an S-spring seat and enveloped frame for an inviting look and feel on this 360-degree swivel chair.</t>
  </si>
  <si>
    <t>https://dd3ka9h4chfr8.cloudfront.net/image/725136000567/image_00kmmr8ov54192jelab4hmcs1h/-S150x150-FJPG/239124-001_PRM_1.jpg</t>
  </si>
  <si>
    <t>https://dd3ka9h4chfr8.cloudfront.net/image/725136000567/image_hvkep967fl0qd095i9uoarcj37/-FJPG/239124-001_FRT_1.jpg</t>
  </si>
  <si>
    <t>https://dd3ka9h4chfr8.cloudfront.net/image/725136000567/image_00kmmr8ov54192jelab4hmcs1h/-FJPG/239124-001_PRM_1.jpg</t>
  </si>
  <si>
    <t>https://dd3ka9h4chfr8.cloudfront.net/image/725136000567/image_uo3ess1ebl5293oel7hp6uj628/-FJPG/239124-001_SID_1.jpg</t>
  </si>
  <si>
    <t>https://dd3ka9h4chfr8.cloudfront.net/image/725136000567/image_nkqb97ipqt285bl7qhen2d6t37/-FJPG/239124-001_ESS_1.tif</t>
  </si>
  <si>
    <t>https://dd3ka9h4chfr8.cloudfront.net/image/725136000567/image_840g5iujrt0f5ad9nehsgs7j17/-FJPG/239124-001_DET_2.jpg</t>
  </si>
  <si>
    <t>https://dd3ka9h4chfr8.cloudfront.net/image/725136000567/image_8irmt4ij950srdmbqpiu87i67r/-FJPG/239124-001_BCK_1.jpg</t>
  </si>
  <si>
    <t>https://dd3ka9h4chfr8.cloudfront.net/image/725136000567/image_t10db5te4h0nfantqgggfioc1j/-FJPG/239124-001_DET_1.jpg</t>
  </si>
  <si>
    <t>https://dd3ka9h4chfr8.cloudfront.net/image/725136000567/image_iliqoqinil52t3o3lf8r0edn3m/-FJPG/239124-001_DET_3.jpg</t>
  </si>
  <si>
    <t>https://dd3ka9h4chfr8.cloudfront.net/image/725136000567/image_cpqu2m38mt1416lmb4qm1f5i2v/-FJPG/239124-001_DET_4.jpg</t>
  </si>
  <si>
    <t>https://dd3ka9h4chfr8.cloudfront.net/image/725136000567/image_ajqh4q9vap6dv3j1emmj6n9g3u/-FJPG/239124-001_DET_5.jpg</t>
  </si>
  <si>
    <t>Julius</t>
  </si>
  <si>
    <t>239124-002</t>
  </si>
  <si>
    <t>Julius Swivel Chair - Surrey Cocoa</t>
  </si>
  <si>
    <t>Velvety chocolate-brown upholstery pairs with an S-spring seat and enveloped frame for an inviting look and feel on this 360-degree swivel chair.</t>
  </si>
  <si>
    <t>https://dd3ka9h4chfr8.cloudfront.net/image/725136000567/image_79u4eu8b1d1o52j9s7l3qs505s/-S150x150-FJPG/239124-002_PRM_1.jpg</t>
  </si>
  <si>
    <t>https://dd3ka9h4chfr8.cloudfront.net/image/725136000567/image_vukca0qpr50dhfpc7jcclscu4m/-FJPG/239124-002_FRT_1.jpg</t>
  </si>
  <si>
    <t>https://dd3ka9h4chfr8.cloudfront.net/image/725136000567/image_79u4eu8b1d1o52j9s7l3qs505s/-FJPG/239124-002_PRM_1.jpg</t>
  </si>
  <si>
    <t>https://dd3ka9h4chfr8.cloudfront.net/image/725136000567/image_8bl5u0a2jp11p94eo8korq7s2l/-FJPG/239124-002_SID_1.jpg</t>
  </si>
  <si>
    <t>https://dd3ka9h4chfr8.cloudfront.net/image/725136000567/image_aab7s0obdh3k37pa78ttsqn578/-FJPG/239124-002_ESS.tif</t>
  </si>
  <si>
    <t>https://dd3ka9h4chfr8.cloudfront.net/image/725136000567/image_au2c5egc5d099f1q978ps3o91r/-FJPG/239124-002_DET_2.jpg</t>
  </si>
  <si>
    <t>https://dd3ka9h4chfr8.cloudfront.net/image/725136000567/image_tsnebvqflh0vfbr8vocfjsna6o/-FJPG/239124-002_BCK_1.jpg</t>
  </si>
  <si>
    <t>https://dd3ka9h4chfr8.cloudfront.net/image/725136000567/image_ltbnmokqe15ovbbeahiabtad64/-FJPG/239124-002_DET_1.jpg</t>
  </si>
  <si>
    <t>https://dd3ka9h4chfr8.cloudfront.net/image/725136000567/image_e81t8rcdo10tr4i41ve70lcp3o/-FJPG/239124-002_DET_3.jpg</t>
  </si>
  <si>
    <t>https://dd3ka9h4chfr8.cloudfront.net/image/725136000567/image_cs3v8ecv8h2tt6v2frde1li515/-FJPG/239124-002_DET_4.jpg</t>
  </si>
  <si>
    <t>https://dd3ka9h4chfr8.cloudfront.net/image/725136000567/image_67nikiru9h0a95e4pla8ku2p0i/-FJPG/239124-002_DET_5.jpg</t>
  </si>
  <si>
    <t>https://dd3ka9h4chfr8.cloudfront.net/image/725136000567/image_guqo4gbe4d1sn0fn9ogh749o2r/-FJPG/239124-002_DET_6.jpg</t>
  </si>
  <si>
    <t>https://dd3ka9h4chfr8.cloudfront.net/image/725136000567/image_2v1u82c7093rnc05hdqg6ev272/-FJPG/FHMPRJ-007_SCENE_17_V3-DOG.tif</t>
  </si>
  <si>
    <t>239124-003</t>
  </si>
  <si>
    <t>Julius Swivel Chair - Nubuck Cognac</t>
  </si>
  <si>
    <t>Nubuck Cognac</t>
  </si>
  <si>
    <t>https://dd3ka9h4chfr8.cloudfront.net/image/725136000567/image_ticime1v3111n2kftjifi2r56n/-S150x150-FJPG/239124-003_PRM_1.jpg</t>
  </si>
  <si>
    <t>https://dd3ka9h4chfr8.cloudfront.net/image/725136000567/image_4sbu869md51p11oq75vgk3ik40/-FJPG/239124-003_FRT_1.jpg</t>
  </si>
  <si>
    <t>https://dd3ka9h4chfr8.cloudfront.net/image/725136000567/image_ticime1v3111n2kftjifi2r56n/-FJPG/239124-003_PRM_1.jpg</t>
  </si>
  <si>
    <t>https://dd3ka9h4chfr8.cloudfront.net/image/725136000567/image_h3dov6np3p4531v966hdbg293a/-FJPG/239124-003_SID_1.jpg</t>
  </si>
  <si>
    <t>https://dd3ka9h4chfr8.cloudfront.net/image/725136000567/image_hop0j0a9bh19b5gsa30gsqiv6s/-FJPG/239124-003_DET_2.jpg</t>
  </si>
  <si>
    <t>https://dd3ka9h4chfr8.cloudfront.net/image/725136000567/image_q2rkk0unr11v77iqgbd42sds4q/-FJPG/239124-003_BCK_1.jpg</t>
  </si>
  <si>
    <t>https://dd3ka9h4chfr8.cloudfront.net/image/725136000567/image_o0vgg6lcq15ih4ht6oitq21o42/-FJPG/239124-003_DET_1.jpg</t>
  </si>
  <si>
    <t>https://dd3ka9h4chfr8.cloudfront.net/image/725136000567/image_j5io6386sh3cd8sur7v79m6924/-FJPG/239124-003_DET_3.jpg</t>
  </si>
  <si>
    <t>https://dd3ka9h4chfr8.cloudfront.net/image/725136000567/image_atirkb0fgh2g78t4n40mv4235d/-FJPG/239124-003_DET_4.jpg</t>
  </si>
  <si>
    <t>https://dd3ka9h4chfr8.cloudfront.net/image/725136000567/image_s4oio0lk8d0r50n5bm3tk4eg7m/-FJPG/239124-003_DET_5.jpg</t>
  </si>
  <si>
    <t>https://dd3ka9h4chfr8.cloudfront.net/image/725136000567/image_poet3b6oop549bl2q10e0qr639/-FJPG/239124-003_DET_6.jpg</t>
  </si>
  <si>
    <t>239124-007</t>
  </si>
  <si>
    <t>Julius Swivel Chair - Taupe Shearling</t>
  </si>
  <si>
    <t>Taupe Shearling</t>
  </si>
  <si>
    <t>Shearling</t>
  </si>
  <si>
    <t>With a supple pile that's soft to the touch, taupe shearling upholstery pairs with an S-spring seat and enveloped frame for an inviting look and feel on this 360-degree swivel chair.</t>
  </si>
  <si>
    <t>https://dd3ka9h4chfr8.cloudfront.net/image/725136000567/image_qofhf883d942t3184hi38ovr45/-S150x150-FJPG/239124-007_PRM_1.jpg</t>
  </si>
  <si>
    <t>https://dd3ka9h4chfr8.cloudfront.net/image/725136000567/image_kf3fr2bmdl2r95a5qajedlk81f/-FJPG/239124-007_FRT_1.jpg</t>
  </si>
  <si>
    <t>https://dd3ka9h4chfr8.cloudfront.net/image/725136000567/image_qofhf883d942t3184hi38ovr45/-FJPG/239124-007_PRM_1.jpg</t>
  </si>
  <si>
    <t>https://dd3ka9h4chfr8.cloudfront.net/image/725136000567/image_6cue71ooel4a7630sv5e84q169/-FJPG/239124-007_SID_1.jpg</t>
  </si>
  <si>
    <t>https://dd3ka9h4chfr8.cloudfront.net/image/725136000567/image_0isaqb331d1dp3tftcnfbmms76/-FJPG/239124-007_DET_2.jpg</t>
  </si>
  <si>
    <t>https://dd3ka9h4chfr8.cloudfront.net/image/725136000567/image_prm6jrqohd3bh8arlsmoonah60/-FJPG/239124-007_BCK_1.jpg</t>
  </si>
  <si>
    <t>https://dd3ka9h4chfr8.cloudfront.net/image/725136000567/image_lpp7p1vao54jf7mr11udfbs84b/-FJPG/239124-007_DET_1.jpg</t>
  </si>
  <si>
    <t>https://dd3ka9h4chfr8.cloudfront.net/image/725136000567/image_saubfkab4h3b39l2m3h96pnr7i/-FJPG/239124-007_DET_3.jpg</t>
  </si>
  <si>
    <t>https://dd3ka9h4chfr8.cloudfront.net/image/725136000567/image_4rf1mfdtid589a23kvnophsd0c/-FJPG/239124-007_DET_4.jpg</t>
  </si>
  <si>
    <t>https://dd3ka9h4chfr8.cloudfront.net/image/725136000567/image_78du64ckv56t32chr7jsmufl0v/-FJPG/239124-007_DET_5.jpg</t>
  </si>
  <si>
    <t>https://dd3ka9h4chfr8.cloudfront.net/image/725136000567/image_0l37ccu8614r9e237jk9p70b5r/-FJPG/239124-007_DET_6.jpg</t>
  </si>
  <si>
    <t>https://dd3ka9h4chfr8.cloudfront.net/image/725136000567/image_iejvljdkr97v59nb1u7j6d3n55/-FJPG/239124-007_DET_7.jpg</t>
  </si>
  <si>
    <t>https://dd3ka9h4chfr8.cloudfront.net/image/725136000567/image_jad3k62hjp31dbok8foaglka63/-FJPG/FHMPRJ-018_SCENE-3.tif</t>
  </si>
  <si>
    <t>239183-001</t>
  </si>
  <si>
    <t>Atlas Console Table - Smoked Alder</t>
  </si>
  <si>
    <t>Smoked alder shapes a streamlined console table, with angular lines and wide proportions for a clean look with substance.</t>
  </si>
  <si>
    <t>https://dd3ka9h4chfr8.cloudfront.net/image/725136000567/image_phv3st9p85415c79p8b8ege32j/-S150x150-FJPG/239183-001_PRM_1.jpg</t>
  </si>
  <si>
    <t>https://dd3ka9h4chfr8.cloudfront.net/image/725136000567/image_t1hk0v0cl52albtnfdk0s3r53o/-FJPG/239183-001_FRT_1.jpg</t>
  </si>
  <si>
    <t>https://dd3ka9h4chfr8.cloudfront.net/image/725136000567/image_phv3st9p85415c79p8b8ege32j/-FJPG/239183-001_PRM_1.jpg</t>
  </si>
  <si>
    <t>https://dd3ka9h4chfr8.cloudfront.net/image/725136000567/image_qqc38uo23p4hh3h9cf2cnhqu6a/-FJPG/239183-001_SID_1.jpg</t>
  </si>
  <si>
    <t>https://dd3ka9h4chfr8.cloudfront.net/image/725136000567/image_p0mjmgdjh12sv8dad9ioe4ik0o/-FJPG/239183-001_ESS_1.tif</t>
  </si>
  <si>
    <t>https://dd3ka9h4chfr8.cloudfront.net/image/725136000567/image_puv758abuh0sn2st8hbnr4hj0s/-FJPG/239183-001_DET_2.jpg</t>
  </si>
  <si>
    <t>https://dd3ka9h4chfr8.cloudfront.net/image/725136000567/image_opnv9jqi7l1e14rhsgu7emd80h/-FJPG/239183-001_BCK_1.jpg</t>
  </si>
  <si>
    <t>https://dd3ka9h4chfr8.cloudfront.net/image/725136000567/image_023r25ee0974lcd0ae243bud60/-FJPG/239183-001_DET_1.jpg</t>
  </si>
  <si>
    <t>https://dd3ka9h4chfr8.cloudfront.net/image/725136000567/image_a6222fnuvl7adfpv07tfv2n00h/-FJPG/239183-001_DET_3.jpg</t>
  </si>
  <si>
    <t>https://dd3ka9h4chfr8.cloudfront.net/image/725136000567/image_8a8h832gmt0qp4v5adlge0b97l/-FJPG/239183-001_TOP_1.jpg</t>
  </si>
  <si>
    <t>https://dd3ka9h4chfr8.cloudfront.net/image/725136000567/image_chn1kp016p64lbg6qs8cnoan2j/-FJPG/239183-001_DET_4.jpg</t>
  </si>
  <si>
    <t>https://dd3ka9h4chfr8.cloudfront.net/image/725136000567/image_51vjtbo17d0a911fm2le4k7l72/-FJPG/239183-001_DET_5.jpg</t>
  </si>
  <si>
    <t>https://dd3ka9h4chfr8.cloudfront.net/image/725136000567/image_p1cjdevg0l44v9fjiam31fno3e/-FJPG/239183-001_DET_6.jpg</t>
  </si>
  <si>
    <t>https://dd3ka9h4chfr8.cloudfront.net/image/725136000567/image_q2g3327gi507p7m0he142gmv5s/-FJPG/239183-001_DET_7.jpg</t>
  </si>
  <si>
    <t>https://dd3ka9h4chfr8.cloudfront.net/image/725136000567/image_bdorq40pkp0l79ao4m9j1qs35p/-FJPG/239183-001_DET_9.tif</t>
  </si>
  <si>
    <t>https://dd3ka9h4chfr8.cloudfront.net/image/725136000567/image_nd22i7pleh4ab6ht3mqtr44j7n/-FJPG/239183-001_DET_10.tif</t>
  </si>
  <si>
    <t>https://dd3ka9h4chfr8.cloudfront.net/image/725136000567/image_c91dud4td97br7klfsvak3666l/-FJPG/FHMPRJ-007_SCENE_6_V2.tif</t>
  </si>
  <si>
    <t>Base, Hardware, Ai</t>
  </si>
  <si>
    <t>Atlas</t>
  </si>
  <si>
    <t>239183-002</t>
  </si>
  <si>
    <t>Atlas Console Table - Bleached Alder</t>
  </si>
  <si>
    <t>Bleached Alder</t>
  </si>
  <si>
    <t>Bleached alder shapes a streamlined console table, with angular lines and wide proportions for a clean look with substance.</t>
  </si>
  <si>
    <t>https://dd3ka9h4chfr8.cloudfront.net/image/725136000567/image_ebu3toajsh3bfck1gosa7n0q5a/-S150x150-FJPG/239183-002_PRM_1.jpg</t>
  </si>
  <si>
    <t>https://dd3ka9h4chfr8.cloudfront.net/image/725136000567/image_m8qmq453dp4l1fh6q0gk44vu7q/-FJPG/239183-002_FRT_1.jpg</t>
  </si>
  <si>
    <t>https://dd3ka9h4chfr8.cloudfront.net/image/725136000567/image_ebu3toajsh3bfck1gosa7n0q5a/-FJPG/239183-002_PRM_1.jpg</t>
  </si>
  <si>
    <t>https://dd3ka9h4chfr8.cloudfront.net/image/725136000567/image_kg0o565so12qfatefie0eruo34/-FJPG/239183-002_SID_1.jpg</t>
  </si>
  <si>
    <t>https://dd3ka9h4chfr8.cloudfront.net/image/725136000567/image_r7eoapptoh5th1n8ghfbjnor0e/-FJPG/239183-002_ESS.tif</t>
  </si>
  <si>
    <t>https://dd3ka9h4chfr8.cloudfront.net/image/725136000567/image_60eku6sgb91g90tvmv4jer9h1c/-FJPG/239183-002_DET_2.jpg</t>
  </si>
  <si>
    <t>https://dd3ka9h4chfr8.cloudfront.net/image/725136000567/image_fbievpqe6d6ab9pa0hifebm650/-FJPG/239183-002_BCK_1.jpg</t>
  </si>
  <si>
    <t>https://dd3ka9h4chfr8.cloudfront.net/image/725136000567/image_in946didnt2br0lbtemrvl742d/-FJPG/239183-002_DET_1.jpg</t>
  </si>
  <si>
    <t>https://dd3ka9h4chfr8.cloudfront.net/image/725136000567/image_inpcb0dn1t77lb1s0q0fl8fj70/-FJPG/239183-002_DET_3.jpg</t>
  </si>
  <si>
    <t>https://dd3ka9h4chfr8.cloudfront.net/image/725136000567/image_f0icpanvkp1g1ej151mp2h9d5b/-FJPG/239183-002_DET_4.jpg</t>
  </si>
  <si>
    <t>https://dd3ka9h4chfr8.cloudfront.net/image/725136000567/image_7m4ej0mrat487d65qhtcfp8a4i/-FJPG/239183-002_DET_5.jpg</t>
  </si>
  <si>
    <t>239194-001</t>
  </si>
  <si>
    <t>Isaac End Table - Smoked Black Veneer</t>
  </si>
  <si>
    <t>A versatile end table of smoked black oak features joint and connection construction for a design-forward look. Visible knots and graining add character.</t>
  </si>
  <si>
    <t>https://dd3ka9h4chfr8.cloudfront.net/image/725136000567/image_oo9a4ic7gl5n7863nbjnrvsg6p/-S150x150-FJPG/239194-001_PRM_1.jpg</t>
  </si>
  <si>
    <t>https://dd3ka9h4chfr8.cloudfront.net/image/725136000567/image_79rpeg74pt0fp8m5fpo5m7i03m/-FJPG/239194-001_FRT_1.jpg</t>
  </si>
  <si>
    <t>https://dd3ka9h4chfr8.cloudfront.net/image/725136000567/image_oo9a4ic7gl5n7863nbjnrvsg6p/-FJPG/239194-001_PRM_1.jpg</t>
  </si>
  <si>
    <t>https://dd3ka9h4chfr8.cloudfront.net/image/725136000567/image_qli50m97ap4f94i9hebhm7413m/-FJPG/239194-001_SID_1.jpg</t>
  </si>
  <si>
    <t>https://dd3ka9h4chfr8.cloudfront.net/image/725136000567/image_sciru8apg12bjd66idoiap9a3p/-FJPG/239194-001_ESS.tif</t>
  </si>
  <si>
    <t>https://dd3ka9h4chfr8.cloudfront.net/image/725136000567/image_g5t70hf4d12dt657b7le9j203h/-FJPG/239194-001_HOV_1.jpg</t>
  </si>
  <si>
    <t>https://dd3ka9h4chfr8.cloudfront.net/image/725136000567/image_ith9duhqg95jrb531ssa2k7u13/-FJPG/239194-001_DET_2.jpg</t>
  </si>
  <si>
    <t>https://dd3ka9h4chfr8.cloudfront.net/image/725136000567/image_k5atdv27s916f5pqr4m2c3uf6m/-FJPG/239194-001_DET_1.jpg</t>
  </si>
  <si>
    <t>https://dd3ka9h4chfr8.cloudfront.net/image/725136000567/image_jrd4qdi86t42bavmh81g7tcd3m/-FJPG/239194-001_DET_3.jpg</t>
  </si>
  <si>
    <t>https://dd3ka9h4chfr8.cloudfront.net/image/725136000567/image_s959p59f8h28r957iqdbpojr33/-FJPG/239194-001_DET_4.jpg</t>
  </si>
  <si>
    <t>https://dd3ka9h4chfr8.cloudfront.net/image/725136000567/image_l0515qg42h723d06u6p34tok7l/-FJPG/239194-001_DET_5.jpg</t>
  </si>
  <si>
    <t>https://dd3ka9h4chfr8.cloudfront.net/image/725136000567/image_ml8lv93h8h1mb0ofqt0r2g6o5n/-FJPG/239194-001_DET_6.jpg</t>
  </si>
  <si>
    <t>End Table</t>
  </si>
  <si>
    <t>Isaac</t>
  </si>
  <si>
    <t>239194-002</t>
  </si>
  <si>
    <t>Isaac End Table - Rubbed Light Oak Veneer</t>
  </si>
  <si>
    <t>https://dd3ka9h4chfr8.cloudfront.net/image/725136000567/image_ipi25h6dll5eh9e6g6c1l0ab58/-S150x150-FJPG/239194-002_PRM_1.jpg</t>
  </si>
  <si>
    <t>https://dd3ka9h4chfr8.cloudfront.net/image/725136000567/image_cr1lh28bk91cl5b2ekcbhf1i14/-FJPG/239194-002_FRT_1.jpg</t>
  </si>
  <si>
    <t>https://dd3ka9h4chfr8.cloudfront.net/image/725136000567/image_ipi25h6dll5eh9e6g6c1l0ab58/-FJPG/239194-002_PRM_1.jpg</t>
  </si>
  <si>
    <t>https://dd3ka9h4chfr8.cloudfront.net/image/725136000567/image_2afabph2eh1evc02bu99jgeo31/-FJPG/239194-002_SID_1.jpg</t>
  </si>
  <si>
    <t>https://dd3ka9h4chfr8.cloudfront.net/image/725136000567/image_ahghuec2fl2i9e8jk39m96mm4c/-FJPG/239194-002_DET_2.jpg</t>
  </si>
  <si>
    <t>https://dd3ka9h4chfr8.cloudfront.net/image/725136000567/image_sb8885cubp7vp5hs2od5vkd770/-FJPG/239194-002_DET_1.jpg</t>
  </si>
  <si>
    <t>https://dd3ka9h4chfr8.cloudfront.net/image/725136000567/image_n7837pnju57k79n91npr86vu1b/-FJPG/239194-002_DET_3.jpg</t>
  </si>
  <si>
    <t>https://dd3ka9h4chfr8.cloudfront.net/image/725136000567/image_rblpoblmj94kj3f3cu52pmvh2j/-FJPG/239194-002_DET_4.jpg</t>
  </si>
  <si>
    <t>https://dd3ka9h4chfr8.cloudfront.net/image/725136000567/image_t0e1lcqmeh0h52s0c8uv2v4706/-FJPG/239194-002_DET_5.jpg</t>
  </si>
  <si>
    <t>239249-001</t>
  </si>
  <si>
    <t>Cora Chair - Conroe Cigar</t>
  </si>
  <si>
    <t>Conroe Cigar</t>
  </si>
  <si>
    <t>This found fireside chair is the embodiment of comfort with its S-spring seating construction, plush seat and back, and feather fiber-filled arm cushions. Blind tufts on the arms and back lend a subtle detail that elevates the overall style.</t>
  </si>
  <si>
    <t>https://dd3ka9h4chfr8.cloudfront.net/image/725136000567/image_1u4mujlgjt507bnhm479h86q7b/-S150x150-FJPG/239249-001_PRM_1.jpg</t>
  </si>
  <si>
    <t>https://dd3ka9h4chfr8.cloudfront.net/image/725136000567/image_41nd1lo3751ft5rfo65dggje3u/-FJPG/239249-001_FRT_1.jpg</t>
  </si>
  <si>
    <t>https://dd3ka9h4chfr8.cloudfront.net/image/725136000567/image_1u4mujlgjt507bnhm479h86q7b/-FJPG/239249-001_PRM_1.jpg</t>
  </si>
  <si>
    <t>https://dd3ka9h4chfr8.cloudfront.net/image/725136000567/image_533uj5vbc56rpb4cvl2rt0cd4q/-FJPG/239249-001_SID_1.jpg</t>
  </si>
  <si>
    <t>https://dd3ka9h4chfr8.cloudfront.net/image/725136000567/image_d8ohoehc753v72g0jtk1mnsi7p/-FJPG/239249-001_ESS.tif</t>
  </si>
  <si>
    <t>https://dd3ka9h4chfr8.cloudfront.net/image/725136000567/image_cokvb5pp8d3ldc0krdl6455h23/-FJPG/239249-001_DET_2.jpg</t>
  </si>
  <si>
    <t>https://dd3ka9h4chfr8.cloudfront.net/image/725136000567/image_abdffe6a4p2vl7cpoi6ib83n5k/-FJPG/239249-001_BCK_1.jpg</t>
  </si>
  <si>
    <t>https://dd3ka9h4chfr8.cloudfront.net/image/725136000567/image_jgvh94s6m93pr1i7rrqf9dts2n/-FJPG/239249-001_DET_1.jpg</t>
  </si>
  <si>
    <t>https://dd3ka9h4chfr8.cloudfront.net/image/725136000567/image_4hmtkup9m13f1akvt0k8anm666/-FJPG/239249-001_DET_3.jpg</t>
  </si>
  <si>
    <t>https://dd3ka9h4chfr8.cloudfront.net/image/725136000567/image_fr9h1nc6ql4unfpmmhmmj7lp6t/-FJPG/239249-001_DET_4.jpg</t>
  </si>
  <si>
    <t>https://dd3ka9h4chfr8.cloudfront.net/image/725136000567/image_k4po3htbc11od3n0dgjut2e35t/-FJPG/239249-001_DET_5.jpg</t>
  </si>
  <si>
    <t>https://dd3ka9h4chfr8.cloudfront.net/image/725136000567/image_goj897j9294el2nlvu05f93b4u/-FJPG/239249-001_DET_6.jpg</t>
  </si>
  <si>
    <t>Cora</t>
  </si>
  <si>
    <t>239249-002</t>
  </si>
  <si>
    <t>Cora Chair - Hasselt Taupe</t>
  </si>
  <si>
    <t>https://dd3ka9h4chfr8.cloudfront.net/image/725136000567/image_p4m0pf2q3h3jd65dohu3nv5v6k/-S150x150-FJPG/239249-002_PRM_1.JPG</t>
  </si>
  <si>
    <t>https://dd3ka9h4chfr8.cloudfront.net/image/725136000567/image_09qq1s28qp5dn4664jg0065024/-FJPG/239249-002_FRT_1.JPG</t>
  </si>
  <si>
    <t>https://dd3ka9h4chfr8.cloudfront.net/image/725136000567/image_p4m0pf2q3h3jd65dohu3nv5v6k/-FJPG/239249-002_PRM_1.JPG</t>
  </si>
  <si>
    <t>https://dd3ka9h4chfr8.cloudfront.net/image/725136000567/image_p822sld2bt69b7k1e5e6q0gq4g/-FJPG/239249-002_SID_1.JPG</t>
  </si>
  <si>
    <t>https://dd3ka9h4chfr8.cloudfront.net/image/725136000567/image_r3r7bka1dp5g1c19jm6co9hv25/-FJPG/239249-002_ESS.tif</t>
  </si>
  <si>
    <t>https://dd3ka9h4chfr8.cloudfront.net/image/725136000567/image_p3jcdsrbv55975hj9ejf7n5q72/-FJPG/239249-002_DET_2.JPG</t>
  </si>
  <si>
    <t>https://dd3ka9h4chfr8.cloudfront.net/image/725136000567/image_m8ipgt81rp1058nl5lgkgq0f5m/-FJPG/239249-002_BCK_1.JPG</t>
  </si>
  <si>
    <t>https://dd3ka9h4chfr8.cloudfront.net/image/725136000567/image_4pca3kcu0t2gpft3i52b8mf52i/-FJPG/239249-002_DET_1.JPG</t>
  </si>
  <si>
    <t>https://dd3ka9h4chfr8.cloudfront.net/image/725136000567/image_kq3cpqvfkh04j3035roer3c92e/-FJPG/239249-002_DET_3.JPG</t>
  </si>
  <si>
    <t>https://dd3ka9h4chfr8.cloudfront.net/image/725136000567/image_90fnjavakh1hh5qgdgjffqha5c/-FJPG/239249-002_DET_4.JPG</t>
  </si>
  <si>
    <t>https://dd3ka9h4chfr8.cloudfront.net/image/725136000567/image_s9necvv70p101bfq1g7e6un44t/-FJPG/239249-002_DET_5.JPG</t>
  </si>
  <si>
    <t>https://dd3ka9h4chfr8.cloudfront.net/image/725136000567/image_je2142obel7rpasd1743veco3u/-FJPG/239249-002_DET_6.JPG</t>
  </si>
  <si>
    <t>239265-002</t>
  </si>
  <si>
    <t>Jeremiah Chair - Palermo Drift</t>
  </si>
  <si>
    <t>Plush button-tufted leather upholstery seems to drape over the unique frame of this deep accent chair. Covered in a thick-cut leather with natural graining throughout for added movement.</t>
  </si>
  <si>
    <t>https://dd3ka9h4chfr8.cloudfront.net/image/725136000567/image_eh383028q13m754f0tsgajgp7b/-S150x150-FJPG/239265-002_PRM_1.jpg</t>
  </si>
  <si>
    <t>https://dd3ka9h4chfr8.cloudfront.net/image/725136000567/image_55hgm5s6jh55re6i50b5mvta6s/-FJPG/239265-002_FRT_1.jpg</t>
  </si>
  <si>
    <t>https://dd3ka9h4chfr8.cloudfront.net/image/725136000567/image_eh383028q13m754f0tsgajgp7b/-FJPG/239265-002_PRM_1.jpg</t>
  </si>
  <si>
    <t>https://dd3ka9h4chfr8.cloudfront.net/image/725136000567/image_p86nvslvkt2m5fstbp2q840m5k/-FJPG/239265-002_SID_1.jpg</t>
  </si>
  <si>
    <t>https://dd3ka9h4chfr8.cloudfront.net/image/725136000567/image_2b6n553vjl42lac59aiebkea4o/-FJPG/239265-002_ESS_1.tif</t>
  </si>
  <si>
    <t>https://dd3ka9h4chfr8.cloudfront.net/image/725136000567/image_l6g2l1f2i56ob4kt59sjt2b92v/-FJPG/239265-002_DET_2.jpg</t>
  </si>
  <si>
    <t>https://dd3ka9h4chfr8.cloudfront.net/image/725136000567/image_cqq5dks7917p56a9m4m5iodt6i/-FJPG/239265-002_BCK_1.jpg</t>
  </si>
  <si>
    <t>https://dd3ka9h4chfr8.cloudfront.net/image/725136000567/image_p6poh8aam12gheq5ab187phb0g/-FJPG/239265-002_DET_1.jpg</t>
  </si>
  <si>
    <t>https://dd3ka9h4chfr8.cloudfront.net/image/725136000567/image_rguno2i1vd30t5fmbbkhs79u0s/-FJPG/239265-002_DET_3.jpg</t>
  </si>
  <si>
    <t>https://dd3ka9h4chfr8.cloudfront.net/image/725136000567/image_6ofocp9j5d4urfh2ivhfrl753h/-FJPG/239265-002_DET_4.jpg</t>
  </si>
  <si>
    <t>https://dd3ka9h4chfr8.cloudfront.net/image/725136000567/image_ojn43psjp917hbujic87af5f6u/-FJPG/239265-002_DET_9.tif</t>
  </si>
  <si>
    <t>https://dd3ka9h4chfr8.cloudfront.net/image/725136000567/image_k57mm8rb416unbo47bon80d71s/-FJPG/239265-002_DET_10.tif</t>
  </si>
  <si>
    <t>Jeremiah</t>
  </si>
  <si>
    <t>239394-001</t>
  </si>
  <si>
    <t>Abaso Small Square Coffee Table - Rustic Wormwood Oak</t>
  </si>
  <si>
    <t>Made from thick-cut oak veneer with a faux rustic finish made to emulate wormwood, this low, square-shaped coffee table features chunky squared legs and dovetail joinery detailing. Perfectly sized for smaller spaces.</t>
  </si>
  <si>
    <t>https://dd3ka9h4chfr8.cloudfront.net/image/725136000567/image_rj69253t9h1b77hns2dvu2m47j/-S150x150-FJPG/239394-001_PRM_1.jpg</t>
  </si>
  <si>
    <t>https://dd3ka9h4chfr8.cloudfront.net/image/725136000567/image_rj69253t9h1b77hns2dvu2m47j/-FJPG/239394-001_PRM_1.jpg</t>
  </si>
  <si>
    <t>https://dd3ka9h4chfr8.cloudfront.net/image/725136000567/image_p671564gp9073fvva7lje4b80p/-FJPG/239394-001_SID_1.jpg</t>
  </si>
  <si>
    <t>https://dd3ka9h4chfr8.cloudfront.net/image/725136000567/image_jhjfsqt2pp5vr4v0nokbkd1424/-FJPG/239394-001_ESS_1.jpg</t>
  </si>
  <si>
    <t>https://dd3ka9h4chfr8.cloudfront.net/image/725136000567/image_lo1ehg16s97l3578qpob8p6e5u/-FJPG/239394-001_DET_1.jpg</t>
  </si>
  <si>
    <t>https://dd3ka9h4chfr8.cloudfront.net/image/725136000567/image_4vbcgvmbip1cl7l5n47vpe2810/-FJPG/239394-001 _DET_1.jpg</t>
  </si>
  <si>
    <t>https://dd3ka9h4chfr8.cloudfront.net/image/725136000567/image_4okvsqea0d5eba978u35nva01f/-FJPG/239394-001_DET_3.jpg</t>
  </si>
  <si>
    <t>https://dd3ka9h4chfr8.cloudfront.net/image/725136000567/image_jono83ciep5f74dfjuipp8at05/-FJPG/239394-001_DET_4.jpg</t>
  </si>
  <si>
    <t>https://dd3ka9h4chfr8.cloudfront.net/image/725136000567/image_asnn4kivd90o50oa2b7qftu16l/-FJPG/239394-001_DET_5.jpg</t>
  </si>
  <si>
    <t>https://dd3ka9h4chfr8.cloudfront.net/image/725136000567/image_dn68e4oskd73rejcnoq7nhf905/-FJPG/239394-001_DET_6.jpg</t>
  </si>
  <si>
    <t>https://dd3ka9h4chfr8.cloudfront.net/image/725136000567/image_tf3a6veqe14qr1c5qkepdmro01/-FJPG/239394-001_DET_7.jpg</t>
  </si>
  <si>
    <t>https://dd3ka9h4chfr8.cloudfront.net/image/725136000567/image_bgnlsbnu4t22dfpapqf2o11e07/-FJPG/239394-001_DET_8.jpg</t>
  </si>
  <si>
    <t>239394-002</t>
  </si>
  <si>
    <t>Abaso Small Square Coffee Table - Ebony Rustic Wormwood Oak</t>
  </si>
  <si>
    <t>Made from thick-cut oak veneer with a rustic ebony finish, this low, large-scale coffee table features chunky squared legs and dovetail joinery detailing.</t>
  </si>
  <si>
    <t>https://dd3ka9h4chfr8.cloudfront.net/image/725136000567/image_gqdh3rrna52j59cug3rj7jf17u/-S150x150-FJPG/239394-002_PRM_1.jpg</t>
  </si>
  <si>
    <t>https://dd3ka9h4chfr8.cloudfront.net/image/725136000567/image_gqdh3rrna52j59cug3rj7jf17u/-FJPG/239394-002_PRM_1.jpg</t>
  </si>
  <si>
    <t>https://dd3ka9h4chfr8.cloudfront.net/image/725136000567/image_e246ijf3b57ftela356t7gvb50/-FJPG/239394-002_SID_1.jpg</t>
  </si>
  <si>
    <t>https://dd3ka9h4chfr8.cloudfront.net/image/725136000567/image_40t34ul6e504p0uacs4r9q9u33/-FJPG/239394-002_ESS.tif</t>
  </si>
  <si>
    <t>https://dd3ka9h4chfr8.cloudfront.net/image/725136000567/image_hv3qp1a64p6h18hco8m3vamh3g/-FJPG/239394-002_DET_1.jpg</t>
  </si>
  <si>
    <t>https://dd3ka9h4chfr8.cloudfront.net/image/725136000567/image_9rqjkth1q9579b63kfnevah17i/-FJPG/239394-002_DET_3.jpg</t>
  </si>
  <si>
    <t>https://dd3ka9h4chfr8.cloudfront.net/image/725136000567/image_jur3jm8v752mn1sdrrmhe5re1q/-FJPG/239394-002_DET_4.jpg</t>
  </si>
  <si>
    <t>https://dd3ka9h4chfr8.cloudfront.net/image/725136000567/image_tjnaq0ggh90kn04n83p5sldu73/-FJPG/239394-002_DET_5.jpg</t>
  </si>
  <si>
    <t>https://dd3ka9h4chfr8.cloudfront.net/image/725136000567/image_m2bu5sd1d17eb251qejeo66g59/-FJPG/239394-002_DET_6.jpg</t>
  </si>
  <si>
    <t>https://dd3ka9h4chfr8.cloudfront.net/image/725136000567/image_6c7f3929vd5o5da84psnv5152u/-FJPG/239394-002_DET_7.jpg</t>
  </si>
  <si>
    <t>https://dd3ka9h4chfr8.cloudfront.net/image/725136000567/image_kfj21b13vd6qr5dvbnclreg07b/-FJPG/239394-002_DET_8.jpg</t>
  </si>
  <si>
    <t>239396-001</t>
  </si>
  <si>
    <t>Abaso Accent Bench - Rustic Wormwood Oak</t>
  </si>
  <si>
    <t>Made from thick-cut oak veneer with a rustic finish made to emulate wormwood. Featuring clean Parsons lines, chunky squared legs and dovetail joinery detailing.</t>
  </si>
  <si>
    <t>https://dd3ka9h4chfr8.cloudfront.net/image/725136000567/image_lgpivettpt0qbfj5ih5ruh2u76/-S150x150-FJPG/239396-001_PRM_1.jpg</t>
  </si>
  <si>
    <t>https://dd3ka9h4chfr8.cloudfront.net/image/725136000567/image_r2jqg1drk128hbt3tqc1rl1k6f/-FJPG/239396-001_FRT_1.jpg</t>
  </si>
  <si>
    <t>https://dd3ka9h4chfr8.cloudfront.net/image/725136000567/image_lgpivettpt0qbfj5ih5ruh2u76/-FJPG/239396-001_PRM_1.jpg</t>
  </si>
  <si>
    <t>https://dd3ka9h4chfr8.cloudfront.net/image/725136000567/image_kpeb9j429p5ujcvlk3civdad0r/-FJPG/239396-001_SID_1.tif</t>
  </si>
  <si>
    <t>https://dd3ka9h4chfr8.cloudfront.net/image/725136000567/image_574bjlmna11td1snohvr534o77/-FJPG/239396-001_ESS_1.tif</t>
  </si>
  <si>
    <t>https://dd3ka9h4chfr8.cloudfront.net/image/725136000567/image_mbl3l1fdbl56b22h6u3m2b356t/-FJPG/239396-001_DET_2.jpg</t>
  </si>
  <si>
    <t>https://dd3ka9h4chfr8.cloudfront.net/image/725136000567/image_vh4grgfj4h65j6tc8eq1020p3m/-FJPG/239396-001_BCK_1.jpg</t>
  </si>
  <si>
    <t>https://dd3ka9h4chfr8.cloudfront.net/image/725136000567/image_ontjrn7g850g1crk86hid1tl74/-FJPG/239396-001_DET_1.jpg</t>
  </si>
  <si>
    <t>https://dd3ka9h4chfr8.cloudfront.net/image/725136000567/image_rbk5jjl1c93q9avmo10d8pqc1i/-FJPG/239396-001_DET_3.jpg</t>
  </si>
  <si>
    <t>https://dd3ka9h4chfr8.cloudfront.net/image/725136000567/image_7jn0dv941d1gld845qnt8dkk3v/-FJPG/239396-001_TOP_1.tif</t>
  </si>
  <si>
    <t>https://dd3ka9h4chfr8.cloudfront.net/image/725136000567/image_pv26cggb8d1k524qu1h4n1ou3j/-FJPG/239396-001_DET_4.jpg</t>
  </si>
  <si>
    <t>https://dd3ka9h4chfr8.cloudfront.net/image/725136000567/image_32ghppec3h6bv06iftpk6f3n4l/-FJPG/239396-001_DET_5.jpg</t>
  </si>
  <si>
    <t>https://dd3ka9h4chfr8.cloudfront.net/image/725136000567/image_5g32a2q0o504hbdv3mlmqt4600/-FJPG/239396-001_DET_6.jpg</t>
  </si>
  <si>
    <t>https://dd3ka9h4chfr8.cloudfront.net/image/725136000567/image_h1v7nn3pu52v5e8npgd8rifp4p/-FJPG/239396-001_DET_7.jpg</t>
  </si>
  <si>
    <t>https://dd3ka9h4chfr8.cloudfront.net/image/725136000567/image_19lkvgc54p5811us968rf4kf5m/-FJPG/239396-001_DET_8.jpg</t>
  </si>
  <si>
    <t>https://dd3ka9h4chfr8.cloudfront.net/image/725136000567/image_n7qdn5fn0h511bd9mugina4q30/-FJPG/239396-001_DET_8.tif</t>
  </si>
  <si>
    <t>https://dd3ka9h4chfr8.cloudfront.net/image/725136000567/image_o35vnqtjep37h7583t4li6ov6e/-FJPG/239396-001_DET_9.jpg</t>
  </si>
  <si>
    <t>https://dd3ka9h4chfr8.cloudfront.net/image/725136000567/image_pvlm1qcu3h1n9ai238s6j0544j/-FJPG/239396-001_DET_9.tif</t>
  </si>
  <si>
    <t>https://dd3ka9h4chfr8.cloudfront.net/image/725136000567/image_ljh3v0m1n15mr0hispol773a3o/-FJPG/239396-001_DET_10.tif</t>
  </si>
  <si>
    <t>54.75"</t>
  </si>
  <si>
    <t>239396-002</t>
  </si>
  <si>
    <t>Abaso Accent Bench - Ebony Rustic Wormwood Oak</t>
  </si>
  <si>
    <t>Made from thick-cut oak veneer with a faux rustic finish made to emulate wormwood, with clean Parsons lines, chunky squared legs and dovetail joinery detailing.</t>
  </si>
  <si>
    <t>https://dd3ka9h4chfr8.cloudfront.net/image/725136000567/image_rk6qngc2dh4phedb7ru3ggno3i/-S150x150-FJPG/239396-002_PRM_1.jpg</t>
  </si>
  <si>
    <t>https://dd3ka9h4chfr8.cloudfront.net/image/725136000567/image_91v1a1ce395rdes09r0kjvg67q/-FJPG/239396-002_FRT_1.jpg</t>
  </si>
  <si>
    <t>https://dd3ka9h4chfr8.cloudfront.net/image/725136000567/image_rk6qngc2dh4phedb7ru3ggno3i/-FJPG/239396-002_PRM_1.jpg</t>
  </si>
  <si>
    <t>https://dd3ka9h4chfr8.cloudfront.net/image/725136000567/image_198i86qcih6j36m0v1aagmug1k/-FJPG/239396-002_SID_1.jpg</t>
  </si>
  <si>
    <t>https://dd3ka9h4chfr8.cloudfront.net/image/725136000567/image_v160moces919v0qqfmguh6k95f/-FJPG/239396-002_ESS.tif</t>
  </si>
  <si>
    <t>https://dd3ka9h4chfr8.cloudfront.net/image/725136000567/image_2el5978sr10f52bbgcbpacid7q/-FJPG/239396-002_DET_2.jpg</t>
  </si>
  <si>
    <t>https://dd3ka9h4chfr8.cloudfront.net/image/725136000567/image_kuin0v575l5prb7tmoehlf0u7g/-FJPG/239396-002_BCK_1.jpg</t>
  </si>
  <si>
    <t>https://dd3ka9h4chfr8.cloudfront.net/image/725136000567/image_1e97th6itd6l31suo14b2sch56/-FJPG/239396-002_DET_1.jpg</t>
  </si>
  <si>
    <t>https://dd3ka9h4chfr8.cloudfront.net/image/725136000567/image_g8mgr5k0095mjbqtaeppspjv1v/-FJPG/239396-002_DET_3.jpg</t>
  </si>
  <si>
    <t>https://dd3ka9h4chfr8.cloudfront.net/image/725136000567/image_pjs08ok2r961d51mam1ij5ob1h/-FJPG/239396-0021_TOP_1.jpg</t>
  </si>
  <si>
    <t>https://dd3ka9h4chfr8.cloudfront.net/image/725136000567/image_peqj3b4i6h6b1cfrqbponr3m6h/-FJPG/239396-002_DET_4.jpg</t>
  </si>
  <si>
    <t>https://dd3ka9h4chfr8.cloudfront.net/image/725136000567/image_doq81ecbdt1ap6abb20gl64p5q/-FJPG/239396-002_DET_5.jpg</t>
  </si>
  <si>
    <t>https://dd3ka9h4chfr8.cloudfront.net/image/725136000567/image_43f7u0en3930lc20ejh6r31l4h/-FJPG/239396-002_DET_6.jpg</t>
  </si>
  <si>
    <t>https://dd3ka9h4chfr8.cloudfront.net/image/725136000567/image_l4s3umpqhp1kh0ji24m6st502t/-FJPG/239396-002_DET_7.jpg</t>
  </si>
  <si>
    <t>https://dd3ka9h4chfr8.cloudfront.net/image/725136000567/image_98m5pb6ei957f0d2jo359bis13/-FJPG/239396-002_DET_8.jpg</t>
  </si>
  <si>
    <t>239398-001</t>
  </si>
  <si>
    <t>Abaso Large Accent Bench - Rustic Wormwood Oak</t>
  </si>
  <si>
    <t>https://dd3ka9h4chfr8.cloudfront.net/image/725136000567/image_48soa7btbt4f3frvf9p73udc61/-S150x150-FJPG/239398-001_PRM_1.jpg</t>
  </si>
  <si>
    <t>https://dd3ka9h4chfr8.cloudfront.net/image/725136000567/image_h234cpllr540l2elnatrl9il1p/-FJPG/239398-001_FRT_1.jpg</t>
  </si>
  <si>
    <t>https://dd3ka9h4chfr8.cloudfront.net/image/725136000567/image_48soa7btbt4f3frvf9p73udc61/-FJPG/239398-001_PRM_1.jpg</t>
  </si>
  <si>
    <t>https://dd3ka9h4chfr8.cloudfront.net/image/725136000567/image_bnmo79hetp7rb5hbaefsc70a66/-FJPG/239398-001_SID_1.jpg</t>
  </si>
  <si>
    <t>https://dd3ka9h4chfr8.cloudfront.net/image/725136000567/image_bkdggio3f15b98uu49aiilia40/-FJPG/239398-001_ESS_1.jpg</t>
  </si>
  <si>
    <t>https://dd3ka9h4chfr8.cloudfront.net/image/725136000567/image_fg59u00jlh3mndb18tg41k7n18/-FJPG/239398-001_DET_2.jpg</t>
  </si>
  <si>
    <t>https://dd3ka9h4chfr8.cloudfront.net/image/725136000567/image_28lc9v83h15f98uuafm3p4og03/-FJPG/239398-001_DET_1.jpg</t>
  </si>
  <si>
    <t>https://dd3ka9h4chfr8.cloudfront.net/image/725136000567/image_n0cicmqhih2f3cchloo3tuvf6g/-FJPG/239398-001_DET_3.jpg</t>
  </si>
  <si>
    <t>https://dd3ka9h4chfr8.cloudfront.net/image/725136000567/image_7mllfv6nfp4p79e3os4gi7al72/-FJPG/239398-001_DET_4.jpg</t>
  </si>
  <si>
    <t>https://dd3ka9h4chfr8.cloudfront.net/image/725136000567/image_s6mgtng0dd53f17ejt25al9n47/-FJPG/239398-001_DET_5.jpg</t>
  </si>
  <si>
    <t>https://dd3ka9h4chfr8.cloudfront.net/image/725136000567/image_l6pnk413rd05p61o32ihlp151t/-FJPG/239398-001_DET_6.jpg</t>
  </si>
  <si>
    <t>https://dd3ka9h4chfr8.cloudfront.net/image/725136000567/image_7dm9c52i6p1th0q9koi9hssd0v/-FJPG/239398-001_DET_7.jpg</t>
  </si>
  <si>
    <t>https://dd3ka9h4chfr8.cloudfront.net/image/725136000567/image_h15kf5imap4dndrnaal2k0ad5k/-FJPG/239398-001_DET_8.jpg</t>
  </si>
  <si>
    <t>74.75"</t>
  </si>
  <si>
    <t>239400-002</t>
  </si>
  <si>
    <t>Abaso Media Console - Ebony Rustic Wormwood Oak</t>
  </si>
  <si>
    <t>Made from thick-cut oak veneer with a rustic ebony finish, this spacious media console features chunky squared legs and dovetail joinery detailing.</t>
  </si>
  <si>
    <t>https://dd3ka9h4chfr8.cloudfront.net/image/725136000567/image_4q9r1baf6958h8u9a3g7rbgo4j/-S150x150-FJPG/239400-002_PRM_1.jpg</t>
  </si>
  <si>
    <t>https://dd3ka9h4chfr8.cloudfront.net/image/725136000567/image_8vrdutl081051bahd2c62trt4i/-FJPG/239400-002_FRT_1.jpg</t>
  </si>
  <si>
    <t>https://dd3ka9h4chfr8.cloudfront.net/image/725136000567/image_4q9r1baf6958h8u9a3g7rbgo4j/-FJPG/239400-002_PRM_1.jpg</t>
  </si>
  <si>
    <t>https://dd3ka9h4chfr8.cloudfront.net/image/725136000567/image_6rap7ga8jl1pjb6fh78ih16q41/-FJPG/239400-002_ESS_1.jpg</t>
  </si>
  <si>
    <t>https://dd3ka9h4chfr8.cloudfront.net/image/725136000567/image_bmh0vbgjpp67n68j2c1l42b66q/-FJPG/239400-002_BCK_1.jpg</t>
  </si>
  <si>
    <t>https://dd3ka9h4chfr8.cloudfront.net/image/725136000567/image_8rj6vhutah3v33hlaji42frt15/-FJPG/239400-002_DET_1.jpg</t>
  </si>
  <si>
    <t>https://dd3ka9h4chfr8.cloudfront.net/image/725136000567/image_adntq5a1vt0gtco58ggckv941t/-FJPG/239400-002_DET_3.jpg</t>
  </si>
  <si>
    <t>https://dd3ka9h4chfr8.cloudfront.net/image/725136000567/image_hlpjd8fh7p3ph039t6kbdp5o5i/-FJPG/239400-002_DET_4.jpg</t>
  </si>
  <si>
    <t>https://dd3ka9h4chfr8.cloudfront.net/image/725136000567/image_l8b71u3kbp31ja2nvj67e3cb5t/-FJPG/239400-002_DET_5.jpg</t>
  </si>
  <si>
    <t>https://dd3ka9h4chfr8.cloudfront.net/image/725136000567/image_lbdp6vr8ol0kb7gaorm59ibk5v/-FJPG/239400-002_DET_6.jpg</t>
  </si>
  <si>
    <t>https://dd3ka9h4chfr8.cloudfront.net/image/725136000567/image_nn3kdv2tu9591esmocu9l0en53/-FJPG/239400-002_DET_7.jpg</t>
  </si>
  <si>
    <t>https://dd3ka9h4chfr8.cloudfront.net/image/725136000567/image_uc0nnu4vit3vj9o4re9c6snt63/-FJPG/239400-002_DET_8.jpg</t>
  </si>
  <si>
    <t>https://dd3ka9h4chfr8.cloudfront.net/image/725136000567/image_u18ip5gk1t2vj44bpnckjcns0q/-FJPG/239400-002_DET_10.jpg</t>
  </si>
  <si>
    <t>18.38"</t>
  </si>
  <si>
    <t>38.88"</t>
  </si>
  <si>
    <t>20.13"</t>
  </si>
  <si>
    <t>239441-001</t>
  </si>
  <si>
    <t>Olympia Console Table - White Carrara Marble</t>
  </si>
  <si>
    <t>White Carrara Marble</t>
  </si>
  <si>
    <t>Solid Carrara</t>
  </si>
  <si>
    <t>Structured and geometric, an open-style console table pairs smoked oak veneer with white marble, for a sophisticated material mix.</t>
  </si>
  <si>
    <t>https://dd3ka9h4chfr8.cloudfront.net/image/725136000567/image_egk25athqp4t3cdnipq0c52h20/-S150x150-FJPG/239441-001_PRM_1.jpg</t>
  </si>
  <si>
    <t>https://dd3ka9h4chfr8.cloudfront.net/image/725136000567/image_d6uns13fah5d39qmqivgjaet6t/-FJPG/239441-001_FRT_1.jpg</t>
  </si>
  <si>
    <t>https://dd3ka9h4chfr8.cloudfront.net/image/725136000567/image_egk25athqp4t3cdnipq0c52h20/-FJPG/239441-001_PRM_1.jpg</t>
  </si>
  <si>
    <t>https://dd3ka9h4chfr8.cloudfront.net/image/725136000567/image_i2dv2bd2415o3difjejnq3503u/-FJPG/239441-001_SID_1.jpg</t>
  </si>
  <si>
    <t>https://dd3ka9h4chfr8.cloudfront.net/image/725136000567/image_d5uftg2jd56p725brin1reg76c/-FJPG/239441-001_DET_2.jpg</t>
  </si>
  <si>
    <t>https://dd3ka9h4chfr8.cloudfront.net/image/725136000567/image_dl4j11to0t0k506e93eskuoq4d/-FJPG/239441-001_DET_1.jpg</t>
  </si>
  <si>
    <t>https://dd3ka9h4chfr8.cloudfront.net/image/725136000567/image_dfif5j2s5p23t3t73iofun9571/-FJPG/239441-001_DET_3.jpg</t>
  </si>
  <si>
    <t>https://dd3ka9h4chfr8.cloudfront.net/image/725136000567/image_42f03bk8ep78n056mhhpj5p40e/-FJPG/239441-001_DET_4.jpg</t>
  </si>
  <si>
    <t>https://dd3ka9h4chfr8.cloudfront.net/image/725136000567/image_2hhnv8rdgd06l7bo2svhmi1e1u/-FJPG/239441-001_DET_5.jpg</t>
  </si>
  <si>
    <t>https://dd3ka9h4chfr8.cloudfront.net/image/725136000567/image_7ppjpivv356elavudoq2ju7u33/-FJPG/239441-001_DET_6.jpg</t>
  </si>
  <si>
    <t>https://dd3ka9h4chfr8.cloudfront.net/image/725136000567/image_9fc2rnqi191nr9deni63vkql6o/-FJPG/239441-001_DET_9.tif</t>
  </si>
  <si>
    <t>https://dd3ka9h4chfr8.cloudfront.net/image/725136000567/image_fbfsp640dh5ntb941i5pkqv54l/-FJPG/239441-001_DET_10.tif</t>
  </si>
  <si>
    <t>https://dd3ka9h4chfr8.cloudfront.net/image/725136000567/image_famkqmi6n16071u7mbh7qoj10k/-FJPG/239441-001_ESS.tif</t>
  </si>
  <si>
    <t>Olympia</t>
  </si>
  <si>
    <t>25.71"</t>
  </si>
  <si>
    <t>59.21"</t>
  </si>
  <si>
    <t>28.86"</t>
  </si>
  <si>
    <t>239567-001</t>
  </si>
  <si>
    <t>Kramer End Table - Bluestone</t>
  </si>
  <si>
    <t>Bluestone</t>
  </si>
  <si>
    <t>Solid Bluestone</t>
  </si>
  <si>
    <t>A cylinder-shaped end tables brings an organic look to the living room. Made from natural polished bluestone.</t>
  </si>
  <si>
    <t>https://dd3ka9h4chfr8.cloudfront.net/image/725136000567/image_608evg9ncp0u3amvo8hv2lsr18/-S150x150-FJPG/239567-001_PRM_1.jpg</t>
  </si>
  <si>
    <t>https://dd3ka9h4chfr8.cloudfront.net/image/725136000567/image_og7kaqumg139562vqjeg399n1q/-FJPG/239567-001_FRT_1.jpg</t>
  </si>
  <si>
    <t>https://dd3ka9h4chfr8.cloudfront.net/image/725136000567/image_608evg9ncp0u3amvo8hv2lsr18/-FJPG/239567-001_PRM_1.jpg</t>
  </si>
  <si>
    <t>https://dd3ka9h4chfr8.cloudfront.net/image/725136000567/image_uqf4fm7j1p3tl5bjsanu7sjj3t/-FJPG/239567-001_DET_2.jpg</t>
  </si>
  <si>
    <t>https://dd3ka9h4chfr8.cloudfront.net/image/725136000567/image_4l751ibd990gn3c9dvcuuff42b/-FJPG/239567-001_DET_1.jpg</t>
  </si>
  <si>
    <t>https://dd3ka9h4chfr8.cloudfront.net/image/725136000567/image_uu9788bhmp6v90v01n14hcq26r/-FJPG/239567-001_DET_3.jpg</t>
  </si>
  <si>
    <t>https://dd3ka9h4chfr8.cloudfront.net/image/725136000567/image_sesb3eb8mh6bd7vqib7hg1l62g/-FJPG/239567-001_DET_4.jpg</t>
  </si>
  <si>
    <t>https://dd3ka9h4chfr8.cloudfront.net/image/725136000567/image_fuum54pglh0r9f6mi4upm6n46f/-FJPG/239567-001_DET_9.tif</t>
  </si>
  <si>
    <t>https://dd3ka9h4chfr8.cloudfront.net/image/725136000567/image_ei24gk233h7q7ej2o6in588g5v/-FJPG/239567-001_ESS.tif</t>
  </si>
  <si>
    <t>Kramer</t>
  </si>
  <si>
    <t>20.04"</t>
  </si>
  <si>
    <t>239676-001</t>
  </si>
  <si>
    <t>Serena Accent Bench - Durham Cream</t>
  </si>
  <si>
    <t>Durham Cream</t>
  </si>
  <si>
    <t>61% Polyester</t>
  </si>
  <si>
    <t>39% Wool</t>
  </si>
  <si>
    <t>Cream, boucle-like upholstery covers a long, sophisticated dining bench.</t>
  </si>
  <si>
    <t>https://dd3ka9h4chfr8.cloudfront.net/image/725136000567/image_kv0do8frpt60nfaf6i5hhgrc0h/-S150x150-FJPG/239676-001_PRM_1.jpg</t>
  </si>
  <si>
    <t>https://dd3ka9h4chfr8.cloudfront.net/image/725136000567/image_toqf1jaqb92bffvk1hvf5kir01/-FJPG/239676-001_FRT_1.jpg</t>
  </si>
  <si>
    <t>https://dd3ka9h4chfr8.cloudfront.net/image/725136000567/image_kv0do8frpt60nfaf6i5hhgrc0h/-FJPG/239676-001_PRM_1.jpg</t>
  </si>
  <si>
    <t>https://dd3ka9h4chfr8.cloudfront.net/image/725136000567/image_pgb2r6i1bt3mvbkvbam3ln743m/-FJPG/239676-001_SID_1.jpg</t>
  </si>
  <si>
    <t>https://dd3ka9h4chfr8.cloudfront.net/image/725136000567/image_6isp880q6t44r6csr571mgja73/-FJPG/239676-001_ESS_1.tif</t>
  </si>
  <si>
    <t>https://dd3ka9h4chfr8.cloudfront.net/image/725136000567/image_1kp2a0cb8d3ot9oc9apdma026k/-FJPG/239676-001_DET_2.jpg</t>
  </si>
  <si>
    <t>https://dd3ka9h4chfr8.cloudfront.net/image/725136000567/image_j6t0k61v9t10v6ggld8hmq3248/-FJPG/239676-001_DET_1.jpg</t>
  </si>
  <si>
    <t>https://dd3ka9h4chfr8.cloudfront.net/image/725136000567/image_q4gqq85ot14136ou725422pp6q/-FJPG/239676-001_DET_3.jpg</t>
  </si>
  <si>
    <t>https://dd3ka9h4chfr8.cloudfront.net/image/725136000567/image_7ro6iip70554jakcvuovn0566c/-FJPG/239676-001_DET_4.jpg</t>
  </si>
  <si>
    <t>https://dd3ka9h4chfr8.cloudfront.net/image/725136000567/image_8jt8brb62951dc6jhi3kpim21d/-FJPG/239676-001_DET_5.jpg</t>
  </si>
  <si>
    <t>https://dd3ka9h4chfr8.cloudfront.net/image/725136000567/image_gbgfqe06id4f3cirj51rsum622/-FJPG/239676-001_DET_9.tif</t>
  </si>
  <si>
    <t>https://dd3ka9h4chfr8.cloudfront.net/image/725136000567/image_0jlnquc2gp5m75bk0qao3lc70m/-FJPG/239676-001_DET_10.tif</t>
  </si>
  <si>
    <t>Serena</t>
  </si>
  <si>
    <t>10.51"</t>
  </si>
  <si>
    <t>64.00"</t>
  </si>
  <si>
    <t>239676-003</t>
  </si>
  <si>
    <t>Serena Accent Bench - Sheffield Ivory</t>
  </si>
  <si>
    <t>A traditional ivory fabric with a classic box pattern covers a long, sophisticated dining bench.</t>
  </si>
  <si>
    <t>https://dd3ka9h4chfr8.cloudfront.net/image/725136000567/image_j7er24fmgl6gf3cnm71n62jc15/-S150x150-FJPG/239676-003_PRM_1.jpg</t>
  </si>
  <si>
    <t>https://dd3ka9h4chfr8.cloudfront.net/image/725136000567/image_qf3oemm25p2fj0q1fb4508fj2f/-FJPG/239676-003_FRT_1.jpg</t>
  </si>
  <si>
    <t>https://dd3ka9h4chfr8.cloudfront.net/image/725136000567/image_j7er24fmgl6gf3cnm71n62jc15/-FJPG/239676-003_PRM_1.jpg</t>
  </si>
  <si>
    <t>https://dd3ka9h4chfr8.cloudfront.net/image/725136000567/image_2kgdc1svl544ta6fquscouij3d/-FJPG/239676-003_SID_1.jpg</t>
  </si>
  <si>
    <t>https://dd3ka9h4chfr8.cloudfront.net/image/725136000567/image_3i2vn7agbt6211ctmc7gqis63i/-FJPG/239676-003_DET_2.jpg</t>
  </si>
  <si>
    <t>https://dd3ka9h4chfr8.cloudfront.net/image/725136000567/image_3gal1ju4f90ap7ifbkij9c1859/-FJPG/239676-003_DET_1.jpg</t>
  </si>
  <si>
    <t>https://dd3ka9h4chfr8.cloudfront.net/image/725136000567/image_ehgcqt0b2t3dt6b9njfpiebr3k/-FJPG/239676-003_DET_3.jpg</t>
  </si>
  <si>
    <t>https://dd3ka9h4chfr8.cloudfront.net/image/725136000567/image_dbgdocgma53b1fbolsoqaf0e0p/-FJPG/239676-003_DET_4.jpg</t>
  </si>
  <si>
    <t>239676-004</t>
  </si>
  <si>
    <t>Serena Accent Bench - Antwerp Cafe</t>
  </si>
  <si>
    <t>Rich, linen-blend upholstery covers a long, sophisticated dining bench.</t>
  </si>
  <si>
    <t>https://dd3ka9h4chfr8.cloudfront.net/image/725136000567/image_1h59tt7ksd04l2a7866bmhut1f/-S150x150-FJPG/239676-004_PRM_1.jpg</t>
  </si>
  <si>
    <t>https://dd3ka9h4chfr8.cloudfront.net/image/725136000567/image_paakcril810spc8jp2kceddg3d/-FJPG/239676-004_FRT_1.jpg</t>
  </si>
  <si>
    <t>https://dd3ka9h4chfr8.cloudfront.net/image/725136000567/image_1h59tt7ksd04l2a7866bmhut1f/-FJPG/239676-004_PRM_1.jpg</t>
  </si>
  <si>
    <t>https://dd3ka9h4chfr8.cloudfront.net/image/725136000567/image_jrffgag3fh63793sjg8oh35e4a/-FJPG/239676-004_SID_1.jpg</t>
  </si>
  <si>
    <t>https://dd3ka9h4chfr8.cloudfront.net/image/725136000567/image_c2eas9gj5l2f5e7v0tcssisa5k/-FJPG/239676-004_DET_2.jpg</t>
  </si>
  <si>
    <t>https://dd3ka9h4chfr8.cloudfront.net/image/725136000567/image_be3oesm5el3n5fcs0tgsc0le2k/-FJPG/239676-004_DET_1.jpg</t>
  </si>
  <si>
    <t>https://dd3ka9h4chfr8.cloudfront.net/image/725136000567/image_k9kpanrr8l2pv55dfoi48a5n5e/-FJPG/239676-004_DET_3.jpg</t>
  </si>
  <si>
    <t>https://dd3ka9h4chfr8.cloudfront.net/image/725136000567/image_si7p6bogud0hv1kakvgeqvro7q/-FJPG/239676-004_DET_4.jpg</t>
  </si>
  <si>
    <t>https://dd3ka9h4chfr8.cloudfront.net/image/725136000567/image_s6269k3cv536n1id7hhd2nqo42/-FJPG/239676-004_DET_5.jpg</t>
  </si>
  <si>
    <t>https://dd3ka9h4chfr8.cloudfront.net/image/725136000567/image_en3n0rq9s5239138o2fs2fr40k/-FJPG/239676-004_DET_6.jpg</t>
  </si>
  <si>
    <t>239681-001</t>
  </si>
  <si>
    <t>Bingham Large Coffee Table - Distressed Iron</t>
  </si>
  <si>
    <t>An organic-spirited statement piece. A drum-style coffee table of distressed iron rests within a sculptural cradle base of rustic oak with beautiful highs and lows.</t>
  </si>
  <si>
    <t>https://dd3ka9h4chfr8.cloudfront.net/image/725136000567/image_ss06i8sb6h4l3biu3aure4731u/-S150x150-FJPG/239681-001_PRM_1.jpg</t>
  </si>
  <si>
    <t>https://dd3ka9h4chfr8.cloudfront.net/image/725136000567/image_57lrrmnci51p335dscj8nri04i/-FJPG/239681-001_FRT_1.jpg</t>
  </si>
  <si>
    <t>https://dd3ka9h4chfr8.cloudfront.net/image/725136000567/image_ss06i8sb6h4l3biu3aure4731u/-FJPG/239681-001_PRM_1.jpg</t>
  </si>
  <si>
    <t>https://dd3ka9h4chfr8.cloudfront.net/image/725136000567/image_njki7elkjp3ap0fu7rfnvg5g51/-FJPG/239681-001_SID_1.jpg</t>
  </si>
  <si>
    <t>https://dd3ka9h4chfr8.cloudfront.net/image/725136000567/image_vojfj2qbk90r5d1mh2jufgva1h/-FJPG/239681-001_ESS_1.tif</t>
  </si>
  <si>
    <t>https://dd3ka9h4chfr8.cloudfront.net/image/725136000567/image_beuid6bhl14qp22814coqvrs6b/-FJPG/239681-001_DET_2.jpg</t>
  </si>
  <si>
    <t>https://dd3ka9h4chfr8.cloudfront.net/image/725136000567/image_jk61h7raet2hn1nrn7dh69ur5v/-FJPG/239681-001_BCK_1.jpg</t>
  </si>
  <si>
    <t>https://dd3ka9h4chfr8.cloudfront.net/image/725136000567/image_3g475mua697u9cp4bi1kreb13c/-FJPG/239681-001_DET_1.jpg</t>
  </si>
  <si>
    <t>https://dd3ka9h4chfr8.cloudfront.net/image/725136000567/image_5es1ls1rql06p2amaml0lfsk4h/-FJPG/239681-001_DET_3.jpg</t>
  </si>
  <si>
    <t>https://dd3ka9h4chfr8.cloudfront.net/image/725136000567/image_vmoij071n932t5vq15mnom0q2n/-FJPG/239681-001_TOP_1.jpg</t>
  </si>
  <si>
    <t>https://dd3ka9h4chfr8.cloudfront.net/image/725136000567/image_95uomgb011169e6lac4rgrrp2j/-FJPG/239681-001_DET_4.jpg</t>
  </si>
  <si>
    <t>https://dd3ka9h4chfr8.cloudfront.net/image/725136000567/image_9pdlaanm0p04r5koms13not34e/-FJPG/239681-001_DET_5.jpg</t>
  </si>
  <si>
    <t>https://dd3ka9h4chfr8.cloudfront.net/image/725136000567/image_kofbroplh108745splrcjfim08/-FJPG/239681-001_DET_6.jpg</t>
  </si>
  <si>
    <t>https://dd3ka9h4chfr8.cloudfront.net/image/725136000567/image_mrbksj82tp12pdk5or5gd88t69/-FJPG/239681-001_DET_9.tif</t>
  </si>
  <si>
    <t>239728-001</t>
  </si>
  <si>
    <t>Fisher Media Console - Rustic Amber Oak Veneer</t>
  </si>
  <si>
    <t>Rustic Amber Oak Veneer</t>
  </si>
  <si>
    <t>Crafted from a mix of solid oak and thick oak veneer, the contemporary shaping of this grand-scale media console lets the natural graining, cracking and character of the woods take center stage. Designed with oversized legs and cantilevered doors, with push latch doors.</t>
  </si>
  <si>
    <t>https://dd3ka9h4chfr8.cloudfront.net/image/725136000567/image_fm35bkoqp13uv044nvoikvu96g/-S150x150-FJPG/239728-001_PRM_1.jpg</t>
  </si>
  <si>
    <t>https://dd3ka9h4chfr8.cloudfront.net/image/725136000567/image_7mrmh28fhh37h5l0rqqaievc15/-FJPG/239728-001_FRT_1.jpg</t>
  </si>
  <si>
    <t>https://dd3ka9h4chfr8.cloudfront.net/image/725136000567/image_fm35bkoqp13uv044nvoikvu96g/-FJPG/239728-001_PRM_1.jpg</t>
  </si>
  <si>
    <t>https://dd3ka9h4chfr8.cloudfront.net/image/725136000567/image_lm42mkrb397b31qvosf790i21g/-FJPG/239728-001_SID_1.jpg</t>
  </si>
  <si>
    <t>https://dd3ka9h4chfr8.cloudfront.net/image/725136000567/image_jj9725m5v108d139gs7mc8g81p/-FJPG/239728-001_ESS_1.tif</t>
  </si>
  <si>
    <t>https://dd3ka9h4chfr8.cloudfront.net/image/725136000567/image_p8ij2gnjah67pdp8fa7qvot440/-FJPG/239728-001_DET_2.jpg</t>
  </si>
  <si>
    <t>https://dd3ka9h4chfr8.cloudfront.net/image/725136000567/image_kajqmqrk0d12f1i23h7kuhbk4k/-FJPG/239728-001_BCK_1.jpg</t>
  </si>
  <si>
    <t>https://dd3ka9h4chfr8.cloudfront.net/image/725136000567/image_vlah985n2p1kh9v5iv1v8f7t72/-FJPG/239728-001_DET_1.jpg</t>
  </si>
  <si>
    <t>https://dd3ka9h4chfr8.cloudfront.net/image/725136000567/image_reuag3rp1t5cd3babhn635ep0f/-FJPG/239728-001_DET_3.jpg</t>
  </si>
  <si>
    <t>https://dd3ka9h4chfr8.cloudfront.net/image/725136000567/image_c79e9aghp11arfvtc5dp6bie2h/-FJPG/239728-001_OPN_1.jpg</t>
  </si>
  <si>
    <t>https://dd3ka9h4chfr8.cloudfront.net/image/725136000567/image_2nf15ld4ep3j3btolm59bdjr51/-FJPG/239728-001_DET_4.jpg</t>
  </si>
  <si>
    <t>https://dd3ka9h4chfr8.cloudfront.net/image/725136000567/image_m2es6ojv4t6rh09rrorpfbin5j/-FJPG/239728-001_DET_5.jpg</t>
  </si>
  <si>
    <t>https://dd3ka9h4chfr8.cloudfront.net/image/725136000567/image_crbni70c3l3m3fo42ttk3r021g/-FJPG/239728-001_DET_6.jpg</t>
  </si>
  <si>
    <t>https://dd3ka9h4chfr8.cloudfront.net/image/725136000567/image_qa6s3puun522f8f84vujpg1d0f/-FJPG/239728-001_DET_7.jpg</t>
  </si>
  <si>
    <t>https://dd3ka9h4chfr8.cloudfront.net/image/725136000567/image_j79ntf8qg93f3a8j3cq711iv5a/-FJPG/239728-001_DET_8.jpg</t>
  </si>
  <si>
    <t>https://dd3ka9h4chfr8.cloudfront.net/image/725136000567/image_ru2e7rrksl7arbpda1gieaaf57/-FJPG/239728-001_DET_9.tif</t>
  </si>
  <si>
    <t>39.25"</t>
  </si>
  <si>
    <t>Fisher</t>
  </si>
  <si>
    <t>12.36"</t>
  </si>
  <si>
    <t>239731-001</t>
  </si>
  <si>
    <t>Isador Executive Desk - Dry Wash Poplar</t>
  </si>
  <si>
    <t>Beautifully simple in spirit. Solid dry-washed poplar forms a clean, Seventies-inspired executive desk with dovetail joinery plus iron and leather hardware, for a fresh, material-driven update to Shaker-like styling. Fully finished back grants the option to float desk anywhere in room.</t>
  </si>
  <si>
    <t>https://dd3ka9h4chfr8.cloudfront.net/image/725136000567/image_2o15mua1857qjemmntro269m5v/-S150x150-FJPG/239731-001_PRM_1.jpg</t>
  </si>
  <si>
    <t>https://dd3ka9h4chfr8.cloudfront.net/image/725136000567/image_vcjo7jdj4l3lfb3qo60vir9o0k/-FJPG/239731-001_FRT_1.jpg</t>
  </si>
  <si>
    <t>https://dd3ka9h4chfr8.cloudfront.net/image/725136000567/image_2o15mua1857qjemmntro269m5v/-FJPG/239731-001_PRM_1.jpg</t>
  </si>
  <si>
    <t>https://dd3ka9h4chfr8.cloudfront.net/image/725136000567/image_f0t23ql65p0t108tc8p2m1h005/-FJPG/239731-001_SID_1.jpg</t>
  </si>
  <si>
    <t>https://dd3ka9h4chfr8.cloudfront.net/image/725136000567/image_nmf1rmhk8t68re4to3iq8civ12/-FJPG/239731-001_DET_2.jpg</t>
  </si>
  <si>
    <t>https://dd3ka9h4chfr8.cloudfront.net/image/725136000567/image_7qs813o4hd3e3bdtedh3ij0v78/-FJPG/239731-001_BCK_1.jpg</t>
  </si>
  <si>
    <t>https://dd3ka9h4chfr8.cloudfront.net/image/725136000567/image_pm6pil19116ode448d9b005g24/-FJPG/239731-001_DET_1.jpg</t>
  </si>
  <si>
    <t>https://dd3ka9h4chfr8.cloudfront.net/image/725136000567/image_blt67ehpth1f560suho7gnck1u/-FJPG/239731-001_DET_3.jpg</t>
  </si>
  <si>
    <t>https://dd3ka9h4chfr8.cloudfront.net/image/725136000567/image_hp87h14vjh29b54n2gga8c7g0p/-FJPG/239731-001_OPN_1.jpg</t>
  </si>
  <si>
    <t>https://dd3ka9h4chfr8.cloudfront.net/image/725136000567/image_2uiavtmut131vbtqfes01bcd4e/-FJPG/239731-001_DET_4.jpg</t>
  </si>
  <si>
    <t>https://dd3ka9h4chfr8.cloudfront.net/image/725136000567/image_h2p608gta96pr9a5cc95t6441k/-FJPG/239731-001_DET_5.jpg</t>
  </si>
  <si>
    <t>https://dd3ka9h4chfr8.cloudfront.net/image/725136000567/image_8qatov9pp53rdbvtdqvlunn47d/-FJPG/239731-001_DET_6.jpg</t>
  </si>
  <si>
    <t>https://dd3ka9h4chfr8.cloudfront.net/image/725136000567/image_m81va0oa9d7ehdoirje5lisg0t/-FJPG/239731-001_DET_7.jpg</t>
  </si>
  <si>
    <t>https://dd3ka9h4chfr8.cloudfront.net/image/725136000567/image_1vs27f4d2d2djdnmlq3ovrdn7v/-FJPG/239731-001_DET_8.jpg</t>
  </si>
  <si>
    <t>https://dd3ka9h4chfr8.cloudfront.net/image/725136000567/image_s5gmduhtnh6er82n5qvjpj7r4t/-FJPG/239731-001_VIG_1.jpg</t>
  </si>
  <si>
    <t>239747-001</t>
  </si>
  <si>
    <t>Newton Media Console - Brown</t>
  </si>
  <si>
    <t>Maya</t>
  </si>
  <si>
    <t>Brown</t>
  </si>
  <si>
    <t>This reimagined classic is subtly updated with simple post detailing between compartment doors and streamlined iron hardware. Crafted from solid mango in a grand scale with three interior compartments and cutouts on back for cord management.</t>
  </si>
  <si>
    <t>https://dd3ka9h4chfr8.cloudfront.net/image/725136000567/image_1j5d793n7p2fl6k3hdnkr4jd4v/-S150x150-FJPG/239747-001_PRM_1.jpg</t>
  </si>
  <si>
    <t>https://dd3ka9h4chfr8.cloudfront.net/image/725136000567/image_comr96o0pp0cn9u69nooc6h060/-FJPG/239747-001_FRT_1.jpg</t>
  </si>
  <si>
    <t>https://dd3ka9h4chfr8.cloudfront.net/image/725136000567/image_1j5d793n7p2fl6k3hdnkr4jd4v/-FJPG/239747-001_PRM_1.jpg</t>
  </si>
  <si>
    <t>https://dd3ka9h4chfr8.cloudfront.net/image/725136000567/image_q63rblausl1o9efp80ul3lpc3g/-FJPG/239747-001_SID_1.jpg</t>
  </si>
  <si>
    <t>https://dd3ka9h4chfr8.cloudfront.net/image/725136000567/image_hff23u0ir915726hjnagdvlh23/-FJPG/239747-001_ESS_1.tif</t>
  </si>
  <si>
    <t>https://dd3ka9h4chfr8.cloudfront.net/image/725136000567/image_168ti97sol0c11aksmaq3i2t0p/-FJPG/239747-001_DET_2.jpg</t>
  </si>
  <si>
    <t>https://dd3ka9h4chfr8.cloudfront.net/image/725136000567/image_3cnu04kagt1ar7p4e6tebevd50/-FJPG/239747-001_BCK_1.jpg</t>
  </si>
  <si>
    <t>https://dd3ka9h4chfr8.cloudfront.net/image/725136000567/image_dhaver26e53037v8kpetssu43i/-FJPG/239747-001_DET_1.jpg</t>
  </si>
  <si>
    <t>https://dd3ka9h4chfr8.cloudfront.net/image/725136000567/image_abqa3ssfq12lj0p7hph77tld76/-FJPG/239747-001_DET_3.jpg</t>
  </si>
  <si>
    <t>https://dd3ka9h4chfr8.cloudfront.net/image/725136000567/image_d542rk8koh33d7i804akdo1o18/-FJPG/239747-001_OPN_1.jpg</t>
  </si>
  <si>
    <t>https://dd3ka9h4chfr8.cloudfront.net/image/725136000567/image_p9b1qgn8tp2lj1m0emotb1k63d/-FJPG/239747-001_DET_4.jpg</t>
  </si>
  <si>
    <t>https://dd3ka9h4chfr8.cloudfront.net/image/725136000567/image_pvi12v8o4d3st8d08nvqoph67o/-FJPG/239747-001_DET_5.jpg</t>
  </si>
  <si>
    <t>https://dd3ka9h4chfr8.cloudfront.net/image/725136000567/image_ah8g4qqq7l7dd31tt346nl8b3q/-FJPG/239747-001_DET_6.jpg</t>
  </si>
  <si>
    <t>https://dd3ka9h4chfr8.cloudfront.net/image/725136000567/image_p4ua1rahod4ntd5r6ldtrvtu3l/-FJPG/239747-001_DET_7.jpg</t>
  </si>
  <si>
    <t>https://dd3ka9h4chfr8.cloudfront.net/image/725136000567/image_dtvv910ri917n7sfcce7e6i66b/-FJPG/239747-001_DET_8.jpg</t>
  </si>
  <si>
    <t>47.50"</t>
  </si>
  <si>
    <t>20.25"</t>
  </si>
  <si>
    <t>Newton</t>
  </si>
  <si>
    <t>21.63"</t>
  </si>
  <si>
    <t>239752-001</t>
  </si>
  <si>
    <t>Redondo Media Console - Bleached Alder</t>
  </si>
  <si>
    <t>Oxidized Aluminum</t>
  </si>
  <si>
    <t>This simply styled media console is crafted from a mix of bleached resawn alder wood with oxidized metal door fronts with a brass undertone for subtle tonal contrast. Designed with ample storage and rear cutouts for cord management.</t>
  </si>
  <si>
    <t>https://dd3ka9h4chfr8.cloudfront.net/image/725136000567/image_a8875et7s509rdmpgpqtroi13d/-S150x150-FJPG/239752-001_PRM_1.jpg</t>
  </si>
  <si>
    <t>https://dd3ka9h4chfr8.cloudfront.net/image/725136000567/image_n78fetksp91356i2ih32nutb1e/-FJPG/239752-001_FRT_1.jpg</t>
  </si>
  <si>
    <t>https://dd3ka9h4chfr8.cloudfront.net/image/725136000567/image_a8875et7s509rdmpgpqtroi13d/-FJPG/239752-001_PRM_1.jpg</t>
  </si>
  <si>
    <t>https://dd3ka9h4chfr8.cloudfront.net/image/725136000567/image_v7s8849ui50599i867qti2fq3c/-FJPG/239752-001_SID_1.jpg</t>
  </si>
  <si>
    <t>https://dd3ka9h4chfr8.cloudfront.net/image/725136000567/image_5gq72f0fq96rn5uqnvnsmire7u/-FJPG/239752-001_ESS_1.tif</t>
  </si>
  <si>
    <t>https://dd3ka9h4chfr8.cloudfront.net/image/725136000567/image_bl7rke0n8t4u5ats9sf7d0dn74/-FJPG/239752-001_DET_2.jpg</t>
  </si>
  <si>
    <t>https://dd3ka9h4chfr8.cloudfront.net/image/725136000567/image_lloav7680977r5qb73938qbd4e/-FJPG/239752-001_BCK_1.jpg</t>
  </si>
  <si>
    <t>https://dd3ka9h4chfr8.cloudfront.net/image/725136000567/image_oogh39473t3t9c7hsgd6nems7f/-FJPG/239752-001_DET_1.jpg</t>
  </si>
  <si>
    <t>https://dd3ka9h4chfr8.cloudfront.net/image/725136000567/image_v1f8041bbl36r7l4t5tgetp93a/-FJPG/239752-001_DET_3.jpg</t>
  </si>
  <si>
    <t>https://dd3ka9h4chfr8.cloudfront.net/image/725136000567/image_ju95i5n9q56pv75p6o7b3fou2p/-FJPG/239752-001_OPN_1.jpg</t>
  </si>
  <si>
    <t>https://dd3ka9h4chfr8.cloudfront.net/image/725136000567/image_im5ghg5du13kbbhihtmo3oth3j/-FJPG/239752-001_TOP_1.jpg</t>
  </si>
  <si>
    <t>https://dd3ka9h4chfr8.cloudfront.net/image/725136000567/image_512t84mcil6u5e2dk729422n3n/-FJPG/239752-001_DET_4.jpg</t>
  </si>
  <si>
    <t>https://dd3ka9h4chfr8.cloudfront.net/image/725136000567/image_kbt3sthuod2t5de9b4ufs5q207/-FJPG/239752-001_DET_5.jpg</t>
  </si>
  <si>
    <t>https://dd3ka9h4chfr8.cloudfront.net/image/725136000567/image_d617v6p83l2db8lpabcvo4s27a/-FJPG/239752-001_DET_6.jpg</t>
  </si>
  <si>
    <t>https://dd3ka9h4chfr8.cloudfront.net/image/725136000567/image_4sp4cf4thd6vdduo546nanek37/-FJPG/239752-001_DET_7.jpg</t>
  </si>
  <si>
    <t>https://dd3ka9h4chfr8.cloudfront.net/image/725136000567/image_9dgtbiu6ht7474kk0fgt8o1q28/-FJPG/239752-001_DET_8.jpg</t>
  </si>
  <si>
    <t>https://dd3ka9h4chfr8.cloudfront.net/image/725136000567/image_sb83pqlsil0d72q1uh2k0hb468/-FJPG/239752-001_DET_9.tif</t>
  </si>
  <si>
    <t>https://dd3ka9h4chfr8.cloudfront.net/image/725136000567/image_fdmrkj1pg53g98b3dmdnc4qt28/-FJPG/239752-001_DET_10.tif</t>
  </si>
  <si>
    <t>https://dd3ka9h4chfr8.cloudfront.net/image/725136000567/image_lui0frjivl3m14qnnk7ibgfl4u/-FJPG/FHMPRJ-008_SCENE_7D.tif</t>
  </si>
  <si>
    <t>23.63"</t>
  </si>
  <si>
    <t>41.25"</t>
  </si>
  <si>
    <t>Redondo</t>
  </si>
  <si>
    <t>239791-001</t>
  </si>
  <si>
    <t>Reza Bookcase - Toasted Acacia</t>
  </si>
  <si>
    <t>A midcentury form with Shaker spirit. Finished in a smoked honey, solid parawood forms a storage-driven bookcase, framed out by solid acacia. Ample open shelving plus lower interior storage provides a place for just about everything.</t>
  </si>
  <si>
    <t>https://dd3ka9h4chfr8.cloudfront.net/image/725136000567/image_mee9s2lpv57010b8pdvusads2s/-S150x150-FJPG/239791-001_PRM_1.jpg</t>
  </si>
  <si>
    <t>https://dd3ka9h4chfr8.cloudfront.net/image/725136000567/image_susv8k867l2j92dk4m83vh151g/-FJPG/239791-001_FRT_1.jpg</t>
  </si>
  <si>
    <t>https://dd3ka9h4chfr8.cloudfront.net/image/725136000567/image_mee9s2lpv57010b8pdvusads2s/-FJPG/239791-001_PRM_1.jpg</t>
  </si>
  <si>
    <t>https://dd3ka9h4chfr8.cloudfront.net/image/725136000567/image_bprklj98nl31nf1aoisd99ne61/-FJPG/239791-001_SID_1.jpg</t>
  </si>
  <si>
    <t>https://dd3ka9h4chfr8.cloudfront.net/image/725136000567/image_fvsiopcg612ph08s3mn67u6009/-FJPG/239791-001_ESS_1.tif</t>
  </si>
  <si>
    <t>https://dd3ka9h4chfr8.cloudfront.net/image/725136000567/image_q4vp1gc4ht06j841dt5fgt4l54/-FJPG/239791-001_DET_2.jpg</t>
  </si>
  <si>
    <t>https://dd3ka9h4chfr8.cloudfront.net/image/725136000567/image_vvdqn41v8l3gf4tq2p5b1d2e0s/-FJPG/239791-001_BCK_1.jpg</t>
  </si>
  <si>
    <t>https://dd3ka9h4chfr8.cloudfront.net/image/725136000567/image_qcraqguomt2dd3cmfgj4pprv13/-FJPG/239791-001_DET_1.jpg</t>
  </si>
  <si>
    <t>https://dd3ka9h4chfr8.cloudfront.net/image/725136000567/image_4k8m0lj11d0435e1usr2s87o1l/-FJPG/239791-001_DET_3.jpg</t>
  </si>
  <si>
    <t>https://dd3ka9h4chfr8.cloudfront.net/image/725136000567/image_jj9mfofsk501ncs5v35si7gm6u/-FJPG/239791-001_OPN_1.jpg</t>
  </si>
  <si>
    <t>https://dd3ka9h4chfr8.cloudfront.net/image/725136000567/image_vn04r1ivnd4i1bao5r7rnv2e09/-FJPG/239791-001_DET_5.jpg</t>
  </si>
  <si>
    <t>https://dd3ka9h4chfr8.cloudfront.net/image/725136000567/image_arife8q3rd3t940b1g3r3b4g14/-FJPG/239791-001_DET_6.jpg</t>
  </si>
  <si>
    <t>https://dd3ka9h4chfr8.cloudfront.net/image/725136000567/image_i8aa3s5aup7uh2qcauag2vba6k/-FJPG/239791-001_DET_7.jpg</t>
  </si>
  <si>
    <t>https://dd3ka9h4chfr8.cloudfront.net/image/725136000567/image_fvciaoit8h0nj8bhl8kpr64q4l/-FJPG/239791-001_DET_8.jpg</t>
  </si>
  <si>
    <t>https://dd3ka9h4chfr8.cloudfront.net/image/725136000567/image_h2berhh08h67b9prau1bd0g76b/-FJPG/239791-001_DET_9.jpg</t>
  </si>
  <si>
    <t>https://dd3ka9h4chfr8.cloudfront.net/image/725136000567/image_79g21t4kup4hjf9ghqfaf8bl3j/-FJPG/239791-001_DET_10.jpg</t>
  </si>
  <si>
    <t>https://dd3ka9h4chfr8.cloudfront.net/image/725136000567/image_t98a7onsfh16ffele61vl0pj5q/-FJPG/239791-001_DET_11.tif</t>
  </si>
  <si>
    <t>https://dd3ka9h4chfr8.cloudfront.net/image/725136000567/image_l5q3dh2dn16756o52gqafbe91i/-FJPG/239791-001_DET_11.jpg</t>
  </si>
  <si>
    <t>https://dd3ka9h4chfr8.cloudfront.net/image/725136000567/image_lgvv4a9m192g992qogpn01hb1e/-FJPG/239791-001_DET_12.tif</t>
  </si>
  <si>
    <t>https://dd3ka9h4chfr8.cloudfront.net/image/725136000567/image_358p4hdrol72nea82qliejus4i/-FJPG/239791-001_DET_12.jpg</t>
  </si>
  <si>
    <t>https://dd3ka9h4chfr8.cloudfront.net/image/725136000567/image_k93k8ppl1l693cfrofnrqlah6s/-FJPG/239791-001_DET_13.tif</t>
  </si>
  <si>
    <t>Case &amp; Shelves</t>
  </si>
  <si>
    <t>18.13"</t>
  </si>
  <si>
    <t>239791-002</t>
  </si>
  <si>
    <t>Reza Bookcase - Worn Black Acacia</t>
  </si>
  <si>
    <t>A midcentury form with Shaker spirit. Finished in a worn honey, solid parawood forms a storage-driven bookcase, framed out by solid acacia. Ample open shelving plus lower interior storage provides a place for just about everything.</t>
  </si>
  <si>
    <t>https://dd3ka9h4chfr8.cloudfront.net/image/725136000567/image_al6pbthckp0mh5hfckdqpv5e75/-S150x150-FJPG/239791-002_PRM_1.jpg</t>
  </si>
  <si>
    <t>https://dd3ka9h4chfr8.cloudfront.net/image/725136000567/image_c4llmcl19d04d7ufpc6ll1284i/-FJPG/239791-002_FRT_1.jpg</t>
  </si>
  <si>
    <t>https://dd3ka9h4chfr8.cloudfront.net/image/725136000567/image_al6pbthckp0mh5hfckdqpv5e75/-FJPG/239791-002_PRM_1.jpg</t>
  </si>
  <si>
    <t>https://dd3ka9h4chfr8.cloudfront.net/image/725136000567/image_j1uupumknd2n71bsdq0s34ms44/-FJPG/239791-002_SID_1.jpg</t>
  </si>
  <si>
    <t>https://dd3ka9h4chfr8.cloudfront.net/image/725136000567/image_nt6qb8u8r57lfcfdt07ruplb32/-FJPG/239791-002_ESS.tif</t>
  </si>
  <si>
    <t>https://dd3ka9h4chfr8.cloudfront.net/image/725136000567/image_b9jgu8sh6t2lr48vmjoar73l4u/-FJPG/239791-002_BCK_1.jpg</t>
  </si>
  <si>
    <t>https://dd3ka9h4chfr8.cloudfront.net/image/725136000567/image_1qs2ej8kpp5nt38fb0lb74fe1r/-FJPG/239791-002_DET_1.jpg</t>
  </si>
  <si>
    <t>https://dd3ka9h4chfr8.cloudfront.net/image/725136000567/image_8sau5g96td6hv52vhapvls625e/-FJPG/239791-002_DET_3.jpg</t>
  </si>
  <si>
    <t>https://dd3ka9h4chfr8.cloudfront.net/image/725136000567/image_04f5vnhm6974r3n21hj1o37s48/-FJPG/239791-002_OPN_1.jpg</t>
  </si>
  <si>
    <t>https://dd3ka9h4chfr8.cloudfront.net/image/725136000567/image_ob8sbe6d3l52b6kfm7uc1t8t1o/-FJPG/239791-002_TOP_1.jpg</t>
  </si>
  <si>
    <t>https://dd3ka9h4chfr8.cloudfront.net/image/725136000567/image_dbojg2fbvt0vh1u4bp9dpskg1v/-FJPG/239791-002_DET_4.jpg</t>
  </si>
  <si>
    <t>https://dd3ka9h4chfr8.cloudfront.net/image/725136000567/image_grofe117h10srdcjg3vgsp4r6c/-FJPG/239791-002_DET_5.jpg</t>
  </si>
  <si>
    <t>https://dd3ka9h4chfr8.cloudfront.net/image/725136000567/image_e61rr20kit3vtb6h9s1ken9h77/-FJPG/239791-002_DET_6.jpg</t>
  </si>
  <si>
    <t>https://dd3ka9h4chfr8.cloudfront.net/image/725136000567/image_3plohrmcfh35fa1t3lhjft4f0o/-FJPG/239791-002_DET_7.jpg</t>
  </si>
  <si>
    <t>239832-001</t>
  </si>
  <si>
    <t>Isaac Coffee Table - Smoked Black Veneer</t>
  </si>
  <si>
    <t>A substantially sized coffee table of smoked black oak features joint and connection construction for a design-forward look. Visible knots and graining add character.</t>
  </si>
  <si>
    <t>https://dd3ka9h4chfr8.cloudfront.net/image/725136000567/image_gdargabtid4ll956ca7n44te2v/-S150x150-FJPG/239832-001_PRM_1.jpg</t>
  </si>
  <si>
    <t>https://dd3ka9h4chfr8.cloudfront.net/image/725136000567/image_qt2kctbb597pv2idj72629km1v/-FJPG/239832-001_FRT_1.jpg</t>
  </si>
  <si>
    <t>https://dd3ka9h4chfr8.cloudfront.net/image/725136000567/image_gdargabtid4ll956ca7n44te2v/-FJPG/239832-001_PRM_1.jpg</t>
  </si>
  <si>
    <t>https://dd3ka9h4chfr8.cloudfront.net/image/725136000567/image_g770j5fit15nn33e9m0nnlqo6s/-FJPG/239832-001_SID_1.jpg</t>
  </si>
  <si>
    <t>https://dd3ka9h4chfr8.cloudfront.net/image/725136000567/image_jfbsg22ish2rfc5n43j3ic4j58/-FJPG/239832-001_HOV_1.jpg</t>
  </si>
  <si>
    <t>https://dd3ka9h4chfr8.cloudfront.net/image/725136000567/image_5pau780uu90oleokvritu5v94c/-FJPG/239832-001_DET_2.jpg</t>
  </si>
  <si>
    <t>https://dd3ka9h4chfr8.cloudfront.net/image/725136000567/image_oar2du23hd33v333mb4eo6gf1n/-FJPG/239832-001_DET_1.jpg</t>
  </si>
  <si>
    <t>https://dd3ka9h4chfr8.cloudfront.net/image/725136000567/image_i4jd7qkha50b3b2k7ikb2gh00n/-FJPG/239832-001_DET_3.jpg</t>
  </si>
  <si>
    <t>https://dd3ka9h4chfr8.cloudfront.net/image/725136000567/image_30t7j61dut18b86ad5c9a95l7e/-FJPG/239832-001_DET_4.jpg</t>
  </si>
  <si>
    <t>https://dd3ka9h4chfr8.cloudfront.net/image/725136000567/image_fb7k02673l1o350aku6te6te6h/-FJPG/239832-001_DET_5.jpg</t>
  </si>
  <si>
    <t>https://dd3ka9h4chfr8.cloudfront.net/image/725136000567/image_hlk3c9p20h4u9033l24hbjdg7s/-FJPG/239832-001_DET_6.jpg</t>
  </si>
  <si>
    <t>https://dd3ka9h4chfr8.cloudfront.net/image/725136000567/image_3jpnuctonl6kb0kmkr7adrg013/-FJPG/239832-001_DET_7.jpg</t>
  </si>
  <si>
    <t>https://dd3ka9h4chfr8.cloudfront.net/image/725136000567/image_fp0hbrqled10tcp8e84sudke04/-FJPG/239832-001_DET_9.tif</t>
  </si>
  <si>
    <t>https://dd3ka9h4chfr8.cloudfront.net/image/725136000567/image_op8milkpd15df5uqplgbs7bb4e/-FJPG/239832-001_ESS.tif</t>
  </si>
  <si>
    <t>Coffee Table</t>
  </si>
  <si>
    <t>40.98"</t>
  </si>
  <si>
    <t>32.87"</t>
  </si>
  <si>
    <t>239832-002</t>
  </si>
  <si>
    <t>Isaac Coffee Table - Rubbed Light Oak Veneer</t>
  </si>
  <si>
    <t>https://dd3ka9h4chfr8.cloudfront.net/image/725136000567/image_s5mjopu4cd7fd7dfjkrm5e9v74/-S150x150-FJPG/239832-002_PRM_1.jpg</t>
  </si>
  <si>
    <t>https://dd3ka9h4chfr8.cloudfront.net/image/725136000567/image_snqit4j38l52fa1hbgipviga6p/-FJPG/239832-002_FRT_1.jpg</t>
  </si>
  <si>
    <t>https://dd3ka9h4chfr8.cloudfront.net/image/725136000567/image_s5mjopu4cd7fd7dfjkrm5e9v74/-FJPG/239832-002_PRM_1.jpg</t>
  </si>
  <si>
    <t>https://dd3ka9h4chfr8.cloudfront.net/image/725136000567/image_sbttb58ks136n35vh1ou2cpv2g/-FJPG/239832-002_SID_1.jpg</t>
  </si>
  <si>
    <t>https://dd3ka9h4chfr8.cloudfront.net/image/725136000567/image_ehiqo42u6d7mra2kj1pdnqhj27/-FJPG/239832-002_DET_2.jpg</t>
  </si>
  <si>
    <t>https://dd3ka9h4chfr8.cloudfront.net/image/725136000567/image_6qae5h09h12it1l8a0urpr674u/-FJPG/239832-002_DET_1.jpg</t>
  </si>
  <si>
    <t>https://dd3ka9h4chfr8.cloudfront.net/image/725136000567/image_in24a0glrt3qr4mgfdbjuuhd4k/-FJPG/239832-002_DET_3.jpg</t>
  </si>
  <si>
    <t>https://dd3ka9h4chfr8.cloudfront.net/image/725136000567/image_eoqfcv2u5t2v3a4slfapbop710/-FJPG/239832-002_DET_4.jpg</t>
  </si>
  <si>
    <t>https://dd3ka9h4chfr8.cloudfront.net/image/725136000567/image_8nthvqe66d0o373f7dmk7plk0l/-FJPG/239832-002_DET_5.jpg</t>
  </si>
  <si>
    <t>239842-001</t>
  </si>
  <si>
    <t>Abaso Nightstand - Rustic Wormwood Oak</t>
  </si>
  <si>
    <t>Made from thick-cut oak veneer with a faux rustic finish made to emulate wormwood oak, this low, large-scale nightstand features chunky squared corner posts with dovetail joinery detailing visible from the top. Cutout drawer hardware keeps the look minimal.</t>
  </si>
  <si>
    <t>https://dd3ka9h4chfr8.cloudfront.net/image/725136000567/image_ikqn620am14pb18ma1sousgb6r/-S150x150-FJPG/239842-001_PRM_1.jpg</t>
  </si>
  <si>
    <t>https://dd3ka9h4chfr8.cloudfront.net/image/725136000567/image_ivsih6rb515vrcp7vdcdr7f16m/-FJPG/239842-001_FRT_1.jpg</t>
  </si>
  <si>
    <t>https://dd3ka9h4chfr8.cloudfront.net/image/725136000567/image_ikqn620am14pb18ma1sousgb6r/-FJPG/239842-001_PRM_1.jpg</t>
  </si>
  <si>
    <t>https://dd3ka9h4chfr8.cloudfront.net/image/725136000567/image_j31jopvem57ot0crofieqrri2r/-FJPG/239842-001_SID_1.jpg</t>
  </si>
  <si>
    <t>https://dd3ka9h4chfr8.cloudfront.net/image/725136000567/image_a49308dpbd1jt0hhf7a8uecu6q/-FJPG/239842-001_ESS_1.jpg</t>
  </si>
  <si>
    <t>https://dd3ka9h4chfr8.cloudfront.net/image/725136000567/image_ijc3kfq6ad56j1tde1jbdkje1d/-FJPG/239842-001_ESS_1.tif</t>
  </si>
  <si>
    <t>https://dd3ka9h4chfr8.cloudfront.net/image/725136000567/image_jscldv39493gnf5qk7jmtbva09/-FJPG/240042-006_ESS_1.jpg</t>
  </si>
  <si>
    <t>https://dd3ka9h4chfr8.cloudfront.net/image/725136000567/image_2f272ngs1d71ldfm5ft5oqvk62/-FJPG/239842-001_DET_2.jpg</t>
  </si>
  <si>
    <t>https://dd3ka9h4chfr8.cloudfront.net/image/725136000567/image_66mu9q5krd56p249vrrjtupm6r/-FJPG/239842-001_BCK_1.jpg</t>
  </si>
  <si>
    <t>https://dd3ka9h4chfr8.cloudfront.net/image/725136000567/image_o0c4csssvt26919421gq8hg80h/-FJPG/239842-001_DET_1.jpg</t>
  </si>
  <si>
    <t>https://dd3ka9h4chfr8.cloudfront.net/image/725136000567/image_kofrb9h6gp53t3caoeghmuqv7q/-FJPG/239842-001_DET_3.jpg</t>
  </si>
  <si>
    <t>https://dd3ka9h4chfr8.cloudfront.net/image/725136000567/image_6iil6fog5t1h57adfcdilccg3e/-FJPG/239842-001_OPN_1.jpg</t>
  </si>
  <si>
    <t>https://dd3ka9h4chfr8.cloudfront.net/image/725136000567/image_eigagv4glh7bf8hpctj13pgd2t/-FJPG/239842-001_TOP_1.jpg</t>
  </si>
  <si>
    <t>https://dd3ka9h4chfr8.cloudfront.net/image/725136000567/image_8pov0blmut3a7e80oivp0kk03q/-FJPG/239842-001_DET_4.jpg</t>
  </si>
  <si>
    <t>https://dd3ka9h4chfr8.cloudfront.net/image/725136000567/image_7585i5j8np0kjamkvrjmsi1v5e/-FJPG/239842-001_DET_6.jpg</t>
  </si>
  <si>
    <t>https://dd3ka9h4chfr8.cloudfront.net/image/725136000567/image_0k896k722h2fnaukdrgjkbo161/-FJPG/239842-001_DET_7.jpg</t>
  </si>
  <si>
    <t>https://dd3ka9h4chfr8.cloudfront.net/image/725136000567/image_dov67tvmo15njf94ktq1c5sj2m/-FJPG/239842-001_DET_8.jpg</t>
  </si>
  <si>
    <t>https://dd3ka9h4chfr8.cloudfront.net/image/725136000567/image_oijrs63mn92dpd0r6fuauo881u/-FJPG/239842-001_DET_9.tif</t>
  </si>
  <si>
    <t>239842-002</t>
  </si>
  <si>
    <t>Abaso Nightstand - Ebony Rustic Wormwood Oak</t>
  </si>
  <si>
    <t>https://dd3ka9h4chfr8.cloudfront.net/image/725136000567/image_dc6h5f5g6p13vd2lbrjcdviq0q/-S150x150-FJPG/239842-002_PRM_1.jpg</t>
  </si>
  <si>
    <t>https://dd3ka9h4chfr8.cloudfront.net/image/725136000567/image_v875sehrop1qv05lmvjihuh55v/-FJPG/239842-002_FRT_1.jpg</t>
  </si>
  <si>
    <t>https://dd3ka9h4chfr8.cloudfront.net/image/725136000567/image_dc6h5f5g6p13vd2lbrjcdviq0q/-FJPG/239842-002_PRM_1.jpg</t>
  </si>
  <si>
    <t>https://dd3ka9h4chfr8.cloudfront.net/image/725136000567/image_q9s82p54ap4nnf6rsjk564a87n/-FJPG/239842-002_SID_1.jpg</t>
  </si>
  <si>
    <t>https://dd3ka9h4chfr8.cloudfront.net/image/725136000567/image_4r5jf99n3p2vl1c8ehnvv2c072/-FJPG/239842-002_ESS.tif</t>
  </si>
  <si>
    <t>https://dd3ka9h4chfr8.cloudfront.net/image/725136000567/image_kqsou95cvh5tr4emks53ukdk4r/-FJPG/239842-002_ESS.tif</t>
  </si>
  <si>
    <t>https://dd3ka9h4chfr8.cloudfront.net/image/725136000567/image_on7p9o2j393shec1qli5p0pd5j/-FJPG/239842-002_DET_2.jpg</t>
  </si>
  <si>
    <t>https://dd3ka9h4chfr8.cloudfront.net/image/725136000567/image_6gginor8np1490raeriqp10p73/-FJPG/239842-002_BCK_1.jpg</t>
  </si>
  <si>
    <t>https://dd3ka9h4chfr8.cloudfront.net/image/725136000567/image_nt3hgbtg2573r7tt0tilbtf57v/-FJPG/239842-002_DET_1.jpg</t>
  </si>
  <si>
    <t>https://dd3ka9h4chfr8.cloudfront.net/image/725136000567/image_0pcvjbpmv53t7704bfgocg7p4g/-FJPG/239842-002_DET_3.jpg</t>
  </si>
  <si>
    <t>https://dd3ka9h4chfr8.cloudfront.net/image/725136000567/image_4ujfoarivd3d32vprdcs8a1u1t/-FJPG/239842-002_OPN_1.jpg</t>
  </si>
  <si>
    <t>https://dd3ka9h4chfr8.cloudfront.net/image/725136000567/image_g779553m5h3o94dhbf79irr16u/-FJPG/239842-002_TOP_1.jpg</t>
  </si>
  <si>
    <t>https://dd3ka9h4chfr8.cloudfront.net/image/725136000567/image_dqaqg3pf7t5vh4unp91i7ckc0b/-FJPG/239842-002_DET_4.jpg</t>
  </si>
  <si>
    <t>https://dd3ka9h4chfr8.cloudfront.net/image/725136000567/image_gmm590kidl6tl73djh74qmj846/-FJPG/239842-002_DET_5.jpg</t>
  </si>
  <si>
    <t>https://dd3ka9h4chfr8.cloudfront.net/image/725136000567/image_i2b3vhjfsl7efft1n8c43nks54/-FJPG/239842-002_DET_6.jpg</t>
  </si>
  <si>
    <t>https://dd3ka9h4chfr8.cloudfront.net/image/725136000567/image_p0a0udgn2d1pb7uhpdhcsa3664/-FJPG/239842-002_DET_7.jpg</t>
  </si>
  <si>
    <t>https://dd3ka9h4chfr8.cloudfront.net/image/725136000567/image_uardcdr0g17ohasqa2otdpg042/-FJPG/239842-002_DET_8.jpg</t>
  </si>
  <si>
    <t>https://dd3ka9h4chfr8.cloudfront.net/image/725136000567/image_gbqro3ikuh15h33id7g57ace6e/-FJPG/239842-002_DET_9.tif</t>
  </si>
  <si>
    <t>239844-001</t>
  </si>
  <si>
    <t>Abaso 6-Drawer Dresser - Rustic Wormwood Oak</t>
  </si>
  <si>
    <t>https://dd3ka9h4chfr8.cloudfront.net/image/725136000567/image_2ijs6dj42d4e1frt8452e5nr5k/-S150x150-FJPG/239844-001_PRM_1.jpg</t>
  </si>
  <si>
    <t>https://dd3ka9h4chfr8.cloudfront.net/image/725136000567/image_qdem071qcd167ckd0815jede35/-FJPG/239844-001_FRT_1.jpg</t>
  </si>
  <si>
    <t>https://dd3ka9h4chfr8.cloudfront.net/image/725136000567/image_2ijs6dj42d4e1frt8452e5nr5k/-FJPG/239844-001_PRM_1.jpg</t>
  </si>
  <si>
    <t>https://dd3ka9h4chfr8.cloudfront.net/image/725136000567/image_ek00ed0bqh76l0drdp56knkp6j/-FJPG/239844-001_SID_1.jpg</t>
  </si>
  <si>
    <t>https://dd3ka9h4chfr8.cloudfront.net/image/725136000567/image_li60n6h6l55at53t7lhorscn73/-FJPG/239844-001_ESS_1.jpg</t>
  </si>
  <si>
    <t>https://dd3ka9h4chfr8.cloudfront.net/image/725136000567/image_tj95c5v1jt013em34sk24knn4h/-FJPG/239844-001_DET_2.jpg</t>
  </si>
  <si>
    <t>https://dd3ka9h4chfr8.cloudfront.net/image/725136000567/image_iurtlg64s956vd21h0m9f5p95p/-FJPG/239844-001_BCK_1.jpg</t>
  </si>
  <si>
    <t>https://dd3ka9h4chfr8.cloudfront.net/image/725136000567/image_jddfbo3vt507rbt0ls1dko090r/-FJPG/239844-001_DET_1.jpg</t>
  </si>
  <si>
    <t>https://dd3ka9h4chfr8.cloudfront.net/image/725136000567/image_ihu66i7hnt4hr23k4nf4gm6o3u/-FJPG/239844-001_TOP_1.jpg</t>
  </si>
  <si>
    <t>https://dd3ka9h4chfr8.cloudfront.net/image/725136000567/image_2j8f8d5ro931j52qq0pmu93s09/-FJPG/239844-001_PRM_2.jpg</t>
  </si>
  <si>
    <t>239844-002</t>
  </si>
  <si>
    <t>Abaso 6-Drawer Dresser - Ebony Rustic Wormwood Oak</t>
  </si>
  <si>
    <t>Made from thick-cut oak veneer with a faux rustic finish made to emulate wormwood, this six-drawer dresser features chunky squared legs and dovetail joinery detailing.</t>
  </si>
  <si>
    <t>https://dd3ka9h4chfr8.cloudfront.net/image/725136000567/image_od7fgelf190gp89vokk5slm836/-S150x150-FJPG/239844-002_PRM_1.jpg</t>
  </si>
  <si>
    <t>https://dd3ka9h4chfr8.cloudfront.net/image/725136000567/image_gka2f84np541d52dk7vael803u/-FJPG/239844-002_FRT_1.jpg</t>
  </si>
  <si>
    <t>https://dd3ka9h4chfr8.cloudfront.net/image/725136000567/image_od7fgelf190gp89vokk5slm836/-FJPG/239844-002_PRM_1.jpg</t>
  </si>
  <si>
    <t>https://dd3ka9h4chfr8.cloudfront.net/image/725136000567/image_jpqfqujft144l6poot3eqice70/-FJPG/239844-002_SID_1.jpg</t>
  </si>
  <si>
    <t>https://dd3ka9h4chfr8.cloudfront.net/image/725136000567/image_3v3ac2vu55667d3ackqot4952l/-FJPG/239844-002_ESS_1.jpg</t>
  </si>
  <si>
    <t>https://dd3ka9h4chfr8.cloudfront.net/image/725136000567/image_fifcnjg2jd4fl9hhp85a22if6d/-FJPG/239844-002_DET_2.jpg</t>
  </si>
  <si>
    <t>https://dd3ka9h4chfr8.cloudfront.net/image/725136000567/image_rafe38g82p0f95532d5d2qat6o/-FJPG/239844-002_BCK_1.jpg</t>
  </si>
  <si>
    <t>https://dd3ka9h4chfr8.cloudfront.net/image/725136000567/image_drv98806555u54li4bukgaji4q/-FJPG/239844-002_DET_1.jpg</t>
  </si>
  <si>
    <t>https://dd3ka9h4chfr8.cloudfront.net/image/725136000567/image_l6pokv08dh4fr0j4u0so9jad7r/-FJPG/239844-002_OPN_1.jpg</t>
  </si>
  <si>
    <t>https://dd3ka9h4chfr8.cloudfront.net/image/725136000567/image_6inj2p2qed13557lftptr3460l/-FJPG/239844-002_TOP_1.jpg</t>
  </si>
  <si>
    <t>240088-001</t>
  </si>
  <si>
    <t>Sparrow Coffee Table - Ashen Oak Resawn</t>
  </si>
  <si>
    <t>Ashen Oak Resawn</t>
  </si>
  <si>
    <t>Made from character-rich resawn oak, a simple, rounded coffee table features splayed legs for a hint of shapely intrigue.</t>
  </si>
  <si>
    <t>https://dd3ka9h4chfr8.cloudfront.net/image/725136000567/image_a73reebfhh3bbd051j8m4ehi22/-S150x150-FJPG/240088-001_PRM_1.jpg</t>
  </si>
  <si>
    <t>https://dd3ka9h4chfr8.cloudfront.net/image/725136000567/image_q8eqp5a1bd4rl0qvdjo33sse0j/-FJPG/240088-001_FRT_1.jpg</t>
  </si>
  <si>
    <t>https://dd3ka9h4chfr8.cloudfront.net/image/725136000567/image_a73reebfhh3bbd051j8m4ehi22/-FJPG/240088-001_PRM_1.jpg</t>
  </si>
  <si>
    <t>https://dd3ka9h4chfr8.cloudfront.net/image/725136000567/image_hkjl4f671t7td45navtmkcna35/-FJPG/240088-001_SID_1.jpg</t>
  </si>
  <si>
    <t>https://dd3ka9h4chfr8.cloudfront.net/image/725136000567/image_o3cshorh7p6nff8036fdfd2i49/-FJPG/240088-001_ESS.tif</t>
  </si>
  <si>
    <t>https://dd3ka9h4chfr8.cloudfront.net/image/725136000567/image_0eurlc6umd58hcu7bfmpvvcs2t/-FJPG/240088-001_DET_2.jpg</t>
  </si>
  <si>
    <t>https://dd3ka9h4chfr8.cloudfront.net/image/725136000567/image_b83ablar8h0m7frs986k0h4r0i/-FJPG/240088-001_BCK_1.jpg</t>
  </si>
  <si>
    <t>https://dd3ka9h4chfr8.cloudfront.net/image/725136000567/image_eo86cvrfth4j5f28o7d1j2io3m/-FJPG/240088-001_DET_1.jpg</t>
  </si>
  <si>
    <t>https://dd3ka9h4chfr8.cloudfront.net/image/725136000567/image_7kcskege4l2f50oubr94mvke3l/-FJPG/240088-001_DET_3.jpg</t>
  </si>
  <si>
    <t>https://dd3ka9h4chfr8.cloudfront.net/image/725136000567/image_quromtaeqh7mtf64vctvk2qg5t/-FJPG/240088-001_TOP_1.jpg</t>
  </si>
  <si>
    <t>https://dd3ka9h4chfr8.cloudfront.net/image/725136000567/image_ab3e74u9op0sl2lun7mhgtlb3h/-FJPG/240088-001_DET_4.jpg</t>
  </si>
  <si>
    <t>https://dd3ka9h4chfr8.cloudfront.net/image/725136000567/image_6h5gaook8h6uda6k1b2720247u/-FJPG/240088-001_DET_5.jpg</t>
  </si>
  <si>
    <t>https://dd3ka9h4chfr8.cloudfront.net/image/725136000567/image_39o0si4c9l05v811oa2tjrun2r/-FJPG/240088-001_DET_6.jpg</t>
  </si>
  <si>
    <t>https://dd3ka9h4chfr8.cloudfront.net/image/725136000567/image_ce53u5j3q14cb6jl6617ni0r0m/-FJPG/240088-001_DET_7.jpg</t>
  </si>
  <si>
    <t>https://dd3ka9h4chfr8.cloudfront.net/image/725136000567/image_bvhkub9q6135v1f87mmdnar223/-FJPG/240088-001_DET_9.tif</t>
  </si>
  <si>
    <t>https://dd3ka9h4chfr8.cloudfront.net/image/725136000567/image_7lusg6tj557et3rcnqr437445d/-FJPG/FHMPRJ-010_SCENE-07.tif</t>
  </si>
  <si>
    <t>Sparrow</t>
  </si>
  <si>
    <t>41.54"</t>
  </si>
  <si>
    <t>240090-001</t>
  </si>
  <si>
    <t>Yarra Console Table - Grey Oak Veneer</t>
  </si>
  <si>
    <t>Grey Oak Veneer</t>
  </si>
  <si>
    <t>With wide proportions and natural presence, an open-style console table of dark grey oak veneer features beautiful natural texture.</t>
  </si>
  <si>
    <t>https://dd3ka9h4chfr8.cloudfront.net/image/725136000567/image_pc0lptr8ol04pd1a89f3td896f/-S150x150-FJPG/240090-001_PRM_1.jpg</t>
  </si>
  <si>
    <t>https://dd3ka9h4chfr8.cloudfront.net/image/725136000567/image_e90pescqfl4590g6nvcblkkq7t/-FJPG/240090-001_FRT_1.jpg</t>
  </si>
  <si>
    <t>https://dd3ka9h4chfr8.cloudfront.net/image/725136000567/image_pc0lptr8ol04pd1a89f3td896f/-FJPG/240090-001_PRM_1.jpg</t>
  </si>
  <si>
    <t>https://dd3ka9h4chfr8.cloudfront.net/image/725136000567/image_veu0nddk354g1ak9t2fq61ps0s/-FJPG/240090-001_SID_1.jpg</t>
  </si>
  <si>
    <t>https://dd3ka9h4chfr8.cloudfront.net/image/725136000567/image_ognofgp39l58b99mc01erpfp12/-FJPG/240090-001_ESS.tif</t>
  </si>
  <si>
    <t>https://dd3ka9h4chfr8.cloudfront.net/image/725136000567/image_rdgu0d30e16d59klm7lia08r63/-FJPG/240090-001_DET_2.jpg</t>
  </si>
  <si>
    <t>https://dd3ka9h4chfr8.cloudfront.net/image/725136000567/image_elspn7tgth27r00etu7hjkdq7q/-FJPG/240090-001_DET_1.jpg</t>
  </si>
  <si>
    <t>https://dd3ka9h4chfr8.cloudfront.net/image/725136000567/image_gl24b7iqe1639fb4hkilmlsj5t/-FJPG/240090-001_DET_3.jpg</t>
  </si>
  <si>
    <t>https://dd3ka9h4chfr8.cloudfront.net/image/725136000567/image_p80a5um0n92h9fp24e1fg1vq22/-FJPG/240090-001_DET_4.jpg</t>
  </si>
  <si>
    <t>https://dd3ka9h4chfr8.cloudfront.net/image/725136000567/image_7jqrpt9fl55t50ul84d8hkk140/-FJPG/240090-001_DET_5.jpg</t>
  </si>
  <si>
    <t>Yarra</t>
  </si>
  <si>
    <t>50.35"</t>
  </si>
  <si>
    <t>240425-001</t>
  </si>
  <si>
    <t>Jones Chair - Alcala Wheat</t>
  </si>
  <si>
    <t>Amber Ash</t>
  </si>
  <si>
    <t>Angled back legs and a separate cushion format give this chair a casual coastal feel. Wheat-colored performance fabric with mid-level blind stitching along the seat back adds style points. A stark frame in amber ash embodies a modern moment. Performance fabrics are specially created to withstand spills, stains, high traffic and wear, ensuring long-term comfort and unmatched durability.</t>
  </si>
  <si>
    <t>https://dd3ka9h4chfr8.cloudfront.net/image/725136000567/image_pb8u3tlp315833pp2d8mdre82a/-S150x150-FJPG/240425-001_PRM_1.jpg</t>
  </si>
  <si>
    <t>https://dd3ka9h4chfr8.cloudfront.net/image/725136000567/image_dliqi6j1r96q39la2tbef3dg2i/-FJPG/240425-001_FRT_1.jpg</t>
  </si>
  <si>
    <t>https://dd3ka9h4chfr8.cloudfront.net/image/725136000567/image_pb8u3tlp315833pp2d8mdre82a/-FJPG/240425-001_PRM_1.jpg</t>
  </si>
  <si>
    <t>https://dd3ka9h4chfr8.cloudfront.net/image/725136000567/image_rn4bbbm9td7r94vbs813gljt3r/-FJPG/240425-001_SID_1.jpg</t>
  </si>
  <si>
    <t>https://dd3ka9h4chfr8.cloudfront.net/image/725136000567/image_iamgd15hht4clce51sse203u2t/-FJPG/240425-001_ESS.tif</t>
  </si>
  <si>
    <t>https://dd3ka9h4chfr8.cloudfront.net/image/725136000567/image_idj1pk6ld1635cvjhh081l6353/-FJPG/240425-001_DET_2.jpg</t>
  </si>
  <si>
    <t>https://dd3ka9h4chfr8.cloudfront.net/image/725136000567/image_0mqr1k0ost1877v7h72u1ih16h/-FJPG/240425-001_BCK_1.jpg</t>
  </si>
  <si>
    <t>https://dd3ka9h4chfr8.cloudfront.net/image/725136000567/image_943rdamt3d19bcjv2ov45m3a1j/-FJPG/240425-001_DET_1.jpg</t>
  </si>
  <si>
    <t>https://dd3ka9h4chfr8.cloudfront.net/image/725136000567/image_9gr50863id7675gmbkbo1eb14j/-FJPG/240425-001_DET_3.jpg</t>
  </si>
  <si>
    <t>https://dd3ka9h4chfr8.cloudfront.net/image/725136000567/image_i8etiokou502f34733bdgp7d1o/-FJPG/240425-001_DET_4.jpg</t>
  </si>
  <si>
    <t>https://dd3ka9h4chfr8.cloudfront.net/image/725136000567/image_67drjbeic15nf143eqi8m1ub36/-FJPG/240425-001_DET_5.jpg</t>
  </si>
  <si>
    <t>https://dd3ka9h4chfr8.cloudfront.net/image/725136000567/image_ihm2m56uap5pvei935552kgc6a/-FJPG/240425-001_DET_6.jpg</t>
  </si>
  <si>
    <t>https://dd3ka9h4chfr8.cloudfront.net/image/725136000567/image_jqbvkg53ad4hbc7ps71ki0o72p/-FJPG/240425-001_DET_7.jpg</t>
  </si>
  <si>
    <t>https://dd3ka9h4chfr8.cloudfront.net/image/725136000567/image_f1bmdm7uf121nfrjk9p3vthc2n/-FJPG/240425-001_DET_8.jpg</t>
  </si>
  <si>
    <t>1 Chair/Box</t>
  </si>
  <si>
    <t>50% Polyurethane Foam, 30% Fiber, 20% Duck Feather</t>
  </si>
  <si>
    <t>Jones</t>
  </si>
  <si>
    <t>33.86"</t>
  </si>
  <si>
    <t>5.04"</t>
  </si>
  <si>
    <t>8.82"</t>
  </si>
  <si>
    <t>18.59"</t>
  </si>
  <si>
    <t>22.07"</t>
  </si>
  <si>
    <t>240593-001</t>
  </si>
  <si>
    <t>Noeline 6-Drawer Dresser - Smoked Black Oak Veneer</t>
  </si>
  <si>
    <t>Smoked Black Oak Veneer</t>
  </si>
  <si>
    <t>Topped with a thick plank of solid oak, this extra-wide dresser blends modern lines and warm character with six roomy drawers, slightly curved corners, and solid square legs. Seamless drawer fronts have a push-latch mechanism. Made from solid oak and veneer in a smoky black finish.</t>
  </si>
  <si>
    <t>https://dd3ka9h4chfr8.cloudfront.net/image/725136000567/image_l9mkrm4cgh54fchdh849pkai7h/-S150x150-FJPG/240593-001_PRM_1.jpg</t>
  </si>
  <si>
    <t>https://dd3ka9h4chfr8.cloudfront.net/image/725136000567/image_phjuntkqhd0pjbpso2bejsjc38/-FJPG/240593-001_FRT_1.jpg</t>
  </si>
  <si>
    <t>https://dd3ka9h4chfr8.cloudfront.net/image/725136000567/image_l9mkrm4cgh54fchdh849pkai7h/-FJPG/240593-001_PRM_1.jpg</t>
  </si>
  <si>
    <t>https://dd3ka9h4chfr8.cloudfront.net/image/725136000567/image_urbqhe5i1l7f51559rghsuro24/-FJPG/240593-001_SID_1.jpg</t>
  </si>
  <si>
    <t>https://dd3ka9h4chfr8.cloudfront.net/image/725136000567/image_u5mm1bhh2h0918js408abrd44f/-FJPG/240593-001_DET_2.jpg</t>
  </si>
  <si>
    <t>https://dd3ka9h4chfr8.cloudfront.net/image/725136000567/image_g9pil3aqvt6892a8comd5ksd74/-FJPG/240593-001_BCK_1.jpg</t>
  </si>
  <si>
    <t>https://dd3ka9h4chfr8.cloudfront.net/image/725136000567/image_vmql9koskh7fpc693lfq4n833b/-FJPG/240593-001_DET_1.jpg</t>
  </si>
  <si>
    <t>https://dd3ka9h4chfr8.cloudfront.net/image/725136000567/image_rlhhihfu5l279eomg61ajphg1f/-FJPG/240593-001_DET_3.jpg</t>
  </si>
  <si>
    <t>https://dd3ka9h4chfr8.cloudfront.net/image/725136000567/image_pds3qqk7ip2pp235o2fbhkvp2e/-FJPG/240593-001_OPN_1.jpg</t>
  </si>
  <si>
    <t>https://dd3ka9h4chfr8.cloudfront.net/image/725136000567/image_3knli2gd8915j9vnof56avcf2l/-FJPG/240593-001_DET_4.jpg</t>
  </si>
  <si>
    <t>https://dd3ka9h4chfr8.cloudfront.net/image/725136000567/image_9g000ljg7t5qp6g27u92l51o6g/-FJPG/240593-001_DET_5.jpg</t>
  </si>
  <si>
    <t>https://dd3ka9h4chfr8.cloudfront.net/image/725136000567/image_r5mmgq4fkd0qf8sd531kh6ih2o/-FJPG/240593-001_DET_6.jpg</t>
  </si>
  <si>
    <t>https://dd3ka9h4chfr8.cloudfront.net/image/725136000567/image_idcn64dgjh44vdr4bnuqqhl62d/-FJPG/240593-001_ESS.tif</t>
  </si>
  <si>
    <t>Noeline 6 Drawer  Dresser</t>
  </si>
  <si>
    <t>Noeline</t>
  </si>
  <si>
    <t>34.02"</t>
  </si>
  <si>
    <t>240593-002</t>
  </si>
  <si>
    <t>Noeline 6-Drawer Dresser - Resawn Worn Oak</t>
  </si>
  <si>
    <t>Resawn Worn Oak</t>
  </si>
  <si>
    <t>A thick plank of worn oak tops a wide dresser, meeting modern lines with a warm, natural feel. Six drawer fronts feature a push-latch mechanism for a seamless look.</t>
  </si>
  <si>
    <t>https://dd3ka9h4chfr8.cloudfront.net/image/725136000567/image_129uis32953enea9i0lppuvv3n/-S150x150-FJPG/240593-002_PRM_1.jpg</t>
  </si>
  <si>
    <t>https://dd3ka9h4chfr8.cloudfront.net/image/725136000567/image_o6qindrtad7gv0jqae4e5u1q62/-FJPG/240593-002_FRT_1.jpg</t>
  </si>
  <si>
    <t>https://dd3ka9h4chfr8.cloudfront.net/image/725136000567/image_129uis32953enea9i0lppuvv3n/-FJPG/240593-002_PRM_1.jpg</t>
  </si>
  <si>
    <t>https://dd3ka9h4chfr8.cloudfront.net/image/725136000567/image_8gfb0vb7qt3dh89jc9b1l70712/-FJPG/240593-002_SID_1.jpg</t>
  </si>
  <si>
    <t>https://dd3ka9h4chfr8.cloudfront.net/image/725136000567/image_oilbnn20h54ln771ev4k7jjl3e/-FJPG/240593-002_DET_2.jpg</t>
  </si>
  <si>
    <t>https://dd3ka9h4chfr8.cloudfront.net/image/725136000567/image_8u2vc1306t1l77m91g614klk5t/-FJPG/240593-002_BCK_1.jpg</t>
  </si>
  <si>
    <t>https://dd3ka9h4chfr8.cloudfront.net/image/725136000567/image_fld9sub2q51nn61ghj2neo1o5n/-FJPG/240593-002_DET_1.jpg</t>
  </si>
  <si>
    <t>https://dd3ka9h4chfr8.cloudfront.net/image/725136000567/image_0dtscmnv9t1npcpugmvisot86u/-FJPG/240593-002_DET_3.jpg</t>
  </si>
  <si>
    <t>https://dd3ka9h4chfr8.cloudfront.net/image/725136000567/image_4naboo102l6r342b38ep8i3e65/-FJPG/240593-002_OPN_1.jpg</t>
  </si>
  <si>
    <t>https://dd3ka9h4chfr8.cloudfront.net/image/725136000567/image_kjci0giv1t4ht57m5liicq6979/-FJPG/240593-002_DET_4.jpg</t>
  </si>
  <si>
    <t>https://dd3ka9h4chfr8.cloudfront.net/image/725136000567/image_06covugl55141cij9t042scl1m/-FJPG/240593-002_DET_5.jpg</t>
  </si>
  <si>
    <t>https://dd3ka9h4chfr8.cloudfront.net/image/725136000567/image_ag1q1gcd712nfef5ep4e428k3g/-FJPG/240593-002_DET_6.jpg</t>
  </si>
  <si>
    <t>240660-001</t>
  </si>
  <si>
    <t>Doss Media Lounger - Altro Snow</t>
  </si>
  <si>
    <t>The ultimate in polished media style seating has arrived. Framed in oak, this lounger is constructed with two separate pieces â€” the seat and the back â€” and accompanied by four toss cushions. The lounger features evenly spaced spring suspension and a heavy boucle upholstery stitched into 5.5-inch channels for stylish comfort.</t>
  </si>
  <si>
    <t>https://dd3ka9h4chfr8.cloudfront.net/image/725136000567/image_ag32h826k51890rng302mqqs76/-S150x150-FJPG/240660-001_PRM_1.jpg</t>
  </si>
  <si>
    <t>https://dd3ka9h4chfr8.cloudfront.net/image/725136000567/image_ou6fgtf30t3m1aakckaiob973f/-FJPG/240660-001_FRT_1.jpg</t>
  </si>
  <si>
    <t>https://dd3ka9h4chfr8.cloudfront.net/image/725136000567/image_ag32h826k51890rng302mqqs76/-FJPG/240660-001_PRM_1.jpg</t>
  </si>
  <si>
    <t>https://dd3ka9h4chfr8.cloudfront.net/image/725136000567/image_46oh37d6nt76n9imfchu3g9a22/-FJPG/240660-001_SID_1.jpg</t>
  </si>
  <si>
    <t>https://dd3ka9h4chfr8.cloudfront.net/image/725136000567/image_r2slsu2ced5od32gdo4rnl885p/-FJPG/240660-001_ESS.tif</t>
  </si>
  <si>
    <t>https://dd3ka9h4chfr8.cloudfront.net/image/725136000567/image_6s7nuikcqt4132d170928q5p02/-FJPG/240660-001_DET_2.jpg</t>
  </si>
  <si>
    <t>https://dd3ka9h4chfr8.cloudfront.net/image/725136000567/image_oqtqm20vul0adbb28ofe3f1f6i/-FJPG/240660-001_BCK_1.jpg</t>
  </si>
  <si>
    <t>https://dd3ka9h4chfr8.cloudfront.net/image/725136000567/image_81r4oess9527b72eu7ej2gsr1v/-FJPG/240660-001_DET_1.jpg</t>
  </si>
  <si>
    <t>https://dd3ka9h4chfr8.cloudfront.net/image/725136000567/image_vjkbvf0sjd0o347cu7l2hg4a0u/-FJPG/240660-001_DET_3.jpg</t>
  </si>
  <si>
    <t>https://dd3ka9h4chfr8.cloudfront.net/image/725136000567/image_1b5ukqoi9p2tl1v88ppknat14r/-FJPG/240660-001_TOP_1.jpg</t>
  </si>
  <si>
    <t>https://dd3ka9h4chfr8.cloudfront.net/image/725136000567/image_5qurrmi7k94vd3oevrfu3din5s/-FJPG/240660-001_DET_4.jpg</t>
  </si>
  <si>
    <t>https://dd3ka9h4chfr8.cloudfront.net/image/725136000567/image_u8mdp7f7p93al62l1bv8p6js42/-FJPG/240660-001_DET_5.jpg</t>
  </si>
  <si>
    <t>https://dd3ka9h4chfr8.cloudfront.net/image/725136000567/image_o8727h3kdd6vp3an32tgf6sh5k/-FJPG/240660-001_DET_6.jpg</t>
  </si>
  <si>
    <t>41.34"</t>
  </si>
  <si>
    <t>Doss</t>
  </si>
  <si>
    <t>45.04"</t>
  </si>
  <si>
    <t>11.34"</t>
  </si>
  <si>
    <t>34.88"</t>
  </si>
  <si>
    <t>70% Polyurethane Foam Pad, 30% Polyester Fiber Batting</t>
  </si>
  <si>
    <t>41.73"</t>
  </si>
  <si>
    <t>240670-001</t>
  </si>
  <si>
    <t>Margot Swivel Chair - Solema Cream</t>
  </si>
  <si>
    <t>A modern take on a Seventies-inspired shape. This sink-in, pillow-like chair features S-spring suspension for extra comfort and durability in the seat, all on a 360-degree swivel. Upholstered in an exaggerated boucle fabric with extra depth and texture throughout.</t>
  </si>
  <si>
    <t>https://dd3ka9h4chfr8.cloudfront.net/image/725136000567/image_65tep05bh968fb0lac9pbel07s/-S150x150-FJPG/240670-001_PRM_1.jpg</t>
  </si>
  <si>
    <t>https://dd3ka9h4chfr8.cloudfront.net/image/725136000567/image_2a3rk1jn9t7hf6s6kagp4m876m/-FJPG/240670-001_FRT_1.jpg</t>
  </si>
  <si>
    <t>https://dd3ka9h4chfr8.cloudfront.net/image/725136000567/image_65tep05bh968fb0lac9pbel07s/-FJPG/240670-001_PRM_1.jpg</t>
  </si>
  <si>
    <t>https://dd3ka9h4chfr8.cloudfront.net/image/725136000567/image_9931e6qrc906nd7ne5hc25m85v/-FJPG/240670-001_SID_1.jpg</t>
  </si>
  <si>
    <t>https://dd3ka9h4chfr8.cloudfront.net/image/725136000567/image_i7v6dkcrgd0tp7uhkop5dsru5u/-FJPG/240670-001_ESS.tif</t>
  </si>
  <si>
    <t>https://dd3ka9h4chfr8.cloudfront.net/image/725136000567/image_74a68pk1p97gt418nuih7bph6t/-FJPG/240670-001_DET_2.jpg</t>
  </si>
  <si>
    <t>https://dd3ka9h4chfr8.cloudfront.net/image/725136000567/image_pk1mgk13hl6klc0k9nss82gn1e/-FJPG/240670-001_BCK_1.jpg</t>
  </si>
  <si>
    <t>https://dd3ka9h4chfr8.cloudfront.net/image/725136000567/image_b4i72qgktd7ht56rnfaolto94q/-FJPG/240670-001_DET_1.jpg</t>
  </si>
  <si>
    <t>https://dd3ka9h4chfr8.cloudfront.net/image/725136000567/image_egojob4mmh6eb6eu6jju0smu38/-FJPG/240670-001_DET_3.jpg</t>
  </si>
  <si>
    <t>https://dd3ka9h4chfr8.cloudfront.net/image/725136000567/image_ms9vh6kjvp3hna46ao4dsf9812/-FJPG/240670-001_DET_4.jpg</t>
  </si>
  <si>
    <t>https://dd3ka9h4chfr8.cloudfront.net/image/725136000567/image_2fek1ga3pl3kr2oe2c97qqhi5g/-FJPG/240670-001_DET_5.jpg</t>
  </si>
  <si>
    <t>https://dd3ka9h4chfr8.cloudfront.net/image/725136000567/image_505id4am617m59aa3s5v84j11c/-FJPG/240670-001_DET_6.jpg</t>
  </si>
  <si>
    <t>https://dd3ka9h4chfr8.cloudfront.net/image/725136000567/image_h43nflhplp4rncrfen5hftqg5b/-FJPG/240670-001_DET_7.jpg</t>
  </si>
  <si>
    <t>https://dd3ka9h4chfr8.cloudfront.net/image/725136000567/image_pkvks418cp0e362fdtf80n2e18/-FJPG/240670-001_DET_8.jpg</t>
  </si>
  <si>
    <t>https://dd3ka9h4chfr8.cloudfront.net/image/725136000567/image_j4on0b0pmh2hp3c53ur76v1475/-FJPG/240670-001_DET_9.tif</t>
  </si>
  <si>
    <t>https://dd3ka9h4chfr8.cloudfront.net/image/725136000567/image_67mcpup73p4al0fg1ms3ngts3f/-FJPG/240670-001_ROM_1.jpg</t>
  </si>
  <si>
    <t>Margot</t>
  </si>
  <si>
    <t>13.58"</t>
  </si>
  <si>
    <t>240670-003</t>
  </si>
  <si>
    <t>Margot Swivel Chair - Altair Sienna</t>
  </si>
  <si>
    <t>Altair Sienna</t>
  </si>
  <si>
    <t>A modern take on a Seventies-inspired shape. This sink-in, pillow-like chair features S-spring suspension for extra comfort and durability in the seat, all on a 360-degree swivel. Upholstered in 100% poly chenille, with a high pile for generous depth and texture. Similar to velvet, this fabric will subtly shift shades in different lighting.</t>
  </si>
  <si>
    <t>https://dd3ka9h4chfr8.cloudfront.net/image/725136000567/image_j70q17o1hl1t5fj438u9d0bl7n/-S150x150-FJPG/240670-003_PRM_1.jpg</t>
  </si>
  <si>
    <t>https://dd3ka9h4chfr8.cloudfront.net/image/725136000567/image_isrj7kf8nh3mr4sotbht1epo47/-FJPG/240670-003_FRT_1.jpg</t>
  </si>
  <si>
    <t>https://dd3ka9h4chfr8.cloudfront.net/image/725136000567/image_j70q17o1hl1t5fj438u9d0bl7n/-FJPG/240670-003_PRM_1.jpg</t>
  </si>
  <si>
    <t>https://dd3ka9h4chfr8.cloudfront.net/image/725136000567/image_qs14rar0o94b75jcbjlcn88p4d/-FJPG/240670-003_SID_1.jpg</t>
  </si>
  <si>
    <t>https://dd3ka9h4chfr8.cloudfront.net/image/725136000567/image_0jeml2sjil68v2pal5blocn72h/-FJPG/240670-003_ESS.tif</t>
  </si>
  <si>
    <t>https://dd3ka9h4chfr8.cloudfront.net/image/725136000567/image_4c9bs96cpd0pv7nflosnmck050/-FJPG/240670-003_DET_2.jpg</t>
  </si>
  <si>
    <t>https://dd3ka9h4chfr8.cloudfront.net/image/725136000567/image_0nb6imsc054399aeh2cdaofg1q/-FJPG/240670-003_BCK_1.jpg</t>
  </si>
  <si>
    <t>https://dd3ka9h4chfr8.cloudfront.net/image/725136000567/image_oiumgskof50od9djfg4p06rg5l/-FJPG/240670-003_DET_1.jpg</t>
  </si>
  <si>
    <t>https://dd3ka9h4chfr8.cloudfront.net/image/725136000567/image_vaphu5n2ph5cd0qv9st2fkcj03/-FJPG/240670-003_DET_3.jpg</t>
  </si>
  <si>
    <t>https://dd3ka9h4chfr8.cloudfront.net/image/725136000567/image_fp036j7f817j503pjp00samc0m/-FJPG/240670-003_DET_4.jpg</t>
  </si>
  <si>
    <t>https://dd3ka9h4chfr8.cloudfront.net/image/725136000567/image_uv6e5ih4u15frbrrqqbmbjoj2h/-FJPG/240670-003_DET_5.jpg</t>
  </si>
  <si>
    <t>https://dd3ka9h4chfr8.cloudfront.net/image/725136000567/image_kkbegukkjd29fes5b90g83pu44/-FJPG/240670-003_DET_6.jpg</t>
  </si>
  <si>
    <t>https://dd3ka9h4chfr8.cloudfront.net/image/725136000567/image_cvopl6eb9p6bl7jat8lvge3p4v/-FJPG/240670-003_DET_7.jpg</t>
  </si>
  <si>
    <t>240670-004</t>
  </si>
  <si>
    <t>Margot Swivel Chair - Ivan Granite</t>
  </si>
  <si>
    <t>https://dd3ka9h4chfr8.cloudfront.net/image/725136000567/image_6mif5rnpb126188lui40k8m13k/-S150x150-FJPG/240670-004_PRM_1.jpg</t>
  </si>
  <si>
    <t>https://dd3ka9h4chfr8.cloudfront.net/image/725136000567/image_18inqll4qd54haougt4tt13g4h/-FJPG/240670-004_FRT_1.jpg</t>
  </si>
  <si>
    <t>https://dd3ka9h4chfr8.cloudfront.net/image/725136000567/image_6mif5rnpb126188lui40k8m13k/-FJPG/240670-004_PRM_1.jpg</t>
  </si>
  <si>
    <t>https://dd3ka9h4chfr8.cloudfront.net/image/725136000567/image_condn9ron13q58ahgfrp6i8910/-FJPG/240670-004_SID_1.jpg</t>
  </si>
  <si>
    <t>https://dd3ka9h4chfr8.cloudfront.net/image/725136000567/image_q2mnei35ep77r3g5e5btt91n33/-FJPG/240670-004_DET_2.jpg</t>
  </si>
  <si>
    <t>https://dd3ka9h4chfr8.cloudfront.net/image/725136000567/image_kvhh1u0s7h1h363ne7vniodm38/-FJPG/240670-004_BCK_1.jpg</t>
  </si>
  <si>
    <t>https://dd3ka9h4chfr8.cloudfront.net/image/725136000567/image_lkhetcgfgl079b30v6tceqrg16/-FJPG/240670-004_DET_1.jpg</t>
  </si>
  <si>
    <t>https://dd3ka9h4chfr8.cloudfront.net/image/725136000567/image_2cdjaugrdd21n8s2jdk186q76q/-FJPG/240670-004_DET_3.jpg</t>
  </si>
  <si>
    <t>https://dd3ka9h4chfr8.cloudfront.net/image/725136000567/image_534h5c6tb917j8nluem2cr3d59/-FJPG/240670-004_TOP_1.jpg</t>
  </si>
  <si>
    <t>https://dd3ka9h4chfr8.cloudfront.net/image/725136000567/image_b8p6tdgob96th0u99rt0ghgf3f/-FJPG/240670-004_DET_4.jpg</t>
  </si>
  <si>
    <t>https://dd3ka9h4chfr8.cloudfront.net/image/725136000567/image_58lo32fg7p7kdc2d5ob7ebvn65/-FJPG/240670-004_DET_5.jpg</t>
  </si>
  <si>
    <t>https://dd3ka9h4chfr8.cloudfront.net/image/725136000567/image_ldam16os7p3br0j7f4m1r77p2u/-FJPG/240670-004_DET_6.jpg</t>
  </si>
  <si>
    <t>https://dd3ka9h4chfr8.cloudfront.net/image/725136000567/image_49ildejcdp1d98dnp85vkb1b5u/-FJPG/240670-004_DET_7.jpg</t>
  </si>
  <si>
    <t>https://dd3ka9h4chfr8.cloudfront.net/image/725136000567/image_sb43gun9l116d3vc6bmod7oa22/-FJPG/240670-004_DET_8.jpg</t>
  </si>
  <si>
    <t>240888-001</t>
  </si>
  <si>
    <t>Ezri Sideboard - Cocoa Oak</t>
  </si>
  <si>
    <t>Cocoa Oak</t>
  </si>
  <si>
    <t>Carved Cocoa Oak</t>
  </si>
  <si>
    <t>Grain and character variation within a solid oak finish give this sideboard organic visual interest. The carved design and floor-to-top cylinder legs give a primitive look that balances the movement of the wood pattern.</t>
  </si>
  <si>
    <t>https://dd3ka9h4chfr8.cloudfront.net/image/725136000567/image_53rn05nmh51uv7t2k6h21erc0g/-S150x150-FJPG/240888-001_PRM_1.jpg</t>
  </si>
  <si>
    <t>https://dd3ka9h4chfr8.cloudfront.net/image/725136000567/image_890k0ocdcd20t2dkabps54gh57/-FJPG/240888-001_FRT_1.jpg</t>
  </si>
  <si>
    <t>https://dd3ka9h4chfr8.cloudfront.net/image/725136000567/image_53rn05nmh51uv7t2k6h21erc0g/-FJPG/240888-001_PRM_1.jpg</t>
  </si>
  <si>
    <t>https://dd3ka9h4chfr8.cloudfront.net/image/725136000567/image_ain3osj80p4j7e37ahpuqpqa6f/-FJPG/240888-001_SID_1.jpg</t>
  </si>
  <si>
    <t>https://dd3ka9h4chfr8.cloudfront.net/image/725136000567/image_258r5okeud3hn2ef48ottch96a/-FJPG/240888-001_ESS.tif</t>
  </si>
  <si>
    <t>https://dd3ka9h4chfr8.cloudfront.net/image/725136000567/image_9m73kd1atd3a11bb85fqdndh08/-FJPG/240888-001_DET_2.jpg</t>
  </si>
  <si>
    <t>https://dd3ka9h4chfr8.cloudfront.net/image/725136000567/image_srgpqviqd556p4ftu7ad5t4q14/-FJPG/240888-001_BCK_1.JPG</t>
  </si>
  <si>
    <t>https://dd3ka9h4chfr8.cloudfront.net/image/725136000567/image_5k9hjmab2h6b98bb2nltskr851/-FJPG/240888-001_DET_1.jpg</t>
  </si>
  <si>
    <t>https://dd3ka9h4chfr8.cloudfront.net/image/725136000567/image_lv5pldcnpd15b43gm5o944cs3r/-FJPG/240888-001_DET_3.jpg</t>
  </si>
  <si>
    <t>https://dd3ka9h4chfr8.cloudfront.net/image/725136000567/image_hilb9t7oap1ir6f9i3rg6lo515/-FJPG/240888-001_TOP_1.JPG</t>
  </si>
  <si>
    <t>https://dd3ka9h4chfr8.cloudfront.net/image/725136000567/image_s8apovcjg542h42kbkcbm30650/-FJPG/240888-001_DET_4.jpg</t>
  </si>
  <si>
    <t>https://dd3ka9h4chfr8.cloudfront.net/image/725136000567/image_m6rhpciu5l1dt97ro2kvktkj50/-FJPG/240888-001_DET_5.jpg</t>
  </si>
  <si>
    <t>https://dd3ka9h4chfr8.cloudfront.net/image/725136000567/image_3cnl4lqrfp0993nlfttj5q5514/-FJPG/240888-001_DET_9.tif</t>
  </si>
  <si>
    <t>https://dd3ka9h4chfr8.cloudfront.net/image/725136000567/image_hkqif388n1273a5a0ls8bo5f5q/-FJPG/240888-001_DET_10.tif</t>
  </si>
  <si>
    <t>https://dd3ka9h4chfr8.cloudfront.net/image/725136000567/image_scpndg7pvd36b3nutlgsvtpb72/-FJPG/240888-001_OPN_2.jpg</t>
  </si>
  <si>
    <t>Ezri</t>
  </si>
  <si>
    <t>240888-002</t>
  </si>
  <si>
    <t>Ezri Sideboard - Black Oak</t>
  </si>
  <si>
    <t>Black Oak</t>
  </si>
  <si>
    <t>Carved Black Oak</t>
  </si>
  <si>
    <t>https://dd3ka9h4chfr8.cloudfront.net/image/725136000567/image_t6mrdujps57qj94kpkihps6r3h/-S150x150-FJPG/240888-002_PRM_1.jpg</t>
  </si>
  <si>
    <t>https://dd3ka9h4chfr8.cloudfront.net/image/725136000567/image_k22ul4jqqt32j4r1g3ef3rha0s/-FJPG/240888-002_FRT_1.jpg</t>
  </si>
  <si>
    <t>https://dd3ka9h4chfr8.cloudfront.net/image/725136000567/image_t6mrdujps57qj94kpkihps6r3h/-FJPG/240888-002_PRM_1.jpg</t>
  </si>
  <si>
    <t>https://dd3ka9h4chfr8.cloudfront.net/image/725136000567/image_0fl65jhged1spdh838qblorh1a/-FJPG/240888-002_SID_1.jpg</t>
  </si>
  <si>
    <t>https://dd3ka9h4chfr8.cloudfront.net/image/725136000567/image_pelp9nfseh6h1519em9fj1sb75/-FJPG/240888-002_DET_2.jpg</t>
  </si>
  <si>
    <t>https://dd3ka9h4chfr8.cloudfront.net/image/725136000567/image_t1722a1fhl7ete9rfgi6c2v67m/-FJPG/240888-002_BCK_1.jpg</t>
  </si>
  <si>
    <t>https://dd3ka9h4chfr8.cloudfront.net/image/725136000567/image_p5uu4fmlml2ep1ke1l3djlm75l/-FJPG/240888-002_DET_1.jpg</t>
  </si>
  <si>
    <t>https://dd3ka9h4chfr8.cloudfront.net/image/725136000567/image_up6d5rhso949n798k9ub7hii5v/-FJPG/240888-002_OPN_1.jpg</t>
  </si>
  <si>
    <t>https://dd3ka9h4chfr8.cloudfront.net/image/725136000567/image_icu2lmfpuh7afcs0c2lk62qg74/-FJPG/240888-002_TOP_1.jpg</t>
  </si>
  <si>
    <t>https://dd3ka9h4chfr8.cloudfront.net/image/725136000567/image_m8qqtm06u15qvbenrbd7120g6i/-FJPG/240888-002_DET_4.jpg</t>
  </si>
  <si>
    <t>https://dd3ka9h4chfr8.cloudfront.net/image/725136000567/image_ecfuru2u2t7u7f5co4i71k3n4n/-FJPG/240888-002_DET_5.jpg</t>
  </si>
  <si>
    <t>https://dd3ka9h4chfr8.cloudfront.net/image/725136000567/image_imtbgq60016s933in48qtfk201/-FJPG/240888-002_DET_6.jpg</t>
  </si>
  <si>
    <t>241017-001</t>
  </si>
  <si>
    <t>Louise Accent Stool - Ostend Natural</t>
  </si>
  <si>
    <t>Ostend Natural</t>
  </si>
  <si>
    <t>Light Smoked Oak Veneer</t>
  </si>
  <si>
    <t>58% Flax/Linen</t>
  </si>
  <si>
    <t>35% Acrylic</t>
  </si>
  <si>
    <t>A simple, charming stool with natural oak wood veneer finish and textured neutral fabric seat. Tapered legs add subtle character.</t>
  </si>
  <si>
    <t>https://dd3ka9h4chfr8.cloudfront.net/image/725136000567/image_bdj0ll4ljl5c74ac2u2lvc9h75/-S150x150-FJPG/241017-001_PRM_1.jpg</t>
  </si>
  <si>
    <t>https://dd3ka9h4chfr8.cloudfront.net/image/725136000567/image_ba73gikhcp67n6bv0j1k6v7e39/-FJPG/241017-001_FRT_1.jpg</t>
  </si>
  <si>
    <t>https://dd3ka9h4chfr8.cloudfront.net/image/725136000567/image_bdj0ll4ljl5c74ac2u2lvc9h75/-FJPG/241017-001_PRM_1.jpg</t>
  </si>
  <si>
    <t>https://dd3ka9h4chfr8.cloudfront.net/image/725136000567/image_vt7vnopngt587dtn5ika7ndl77/-FJPG/241017-001_SID_1.jpg</t>
  </si>
  <si>
    <t>https://dd3ka9h4chfr8.cloudfront.net/image/725136000567/image_4vp704fe2p1vvf5qj6i7hn0s4d/-FJPG/241017-001_ESS.tif</t>
  </si>
  <si>
    <t>https://dd3ka9h4chfr8.cloudfront.net/image/725136000567/image_20h01dv04h79l03c4l7sh5hc13/-FJPG/241017-001_DET_2.jpg</t>
  </si>
  <si>
    <t>https://dd3ka9h4chfr8.cloudfront.net/image/725136000567/image_br9uka7bq15cva15tpuo5lb346/-FJPG/241017-001_DET_1.jpg</t>
  </si>
  <si>
    <t>https://dd3ka9h4chfr8.cloudfront.net/image/725136000567/image_1ohsppnrb132740cntq83ne273/-FJPG/241017-001_DET_3.jpg</t>
  </si>
  <si>
    <t>https://dd3ka9h4chfr8.cloudfront.net/image/725136000567/image_12i3qjlp7d7bj09j45o1vh1034/-FJPG/241017-001_DET_9.tif</t>
  </si>
  <si>
    <t>Louise</t>
  </si>
  <si>
    <t>241019-001</t>
  </si>
  <si>
    <t>Trinity Console Table - Distressed Light Oak</t>
  </si>
  <si>
    <t>Distressed Light Oak</t>
  </si>
  <si>
    <t>This Asian-inspired design made from light, distressed oak features mortise-and-tenon joinery, which connects protruding stretchers to sturdy legs. Lower shelving for bonus storage and display.</t>
  </si>
  <si>
    <t>https://dd3ka9h4chfr8.cloudfront.net/image/725136000567/image_c36l8ubj7h39tacb7oa30cgk0j/-S150x150-FJPG/241019-001_PRM_1.JPG</t>
  </si>
  <si>
    <t>https://dd3ka9h4chfr8.cloudfront.net/image/725136000567/image_edm9av2r456kj23vqti3v9k10d/-FJPG/241019-001_FRT_1.JPG</t>
  </si>
  <si>
    <t>https://dd3ka9h4chfr8.cloudfront.net/image/725136000567/image_c36l8ubj7h39tacb7oa30cgk0j/-FJPG/241019-001_PRM_1.JPG</t>
  </si>
  <si>
    <t>https://dd3ka9h4chfr8.cloudfront.net/image/725136000567/image_q65ghcnutp2737cadb0hhlri3k/-FJPG/241019-001_SID_1.JPG</t>
  </si>
  <si>
    <t>https://dd3ka9h4chfr8.cloudfront.net/image/725136000567/image_c6jq8r1fvh0q3ctj0a3lbtb46f/-FJPG/241019-001_ESS.tif</t>
  </si>
  <si>
    <t>https://dd3ka9h4chfr8.cloudfront.net/image/725136000567/image_t7bi8ace4l0gbdto3odmusir5g/-FJPG/241019-001_DET_2.JPG</t>
  </si>
  <si>
    <t>https://dd3ka9h4chfr8.cloudfront.net/image/725136000567/image_chg82fj2ld7sh7lc52h09cbe7k/-FJPG/241019-001_DET_1.JPG</t>
  </si>
  <si>
    <t>https://dd3ka9h4chfr8.cloudfront.net/image/725136000567/image_a26tug4frp33b1342fabu8he1c/-FJPG/241019-001_DET_3.JPG</t>
  </si>
  <si>
    <t>https://dd3ka9h4chfr8.cloudfront.net/image/725136000567/image_4sal3j4gop3gn8cdlpimoqfo19/-FJPG/241019-001_DET_4.JPG</t>
  </si>
  <si>
    <t>https://dd3ka9h4chfr8.cloudfront.net/image/725136000567/image_c773mlmo2h73bdainusomft62g/-FJPG/241019-001_DET_5.JPG</t>
  </si>
  <si>
    <t>https://dd3ka9h4chfr8.cloudfront.net/image/725136000567/image_67otuvf5jp0r97cqk03c7sji1q/-FJPG/241019-001_DET_6.JPG</t>
  </si>
  <si>
    <t>https://dd3ka9h4chfr8.cloudfront.net/image/725136000567/image_52voqed3s57mnaaab0jp4p625u/-FJPG/241019-001_DET_9.tif</t>
  </si>
  <si>
    <t>https://dd3ka9h4chfr8.cloudfront.net/image/725136000567/image_ki6ept84i57ap1e3afkmmchl7u/-FJPG/241019-001_DET_10.tif</t>
  </si>
  <si>
    <t>https://dd3ka9h4chfr8.cloudfront.net/image/725136000567/image_gec4uhp6917bper2bbcos2mt7k/-FJPG/FHMPRJ016_SCENE-14-CROP-1.tif</t>
  </si>
  <si>
    <t>Trinity</t>
  </si>
  <si>
    <t>241021-001</t>
  </si>
  <si>
    <t>Trinity Coffee Table - Distressed Light Oak</t>
  </si>
  <si>
    <t>https://dd3ka9h4chfr8.cloudfront.net/image/725136000567/image_pfg1tfo2ep4t98mt6henn5gp17/-S150x150-FJPG/241021-001_PRM_1.jpg</t>
  </si>
  <si>
    <t>https://dd3ka9h4chfr8.cloudfront.net/image/725136000567/image_e3teibcm0d32h8ev5rog2nvp7q/-FJPG/241021-001_FRT_1.jpg</t>
  </si>
  <si>
    <t>https://dd3ka9h4chfr8.cloudfront.net/image/725136000567/image_pfg1tfo2ep4t98mt6henn5gp17/-FJPG/241021-001_PRM_1.jpg</t>
  </si>
  <si>
    <t>https://dd3ka9h4chfr8.cloudfront.net/image/725136000567/image_k6jpftfn411tv01untfdk58t6f/-FJPG/241021-001_SID_1.jpg</t>
  </si>
  <si>
    <t>https://dd3ka9h4chfr8.cloudfront.net/image/725136000567/image_1v8fdvmjlt2736du81jqn7954d/-FJPG/241021-001_ESS.tif</t>
  </si>
  <si>
    <t>https://dd3ka9h4chfr8.cloudfront.net/image/725136000567/image_esili5jjrh18r437ksm89mbt2v/-FJPG/241021-001_DET_2.jpg</t>
  </si>
  <si>
    <t>https://dd3ka9h4chfr8.cloudfront.net/image/725136000567/image_80tl6jods150h4trv0kh1n623m/-FJPG/241021-001_DET_1.jpg</t>
  </si>
  <si>
    <t>https://dd3ka9h4chfr8.cloudfront.net/image/725136000567/image_rddttn1lll6q79le54lto3i21e/-FJPG/241021-001_DET_3.jpg</t>
  </si>
  <si>
    <t>https://dd3ka9h4chfr8.cloudfront.net/image/725136000567/image_khokros8p97of58s79228a461d/-FJPG/241021-001_DET_4.jpg</t>
  </si>
  <si>
    <t>https://dd3ka9h4chfr8.cloudfront.net/image/725136000567/image_ot0l6j57oh3htesesc9hqpv77q/-FJPG/241021-001_DET_5.jpg</t>
  </si>
  <si>
    <t>https://dd3ka9h4chfr8.cloudfront.net/image/725136000567/image_og14uhdggt1b5b4lae51nmak4h/-FJPG/241021-001_DET_6.jpg</t>
  </si>
  <si>
    <t>https://dd3ka9h4chfr8.cloudfront.net/image/725136000567/image_8ir41h838h4utcdjo4bhe5ho2s/-FJPG/241021-001_DET_7.jpg</t>
  </si>
  <si>
    <t>241031-001</t>
  </si>
  <si>
    <t>Chalmers Media Console - Weathered Oak Veneer</t>
  </si>
  <si>
    <t>Anchored by a wide, stately frame with clever relief detail, this media console celebrates the natural beauty of oak. Push-latch doors create a clean, modern profile, placing emphasis on a warm, weathered finish.</t>
  </si>
  <si>
    <t>https://dd3ka9h4chfr8.cloudfront.net/image/725136000567/image_tif1n5ago57vrfhms0vul8n81m/-S150x150-FJPG/241031-001_PRM_1.jpg</t>
  </si>
  <si>
    <t>https://dd3ka9h4chfr8.cloudfront.net/image/725136000567/image_4o0akq3drp7r55h900ckh5354l/-FJPG/241031-001_FRT_1.jpg</t>
  </si>
  <si>
    <t>https://dd3ka9h4chfr8.cloudfront.net/image/725136000567/image_tif1n5ago57vrfhms0vul8n81m/-FJPG/241031-001_PRM_1.jpg</t>
  </si>
  <si>
    <t>https://dd3ka9h4chfr8.cloudfront.net/image/725136000567/image_8ifpik43ld43v59niinm69jb7g/-FJPG/241031-001_SID_1.jpg</t>
  </si>
  <si>
    <t>https://dd3ka9h4chfr8.cloudfront.net/image/725136000567/image_hoolsbuon94s7ad230igd7di0f/-FJPG/241031-001_DET_2.jpg</t>
  </si>
  <si>
    <t>https://dd3ka9h4chfr8.cloudfront.net/image/725136000567/image_vd5t8mejm53vjcnobvi30lpn20/-FJPG/241031-001_BCK_1.jpg</t>
  </si>
  <si>
    <t>https://dd3ka9h4chfr8.cloudfront.net/image/725136000567/image_sjq2h9hool1df7mqtms9qoe227/-FJPG/241031-001_DET_1.jpg</t>
  </si>
  <si>
    <t>https://dd3ka9h4chfr8.cloudfront.net/image/725136000567/image_t4rlnrh52l1ajfdgqu5rgo5t1p/-FJPG/241031-001_DET_3.jpg</t>
  </si>
  <si>
    <t>https://dd3ka9h4chfr8.cloudfront.net/image/725136000567/image_cfq7qc01u577v7rqdlbgv0do0r/-FJPG/241031-001_OPN_1.jpg</t>
  </si>
  <si>
    <t>https://dd3ka9h4chfr8.cloudfront.net/image/725136000567/image_9dks3clan503n57vkp41u39i73/-FJPG/241031-001_DET_4.jpg</t>
  </si>
  <si>
    <t>https://dd3ka9h4chfr8.cloudfront.net/image/725136000567/image_djn7pfo18d6ljb4879nv073q69/-FJPG/241031-001_DET_5.jpg</t>
  </si>
  <si>
    <t>https://dd3ka9h4chfr8.cloudfront.net/image/725136000567/image_t255i626q15ur19joakh2p9q3c/-FJPG/241031-001_DET_6.jpg</t>
  </si>
  <si>
    <t>https://dd3ka9h4chfr8.cloudfront.net/image/725136000567/image_a0ibhmd8lt1kj4hdblnl2jm373/-FJPG/241031-001_DET_7.jpg</t>
  </si>
  <si>
    <t>https://dd3ka9h4chfr8.cloudfront.net/image/725136000567/image_bdrcfid90t49d7bcek1ms6hi06/-FJPG/241031-001_ESS.tif</t>
  </si>
  <si>
    <t>Chalmers Media Console</t>
  </si>
  <si>
    <t>38.80"</t>
  </si>
  <si>
    <t>Chalmers</t>
  </si>
  <si>
    <t>19.40"</t>
  </si>
  <si>
    <t>241051-002</t>
  </si>
  <si>
    <t>Millbrook Dresser - Natural Light Oak Veneer</t>
  </si>
  <si>
    <t>Drawing inspiration from a vintage general store counter, a storage-driven dresser reflects traditional and functional design. Thick oak legs with softened corners provide sturdy support, while oak knobs add a classic touch. An inset tray top and a versatile drawer configuration offer ample storage.</t>
  </si>
  <si>
    <t>https://dd3ka9h4chfr8.cloudfront.net/image/725136000567/image_6c258d3p1148b5eroi5k8a3b4n/-S150x150-FJPG/241051-002_PRM_1.jpg</t>
  </si>
  <si>
    <t>https://dd3ka9h4chfr8.cloudfront.net/image/725136000567/image_1eq9tqphj55n74olfa9a7asc36/-FJPG/241051-002_FRT_1.jpg</t>
  </si>
  <si>
    <t>https://dd3ka9h4chfr8.cloudfront.net/image/725136000567/image_6c258d3p1148b5eroi5k8a3b4n/-FJPG/241051-002_PRM_1.jpg</t>
  </si>
  <si>
    <t>https://dd3ka9h4chfr8.cloudfront.net/image/725136000567/image_kjkeuh30p53t116o6t9cfauq6m/-FJPG/241051-002_SID_1.jpg</t>
  </si>
  <si>
    <t>https://dd3ka9h4chfr8.cloudfront.net/image/725136000567/image_5ngprojsdt67386pv9nc8e5s2n/-FJPG/241051-002_ESS.tif</t>
  </si>
  <si>
    <t>https://dd3ka9h4chfr8.cloudfront.net/image/725136000567/image_ogae95fqp96ptdm4a1mvqvpm6e/-FJPG/241051-002_DET_2.jpg</t>
  </si>
  <si>
    <t>https://dd3ka9h4chfr8.cloudfront.net/image/725136000567/image_pn869evrot775235eh9jnd9i1r/-FJPG/241051-002_BCK_1.jpg</t>
  </si>
  <si>
    <t>https://dd3ka9h4chfr8.cloudfront.net/image/725136000567/image_alg5cp97v10qp7jlghd6485n04/-FJPG/241051-002_DET_1.jpg</t>
  </si>
  <si>
    <t>https://dd3ka9h4chfr8.cloudfront.net/image/725136000567/image_h3k9f6m5dd75d8jb9kkhtcqe18/-FJPG/241051-002_DET_3.jpg</t>
  </si>
  <si>
    <t>https://dd3ka9h4chfr8.cloudfront.net/image/725136000567/image_d2atn1usq52frdnqsdmes2e70i/-FJPG/241051-002_TOP_1.jpg</t>
  </si>
  <si>
    <t>https://dd3ka9h4chfr8.cloudfront.net/image/725136000567/image_rk9k9vjflp2p13onbsugjpdl3n/-FJPG/241051-002_DET_4.jpg</t>
  </si>
  <si>
    <t>https://dd3ka9h4chfr8.cloudfront.net/image/725136000567/image_3d8tnb3js12d5dq3ptcsgmlq12/-FJPG/241051-002_DET_5.jpg</t>
  </si>
  <si>
    <t>https://dd3ka9h4chfr8.cloudfront.net/image/725136000567/image_2pgtu7t36h6bleartvut4t8t10/-FJPG/241051-002_DET_6.jpg</t>
  </si>
  <si>
    <t>https://dd3ka9h4chfr8.cloudfront.net/image/725136000567/image_tfu6han2bl7ml2ql8vv6snat6k/-FJPG/241051-002_DET_9.tif</t>
  </si>
  <si>
    <t>https://dd3ka9h4chfr8.cloudfront.net/image/725136000567/image_ncm82lm39l77t28uqhd45vlg1t/-FJPG/241051-002_DET_10.tif</t>
  </si>
  <si>
    <t>241055-001</t>
  </si>
  <si>
    <t>Russ Dresser - Aged Oak Veneer</t>
  </si>
  <si>
    <t>Like an heirloom dresser with three smaller drawers up top, this aged oak design has room for it all. Detailed with an overhang surface, carved edges top to bottom, angled legs and oval drawer pulls finished in dark gunmetal.</t>
  </si>
  <si>
    <t>https://dd3ka9h4chfr8.cloudfront.net/image/725136000567/image_k1q1q0irat20p3t2cfmqohv120/-S150x150-FJPG/241055-001_PRM_1.jpg</t>
  </si>
  <si>
    <t>https://dd3ka9h4chfr8.cloudfront.net/image/725136000567/image_pok5e7f76p2vn48n51f1scoj7u/-FJPG/241055-001_FRT_1.jpg</t>
  </si>
  <si>
    <t>https://dd3ka9h4chfr8.cloudfront.net/image/725136000567/image_k1q1q0irat20p3t2cfmqohv120/-FJPG/241055-001_PRM_1.jpg</t>
  </si>
  <si>
    <t>https://dd3ka9h4chfr8.cloudfront.net/image/725136000567/image_9tsb0ugrcp4pj85ljd4g430e59/-FJPG/241055-001_SID_1.jpg</t>
  </si>
  <si>
    <t>https://dd3ka9h4chfr8.cloudfront.net/image/725136000567/image_h521gh03rl5rpajegut3ggm937/-FJPG/241055-001_ESS.tif</t>
  </si>
  <si>
    <t>https://dd3ka9h4chfr8.cloudfront.net/image/725136000567/image_5cvbbp30pd3tn39bai2o7trs46/-FJPG/241055-001_DET_2.jpg</t>
  </si>
  <si>
    <t>https://dd3ka9h4chfr8.cloudfront.net/image/725136000567/image_5bmmlijg813r3aahv0id41827e/-FJPG/241055-001_BCK_1.jpg</t>
  </si>
  <si>
    <t>https://dd3ka9h4chfr8.cloudfront.net/image/725136000567/image_lmls39pbup1ld1dppru1ocp15u/-FJPG/241055-001_DET_1.jpg</t>
  </si>
  <si>
    <t>https://dd3ka9h4chfr8.cloudfront.net/image/725136000567/image_3vq2aqdddp1lh2khg73vkr6a20/-FJPG/241055-001_DET_3.jpg</t>
  </si>
  <si>
    <t>https://dd3ka9h4chfr8.cloudfront.net/image/725136000567/image_as5lb27ms12sr4336hq0s67h5q/-FJPG/241055-001_OPN_1.jpg</t>
  </si>
  <si>
    <t>https://dd3ka9h4chfr8.cloudfront.net/image/725136000567/image_94pu40c3r92q119orr1b46mc17/-FJPG/241055-001_DET_4.jpg</t>
  </si>
  <si>
    <t>https://dd3ka9h4chfr8.cloudfront.net/image/725136000567/image_lm2pac3bnt2mj43u0l63o4ik29/-FJPG/241055-001_DET_5.jpg</t>
  </si>
  <si>
    <t>https://dd3ka9h4chfr8.cloudfront.net/image/725136000567/image_g5s389ujlh1rr69p98hbb77k61/-FJPG/241055-001_DET_6.jpg</t>
  </si>
  <si>
    <t>https://dd3ka9h4chfr8.cloudfront.net/image/725136000567/image_4tumpiufg15qrc8n3nc1sknb7d/-FJPG/241055-001_DET_7.jpg</t>
  </si>
  <si>
    <t>https://dd3ka9h4chfr8.cloudfront.net/image/725136000567/image_ft5r7pl1qp6nvbiroma9v6p728/-FJPG/241055-001_DET_9.tif</t>
  </si>
  <si>
    <t>https://dd3ka9h4chfr8.cloudfront.net/image/725136000567/image_p99qs0cpfh4s9d0boj2h4cgo1u/-FJPG/241055-001_DET_10.tif</t>
  </si>
  <si>
    <t>Russ Dresser</t>
  </si>
  <si>
    <t>Russ</t>
  </si>
  <si>
    <t>28.68"</t>
  </si>
  <si>
    <t>241057-001</t>
  </si>
  <si>
    <t>Russ Nightstand - Aged Oak</t>
  </si>
  <si>
    <t>Aged Oak</t>
  </si>
  <si>
    <t>Like an heirloom nightstand with two roomy drawers, this aged oak design has room for it all. Detailed with an overhang surface, carved edges top to bottom, angled legs and oval drawer pulls finished in dark gunmetal.</t>
  </si>
  <si>
    <t>https://dd3ka9h4chfr8.cloudfront.net/image/725136000567/image_jmah854td11bb9a267ful0os3u/-S150x150-FJPG/241057-001_PRM_1.jpg</t>
  </si>
  <si>
    <t>https://dd3ka9h4chfr8.cloudfront.net/image/725136000567/image_haofdb4q7t0r98rng91t4gi82v/-FJPG/241057-001_FRT_1.jpg</t>
  </si>
  <si>
    <t>https://dd3ka9h4chfr8.cloudfront.net/image/725136000567/image_jmah854td11bb9a267ful0os3u/-FJPG/241057-001_PRM_1.jpg</t>
  </si>
  <si>
    <t>https://dd3ka9h4chfr8.cloudfront.net/image/725136000567/image_s21iscc2q93a52j077dnb69s7b/-FJPG/241057-001_SID_1.jpg</t>
  </si>
  <si>
    <t>https://dd3ka9h4chfr8.cloudfront.net/image/725136000567/image_ujqo53ieg96h33hcka5pdnqs1v/-FJPG/241057-001_ESS.tif</t>
  </si>
  <si>
    <t>https://dd3ka9h4chfr8.cloudfront.net/image/725136000567/image_f7glbub55d3u7dp43pefjf7140/-FJPG/241057-001_ESS_1.tif</t>
  </si>
  <si>
    <t>https://dd3ka9h4chfr8.cloudfront.net/image/725136000567/image_9dr7sd8phd2v9em8qmq3edtj2e/-FJPG/241057-001_DET_2.jpg</t>
  </si>
  <si>
    <t>https://dd3ka9h4chfr8.cloudfront.net/image/725136000567/image_ggq7e21j2d0jlclfil2fm5pc5p/-FJPG/241057-001_BCK_1.jpg</t>
  </si>
  <si>
    <t>https://dd3ka9h4chfr8.cloudfront.net/image/725136000567/image_tgmava800l1t739bi75h787340/-FJPG/241057-001_DET_1.jpg</t>
  </si>
  <si>
    <t>https://dd3ka9h4chfr8.cloudfront.net/image/725136000567/image_r5597775hd55361siujg5aff28/-FJPG/241057-001_DET_3.jpg</t>
  </si>
  <si>
    <t>https://dd3ka9h4chfr8.cloudfront.net/image/725136000567/image_iv0f3bko3h0sb1qj2re3rqtj37/-FJPG/241057-001_OPN_1.jpg</t>
  </si>
  <si>
    <t>https://dd3ka9h4chfr8.cloudfront.net/image/725136000567/image_0v3qir4scd7f50151f8m0idq6b/-FJPG/241057-001_DET_4.jpg</t>
  </si>
  <si>
    <t>https://dd3ka9h4chfr8.cloudfront.net/image/725136000567/image_agnfkgpq0l1id68tef13urro5b/-FJPG/241057-001_DET_5.jpg</t>
  </si>
  <si>
    <t>https://dd3ka9h4chfr8.cloudfront.net/image/725136000567/image_0j525lc3491jv89nthd7tla158/-FJPG/241057-001_DET_6.jpg</t>
  </si>
  <si>
    <t>https://dd3ka9h4chfr8.cloudfront.net/image/725136000567/image_n865hd9bal0fv3l0rpepstn37c/-FJPG/241057-001_DET_7.jpg</t>
  </si>
  <si>
    <t>https://dd3ka9h4chfr8.cloudfront.net/image/725136000567/image_6g5kvju1h97d32mlvp3kscfc2v/-FJPG/241057-001_DET_8.jpg</t>
  </si>
  <si>
    <t>https://dd3ka9h4chfr8.cloudfront.net/image/725136000567/image_jdugfjkl0t0bb0t5u334iabv0n/-FJPG/241057-001_DET_9.tif</t>
  </si>
  <si>
    <t>https://dd3ka9h4chfr8.cloudfront.net/image/725136000567/image_isl6gui0pl59j8qtnr8q45464g/-FJPG/FHMPRJ-010_SCENE-06.tif</t>
  </si>
  <si>
    <t>Russ Nightstand</t>
  </si>
  <si>
    <t>5.96"</t>
  </si>
  <si>
    <t>26.46"</t>
  </si>
  <si>
    <t>241072-001</t>
  </si>
  <si>
    <t>Noeline Nightstand - Smoked Black Oak Veneer</t>
  </si>
  <si>
    <t>Topped with a thick plank of solid oak, this extra-wide nightstand blends modern lines and warm character with two roomy drawers, slightly curved corners, and solid square legs. Seamless drawer fronts have a push-latch mechanism. Made from solid oak and veneer in a smoky black finish.</t>
  </si>
  <si>
    <t>https://dd3ka9h4chfr8.cloudfront.net/image/725136000567/image_9porhegqr90ode0md8f4dt5f2r/-S150x150-FJPG/241072-001_PRM_1.jpg</t>
  </si>
  <si>
    <t>https://dd3ka9h4chfr8.cloudfront.net/image/725136000567/image_ll7d6frq3h6uddjs2iu6hpef0b/-FJPG/241072-001_FRT_1.jpg</t>
  </si>
  <si>
    <t>https://dd3ka9h4chfr8.cloudfront.net/image/725136000567/image_9porhegqr90ode0md8f4dt5f2r/-FJPG/241072-001_PRM_1.jpg</t>
  </si>
  <si>
    <t>https://dd3ka9h4chfr8.cloudfront.net/image/725136000567/image_9g3on8sj195ch9p0lq874t134v/-FJPG/241072-001_SID_1.jpg</t>
  </si>
  <si>
    <t>https://dd3ka9h4chfr8.cloudfront.net/image/725136000567/image_f64o1m9mld2ih9b716l0vbso55/-FJPG/241072-001_DET_2.jpg</t>
  </si>
  <si>
    <t>https://dd3ka9h4chfr8.cloudfront.net/image/725136000567/image_trthrq5f2t79renohsdvdcjq5j/-FJPG/241072-001_BCK_1.jpg</t>
  </si>
  <si>
    <t>https://dd3ka9h4chfr8.cloudfront.net/image/725136000567/image_m5rkd3chhd7b7bgq277paqsk44/-FJPG/241072-001_DET_1.jpg</t>
  </si>
  <si>
    <t>https://dd3ka9h4chfr8.cloudfront.net/image/725136000567/image_ro93vi77r92ob98lr854oa8d59/-FJPG/241072-001_DET_3.jpg</t>
  </si>
  <si>
    <t>https://dd3ka9h4chfr8.cloudfront.net/image/725136000567/image_s5n0s1urtl59t57qdpaedrli20/-FJPG/241072-001_OPN_1.jpg</t>
  </si>
  <si>
    <t>https://dd3ka9h4chfr8.cloudfront.net/image/725136000567/image_ptnfa3lnb93md0l6a037rp8a07/-FJPG/241072-001_DET_4.jpg</t>
  </si>
  <si>
    <t>https://dd3ka9h4chfr8.cloudfront.net/image/725136000567/image_ppmosdirlh40tfvbd64jcdup6s/-FJPG/241072-001_DET_5.jpg</t>
  </si>
  <si>
    <t>https://dd3ka9h4chfr8.cloudfront.net/image/725136000567/image_o8rreucfs13src1sjebg6lnp49/-FJPG/241072-001_DET_6.jpg</t>
  </si>
  <si>
    <t>https://dd3ka9h4chfr8.cloudfront.net/image/725136000567/image_76bnj6ko1h0hf86o12rphusj31/-FJPG/241072-001_DET_7.jpg</t>
  </si>
  <si>
    <t>https://dd3ka9h4chfr8.cloudfront.net/image/725136000567/image_pdr9h701tp3ob6iob335u8rt4c/-FJPG/241072-001_DET_9.tif</t>
  </si>
  <si>
    <t>https://dd3ka9h4chfr8.cloudfront.net/image/725136000567/image_rkv695fb8h1lddjof6od545n37/-FJPG/241072-001_DET_10.tif</t>
  </si>
  <si>
    <t>https://dd3ka9h4chfr8.cloudfront.net/image/725136000567/image_8d7ncotf6918bcjussabi78g2j/-FJPG/241072-001_ESS.tif</t>
  </si>
  <si>
    <t>Noeline  Nightstand</t>
  </si>
  <si>
    <t>29.41"</t>
  </si>
  <si>
    <t>241072-002</t>
  </si>
  <si>
    <t>Noeline Nightstand - Resawn Worn Oak</t>
  </si>
  <si>
    <t>A thick plank of worn oak tops a wide dresser, meeting modern lines with a warm, natural feel. Dual drawer fronts feature a push-latch mechanism, bringing a seamless look to bedside storage.</t>
  </si>
  <si>
    <t>https://dd3ka9h4chfr8.cloudfront.net/image/725136000567/image_hiissu369l03vbfqvjak9rgn16/-S150x150-FJPG/241072-002_PRM_1.jpg</t>
  </si>
  <si>
    <t>https://dd3ka9h4chfr8.cloudfront.net/image/725136000567/image_lc2qgbd6st0in14qigi7b5rl77/-FJPG/241072-002_FRT_1.jpg</t>
  </si>
  <si>
    <t>https://dd3ka9h4chfr8.cloudfront.net/image/725136000567/image_hiissu369l03vbfqvjak9rgn16/-FJPG/241072-002_PRM_1.jpg</t>
  </si>
  <si>
    <t>https://dd3ka9h4chfr8.cloudfront.net/image/725136000567/image_r6u8imnhrd3mvepe44use1ee2c/-FJPG/241072-002_SID_1.jpg</t>
  </si>
  <si>
    <t>https://dd3ka9h4chfr8.cloudfront.net/image/725136000567/image_celmg9k3e91535bsmsmaikio3j/-FJPG/241072-002_DET_2.jpg</t>
  </si>
  <si>
    <t>https://dd3ka9h4chfr8.cloudfront.net/image/725136000567/image_4429v9im9d3hbfak886n2pu33b/-FJPG/241072-002_BCK_1.jpg</t>
  </si>
  <si>
    <t>https://dd3ka9h4chfr8.cloudfront.net/image/725136000567/image_l2difgn1510ej96kkiitmvg734/-FJPG/241072-002_DET_1.jpg</t>
  </si>
  <si>
    <t>https://dd3ka9h4chfr8.cloudfront.net/image/725136000567/image_28eb6m3d4l2kb45j0j213r6b7u/-FJPG/241072-002_DET_3.jpg</t>
  </si>
  <si>
    <t>https://dd3ka9h4chfr8.cloudfront.net/image/725136000567/image_8lvrnb4ajl47703pun5p1inl0n/-FJPG/241072-002_OPN_1.jpg</t>
  </si>
  <si>
    <t>https://dd3ka9h4chfr8.cloudfront.net/image/725136000567/image_2n0pc2n04h5lf5ackgnfe9r609/-FJPG/241072-002_DET_4.jpg</t>
  </si>
  <si>
    <t>https://dd3ka9h4chfr8.cloudfront.net/image/725136000567/image_81jg1d9d855uldpm4rvoffra62/-FJPG/241072-002_DET_5.jpg</t>
  </si>
  <si>
    <t>https://dd3ka9h4chfr8.cloudfront.net/image/725136000567/image_c4ev3tde6t3bj2r4jlp30gs37s/-FJPG/241072-002_DET_6.jpg</t>
  </si>
  <si>
    <t>241145-001</t>
  </si>
  <si>
    <t>Issa Chair - Carson Black</t>
  </si>
  <si>
    <t>Sierra Brown</t>
  </si>
  <si>
    <t>This polished tri-leg chair features a "floating" seat cushion that has been constructed with spring suspension and a seemingly invisible connection to the legs. With a seat of black top-grain leather and a  wooden frame, the chair evokes monochromatic chic.</t>
  </si>
  <si>
    <t>https://dd3ka9h4chfr8.cloudfront.net/image/725136000567/image_svmhi4uhqt3jldt13d132nt93p/-S150x150-FJPG/241145-001_PRM_1.jpg</t>
  </si>
  <si>
    <t>https://dd3ka9h4chfr8.cloudfront.net/image/725136000567/image_l2d563ie0l3152fbkf2cvd1b13/-FJPG/241145-001_FRT_1.jpg</t>
  </si>
  <si>
    <t>https://dd3ka9h4chfr8.cloudfront.net/image/725136000567/image_svmhi4uhqt3jldt13d132nt93p/-FJPG/241145-001_PRM_1.jpg</t>
  </si>
  <si>
    <t>https://dd3ka9h4chfr8.cloudfront.net/image/725136000567/image_pab1qgh37t0hb0aiuijr9oga0l/-FJPG/241145-001_SID_1.jpg</t>
  </si>
  <si>
    <t>https://dd3ka9h4chfr8.cloudfront.net/image/725136000567/image_j7tlqbarq9497bbv81lv5b7554/-FJPG/241145-001_HOV_1.jpg</t>
  </si>
  <si>
    <t>https://dd3ka9h4chfr8.cloudfront.net/image/725136000567/image_7ski2222ml06306lmh2suev377/-FJPG/241145-001_ESS.tif</t>
  </si>
  <si>
    <t>https://dd3ka9h4chfr8.cloudfront.net/image/725136000567/image_76dvhoi18h1lt1m6805gihcv7c/-FJPG/241145-001_DET_2.jpg</t>
  </si>
  <si>
    <t>https://dd3ka9h4chfr8.cloudfront.net/image/725136000567/image_6mi82h4bsl2hn1qp7sdjvs3o0s/-FJPG/241145-001_BCK_1.jpg</t>
  </si>
  <si>
    <t>https://dd3ka9h4chfr8.cloudfront.net/image/725136000567/image_lrd8lahof961p0f80445depg5m/-FJPG/241145-001_DET_1.jpg</t>
  </si>
  <si>
    <t>https://dd3ka9h4chfr8.cloudfront.net/image/725136000567/image_7lectmko253t1dco34b5ids372/-FJPG/241145-001_DET_3.jpg</t>
  </si>
  <si>
    <t>https://dd3ka9h4chfr8.cloudfront.net/image/725136000567/image_8po828d8311fvf9kdvfsvjf72m/-FJPG/241145-001_DET_4.jpg</t>
  </si>
  <si>
    <t>https://dd3ka9h4chfr8.cloudfront.net/image/725136000567/image_5e8g4gjec51k775u2ehujbm72e/-FJPG/241145-001_DET_5.jpg</t>
  </si>
  <si>
    <t>https://dd3ka9h4chfr8.cloudfront.net/image/725136000567/image_o2481bbgot6cd9mqigdl1tb13b/-FJPG/241145-001_DET_6.jpg</t>
  </si>
  <si>
    <t>https://dd3ka9h4chfr8.cloudfront.net/image/725136000567/image_f598t2cpbl1il4prncn65v4o5c/-FJPG/241145-001_DET_7.jpg</t>
  </si>
  <si>
    <t>https://dd3ka9h4chfr8.cloudfront.net/image/725136000567/image_0b86q23cbl3mtdb2p9ns36f05a/-FJPG/241145-001_DET_10.tif</t>
  </si>
  <si>
    <t>https://dd3ka9h4chfr8.cloudfront.net/image/725136000567/image_9jimrqf0555r380mc4tjem6v50/-FJPG/241145-001_DET_13.tif</t>
  </si>
  <si>
    <t>21.46"</t>
  </si>
  <si>
    <t>Issa</t>
  </si>
  <si>
    <t>18.66"</t>
  </si>
  <si>
    <t>11.85"</t>
  </si>
  <si>
    <t>241163-001</t>
  </si>
  <si>
    <t>Railay Dining Table - Dusted Oak Veneer</t>
  </si>
  <si>
    <t>Barton</t>
  </si>
  <si>
    <t>Dusted Oak Veneer</t>
  </si>
  <si>
    <t>Dusted Oak Thin Veneer</t>
  </si>
  <si>
    <t>A rectangular dining table of light oak veneer features joint and connection for a design-forward look.</t>
  </si>
  <si>
    <t>https://dd3ka9h4chfr8.cloudfront.net/image/725136000567/image_ic97ulok0p257148p57hc74v0q/-S150x150-FJPG/241163-001_PRM_1.jpg</t>
  </si>
  <si>
    <t>https://dd3ka9h4chfr8.cloudfront.net/image/725136000567/image_jrhgip21ad3el27ostnu6dth6a/-FJPG/241163-001_FRT_1.jpg</t>
  </si>
  <si>
    <t>https://dd3ka9h4chfr8.cloudfront.net/image/725136000567/image_ic97ulok0p257148p57hc74v0q/-FJPG/241163-001_PRM_1.jpg</t>
  </si>
  <si>
    <t>https://dd3ka9h4chfr8.cloudfront.net/image/725136000567/image_83k82mdiu51orfajccrjprge4g/-FJPG/241163-001_SID_1.jpg</t>
  </si>
  <si>
    <t>https://dd3ka9h4chfr8.cloudfront.net/image/725136000567/image_95mqnlk4it67hb0fpc3c735c0n/-FJPG/241163-001_ESS.tif</t>
  </si>
  <si>
    <t>https://dd3ka9h4chfr8.cloudfront.net/image/725136000567/image_7e71spnq693uj60dqfv946pv4b/-FJPG/241163-001_DET_2.jpg</t>
  </si>
  <si>
    <t>https://dd3ka9h4chfr8.cloudfront.net/image/725136000567/image_0v3npug3r953771ik50d1e9701/-FJPG/241163-001_DET_1.jpg</t>
  </si>
  <si>
    <t>https://dd3ka9h4chfr8.cloudfront.net/image/725136000567/image_t3f820id3d37ja0o83onc0c92i/-FJPG/241163-001_DET_3.jpg</t>
  </si>
  <si>
    <t>https://dd3ka9h4chfr8.cloudfront.net/image/725136000567/image_98v8qem3l507hc9dvamhfss626/-FJPG/241163-001_DET_4.jpg</t>
  </si>
  <si>
    <t>https://dd3ka9h4chfr8.cloudfront.net/image/725136000567/image_qog14n4h1l7gt3ndfbjm0nv640/-FJPG/241163-001_DET_5.jpg</t>
  </si>
  <si>
    <t>https://dd3ka9h4chfr8.cloudfront.net/image/725136000567/image_27efil6r193k7827tpeak8bi5f/-FJPG/241163-001_DET_6.jpg</t>
  </si>
  <si>
    <t>https://dd3ka9h4chfr8.cloudfront.net/image/725136000567/image_hbv84lh2pt5s91h5e9dt55km4h/-FJPG/241163-001_DET_9.tif</t>
  </si>
  <si>
    <t>Railay</t>
  </si>
  <si>
    <t>59.37"</t>
  </si>
  <si>
    <t>241188-004</t>
  </si>
  <si>
    <t>Topanga Sofa-97" - Knoll Domino</t>
  </si>
  <si>
    <t>Textural boucle and angled arms give this sofa a stylish upgrade, while the two-over-one cushion configuration lend a laid-back look. Performance fabric is specially created to withstand spills, stains, high traffic and wear, ensuring long-term comfort and unmatched durability.</t>
  </si>
  <si>
    <t>https://dd3ka9h4chfr8.cloudfront.net/image/725136000567/image_37h5mfdqrd5rb8smgkkn722n02/-S150x150-FJPG/241188-004_PRM_1.JPG</t>
  </si>
  <si>
    <t>https://dd3ka9h4chfr8.cloudfront.net/image/725136000567/image_cs9vft28p52476ckfg7elcfo7r/-FJPG/241188-004_FRT_1.JPG</t>
  </si>
  <si>
    <t>https://dd3ka9h4chfr8.cloudfront.net/image/725136000567/image_60rsvpr0h94r91c30oko5c9g32/-FJPG/241188-004_FRT_1.jpg</t>
  </si>
  <si>
    <t>https://dd3ka9h4chfr8.cloudfront.net/image/725136000567/image_37h5mfdqrd5rb8smgkkn722n02/-FJPG/241188-004_PRM_1.JPG</t>
  </si>
  <si>
    <t>https://dd3ka9h4chfr8.cloudfront.net/image/725136000567/image_vg2e6k91cd7u7a4logs0499i2p/-FJPG/241188-004_PRM_1.jpg</t>
  </si>
  <si>
    <t>https://dd3ka9h4chfr8.cloudfront.net/image/725136000567/image_7idueg4kal27r3lasmg2clld3s/-FJPG/241188-004_SID_1.JPG</t>
  </si>
  <si>
    <t>https://dd3ka9h4chfr8.cloudfront.net/image/725136000567/image_lkk6s91o3d2pf4fk8dlg1tq064/-FJPG/241188-004_SID_1.jpg</t>
  </si>
  <si>
    <t>https://dd3ka9h4chfr8.cloudfront.net/image/725136000567/image_16ttt3qd8h5cb7hpbl6d15pm2i/-FJPG/241188-004_ESS.tif</t>
  </si>
  <si>
    <t>https://dd3ka9h4chfr8.cloudfront.net/image/725136000567/image_npipf6eqlh3e11fdlegkpkbf1q/-FJPG/241188-004_DET_2.jpg</t>
  </si>
  <si>
    <t>https://dd3ka9h4chfr8.cloudfront.net/image/725136000567/image_1m1bp02vk118t4arganjmqiv2k/-FJPG/241188-004_DET_2.JPG</t>
  </si>
  <si>
    <t>https://dd3ka9h4chfr8.cloudfront.net/image/725136000567/image_k7vq16lid91atanvcpuc06fp5f/-FJPG/241188-004_BCK_1.JPG</t>
  </si>
  <si>
    <t>https://dd3ka9h4chfr8.cloudfront.net/image/725136000567/image_5i6n06a4d13u95kg0g6hgbms13/-FJPG/241188-004_BCK_1.jpg</t>
  </si>
  <si>
    <t>https://dd3ka9h4chfr8.cloudfront.net/image/725136000567/image_e1na2hs2gd57hf39e7t8igma2n/-FJPG/241188-004_DET_1.jpg</t>
  </si>
  <si>
    <t>https://dd3ka9h4chfr8.cloudfront.net/image/725136000567/image_4kvkrfh3891qn7gukhk8q8fk50/-FJPG/241188-004_DET_1.JPG</t>
  </si>
  <si>
    <t>https://dd3ka9h4chfr8.cloudfront.net/image/725136000567/image_v7ina28qkh2pd76hqcklu02324/-FJPG/241188-004_DET_3.jpg</t>
  </si>
  <si>
    <t>https://dd3ka9h4chfr8.cloudfront.net/image/725136000567/image_p087noos2t4r79jj0pda232r0d/-FJPG/241188-004_DET_3.JPG</t>
  </si>
  <si>
    <t>https://dd3ka9h4chfr8.cloudfront.net/image/725136000567/image_gjnc9paei953v3q9acbc45i66h/-FJPG/241188-004_TOP_1.jpg</t>
  </si>
  <si>
    <t>https://dd3ka9h4chfr8.cloudfront.net/image/725136000567/image_dh3ddam3at1u3fog7vf0fh4g1m/-FJPG/241188-004_DET_4.JPG</t>
  </si>
  <si>
    <t>https://dd3ka9h4chfr8.cloudfront.net/image/725136000567/image_k9mm7753rp03b8svgn78d55d4r/-FJPG/241188-004_DET_4.jpg</t>
  </si>
  <si>
    <t>https://dd3ka9h4chfr8.cloudfront.net/image/725136000567/image_9b9r6cq1p17558qqcv5kq6vg2r/-FJPG/241188-004_DET_5.JPG</t>
  </si>
  <si>
    <t>https://dd3ka9h4chfr8.cloudfront.net/image/725136000567/image_i3i2dcjkqh6rp8cgb7tcd5ve5t/-FJPG/241188-004_DET_5.jpg</t>
  </si>
  <si>
    <t>https://dd3ka9h4chfr8.cloudfront.net/image/725136000567/image_d6kn2og06p4652fiqvjc63077p/-FJPG/241188-004_DET_6.JPG</t>
  </si>
  <si>
    <t>https://dd3ka9h4chfr8.cloudfront.net/image/725136000567/image_i858miqfsl1er2k8peqmbndk6h/-FJPG/241188-004_DET_6.jpg</t>
  </si>
  <si>
    <t>https://dd3ka9h4chfr8.cloudfront.net/image/725136000567/image_m3sm87kqsl5gb6kne1vh78ib7p/-FJPG/241188-004_DET_9.tif</t>
  </si>
  <si>
    <t>https://dd3ka9h4chfr8.cloudfront.net/image/725136000567/image_d89554ktd14mn6vbm7p6a3me19/-FJPG/241188-004_DET_10.tif</t>
  </si>
  <si>
    <t>https://dd3ka9h4chfr8.cloudfront.net/image/725136000567/image_kubjkuhkh557r47d5m16s6p601/-FJPG/241188-004_DET_11.tif</t>
  </si>
  <si>
    <t>241203-004</t>
  </si>
  <si>
    <t>Marcel Sofa-102" - Laken Taupe</t>
  </si>
  <si>
    <t>Laken Taupe</t>
  </si>
  <si>
    <t>This two-over-two sofa is all about comfort. Feather-filled cushions fold over the frame, complemented by foam-fiber-feather seats and inviting taupe upholstery.</t>
  </si>
  <si>
    <t>https://dd3ka9h4chfr8.cloudfront.net/image/725136000567/image_vriadm9ge973rbt0c9u3b5g77p/-S150x150-FJPG/241203-004_PRM_1.jpg</t>
  </si>
  <si>
    <t>https://dd3ka9h4chfr8.cloudfront.net/image/725136000567/image_kgkf96vgap5mdeinca0nnlc41j/-FJPG/241203-004_FRT_1.jpg</t>
  </si>
  <si>
    <t>https://dd3ka9h4chfr8.cloudfront.net/image/725136000567/image_vriadm9ge973rbt0c9u3b5g77p/-FJPG/241203-004_PRM_1.jpg</t>
  </si>
  <si>
    <t>https://dd3ka9h4chfr8.cloudfront.net/image/725136000567/image_q8ku6uv3bl4vvag89cev68p61e/-FJPG/241203-004_SID_1.jpg</t>
  </si>
  <si>
    <t>https://dd3ka9h4chfr8.cloudfront.net/image/725136000567/image_dtnt7ctdo14fnev745iqanud5a/-FJPG/241203-004_ESS.tif</t>
  </si>
  <si>
    <t>https://dd3ka9h4chfr8.cloudfront.net/image/725136000567/image_ef2av755mp7cn1ioh8s15gg65g/-FJPG/241203-004_DET_2.jpg</t>
  </si>
  <si>
    <t>https://dd3ka9h4chfr8.cloudfront.net/image/725136000567/image_54of2libf53g94k7cmv2837r29/-FJPG/241203-004_BCK_1.jpg</t>
  </si>
  <si>
    <t>https://dd3ka9h4chfr8.cloudfront.net/image/725136000567/image_sbggoaqgsh3ob0cvf6qbg1n077/-FJPG/241203-004_DET_1.jpg</t>
  </si>
  <si>
    <t>https://dd3ka9h4chfr8.cloudfront.net/image/725136000567/image_9iu40p8bt10d576vuh2ocd7824/-FJPG/241203-004_DET_3.jpg</t>
  </si>
  <si>
    <t>https://dd3ka9h4chfr8.cloudfront.net/image/725136000567/image_6s5a5gqjut0nrdjhrc00uqso1c/-FJPG/241203-004_TOP.jpg</t>
  </si>
  <si>
    <t>https://dd3ka9h4chfr8.cloudfront.net/image/725136000567/image_gantq30fk17inauvrbdd1d146f/-FJPG/241203-004_DET_4.jpg</t>
  </si>
  <si>
    <t>https://dd3ka9h4chfr8.cloudfront.net/image/725136000567/image_f9c10d7mcp03b6ciqfi8m32k7i/-FJPG/241203-004_DET_5.jpg</t>
  </si>
  <si>
    <t>https://dd3ka9h4chfr8.cloudfront.net/image/725136000567/image_vr2otqm7bp1hjdi6d7bjs8gu3j/-FJPG/241203-004_DET_6.jpg</t>
  </si>
  <si>
    <t>https://dd3ka9h4chfr8.cloudfront.net/image/725136000567/image_3ti3qjgif92rd1u1vb9obhpb4k/-FJPG/241203-004_DET_9.tif</t>
  </si>
  <si>
    <t>https://dd3ka9h4chfr8.cloudfront.net/image/725136000567/image_puqppjkbup0tn8co9avljuc80d/-FJPG/241203-004_DET_10.tif</t>
  </si>
  <si>
    <t>https://dd3ka9h4chfr8.cloudfront.net/image/725136000567/image_i2pssprs0p0j350oio3bjk9668/-FJPG/241203-004_DET_11.tif</t>
  </si>
  <si>
    <t>https://dd3ka9h4chfr8.cloudfront.net/image/725136000567/image_jcvhsaalm962f504n1sh1i721m/-FJPG/FHMPRJ016_SCENE-4.jpg</t>
  </si>
  <si>
    <t>80% Polyurethane Foam, 15% Polyester Fiber, 5% Down</t>
  </si>
  <si>
    <t>Marcel</t>
  </si>
  <si>
    <t>92.00"</t>
  </si>
  <si>
    <t>241253-002</t>
  </si>
  <si>
    <t>Ezri Cabinet - Black Oak</t>
  </si>
  <si>
    <t>Made from solid oak and finished in a classic black, tall cabinetry is carved with a unique grid-like pattern, for an organic look and textural touch. Interior shelving offers bonus storage to any room. Subtle variations in natural wood graining to be expected.</t>
  </si>
  <si>
    <t>https://dd3ka9h4chfr8.cloudfront.net/image/725136000567/image_ld8q58v8tp5spe14360jingm1r/-S150x150-FJPG/241253-002_PRM_1.jpg</t>
  </si>
  <si>
    <t>https://dd3ka9h4chfr8.cloudfront.net/image/725136000567/image_s884d0sjsd0trd24v4ktig177o/-FJPG/241253-002_FRT_1.jpg</t>
  </si>
  <si>
    <t>https://dd3ka9h4chfr8.cloudfront.net/image/725136000567/image_ld8q58v8tp5spe14360jingm1r/-FJPG/241253-002_PRM_1.jpg</t>
  </si>
  <si>
    <t>https://dd3ka9h4chfr8.cloudfront.net/image/725136000567/image_tpe2gslj9h12323o9tk7ja7o61/-FJPG/241253-002_SID_1.jpg</t>
  </si>
  <si>
    <t>https://dd3ka9h4chfr8.cloudfront.net/image/725136000567/image_ke9b7au1c53kd2uh2u68979j1a/-FJPG/241253-002_DET_2.jpg</t>
  </si>
  <si>
    <t>https://dd3ka9h4chfr8.cloudfront.net/image/725136000567/image_tkj08dejp559n37lg0jpddsa67/-FJPG/241253-002_BCK_1.jpg</t>
  </si>
  <si>
    <t>https://dd3ka9h4chfr8.cloudfront.net/image/725136000567/image_46v5r5hll57s9d52e94p986k66/-FJPG/241253-002_DET_1.jpg</t>
  </si>
  <si>
    <t>https://dd3ka9h4chfr8.cloudfront.net/image/725136000567/image_rnmoqv0uh54snd78sli49ja91j/-FJPG/241253-002_DET_3.jpg</t>
  </si>
  <si>
    <t>https://dd3ka9h4chfr8.cloudfront.net/image/725136000567/image_4208a4m21h4hrejd2hu58emq6u/-FJPG/241253-002_OPN_1.jpg</t>
  </si>
  <si>
    <t>https://dd3ka9h4chfr8.cloudfront.net/image/725136000567/image_rbe37l0sk50s9dk2q65m28fb6i/-FJPG/241253-002_TOP_1.jpg</t>
  </si>
  <si>
    <t>https://dd3ka9h4chfr8.cloudfront.net/image/725136000567/image_ovvunht7nl3kn2mv9lsa74g15p/-FJPG/241253-002_DET_4.jpg</t>
  </si>
  <si>
    <t>https://dd3ka9h4chfr8.cloudfront.net/image/725136000567/image_ga5ia6285p5lp2ss8e70nsao77/-FJPG/241253-002_DET_5.jpg</t>
  </si>
  <si>
    <t>241279-005</t>
  </si>
  <si>
    <t>Lincoln Sleeper Sofa - Savoy Parchment</t>
  </si>
  <si>
    <t>Savoy Parchment</t>
  </si>
  <si>
    <t>Warm Ash</t>
  </si>
  <si>
    <t>54% Polyester</t>
  </si>
  <si>
    <t>36% Viscose (Rayon)</t>
  </si>
  <si>
    <t>This cleverly designed sleeper sofa hides a Queen-sized sleeping surface within its modern silhouette. With a simple roll-out and counterbalanced mechanism, it effortlessly transforms into a bed, making it a space-saving solution with hidden functionality. When unfolded, the cushions form a comfortable bed, perfect for overnight guests or movie nights â€” no extra mattress necessary.</t>
  </si>
  <si>
    <t>https://dd3ka9h4chfr8.cloudfront.net/image/725136000567/image_kjl6j8qnod4of0mdqf6rvru92h/-S150x150-FJPG/241279-005_PRM_1.jpg</t>
  </si>
  <si>
    <t>https://dd3ka9h4chfr8.cloudfront.net/image/725136000567/image_190o88ruot2o59l4rt00c0ag0t/-FJPG/241279-005_FRT_1.jpg</t>
  </si>
  <si>
    <t>https://dd3ka9h4chfr8.cloudfront.net/image/725136000567/image_kjl6j8qnod4of0mdqf6rvru92h/-FJPG/241279-005_PRM_1.jpg</t>
  </si>
  <si>
    <t>https://dd3ka9h4chfr8.cloudfront.net/image/725136000567/image_gvsd1lrd0l2gfcp4ehfhvn1t70/-FJPG/241279-005_SID_1.jpg</t>
  </si>
  <si>
    <t>https://dd3ka9h4chfr8.cloudfront.net/image/725136000567/image_5vsk8o4fl95r7df5tca15cfb32/-FJPG/241279-005_ESS.tif</t>
  </si>
  <si>
    <t>https://dd3ka9h4chfr8.cloudfront.net/image/725136000567/image_j1eu0vg8np0of0o5v9a1sn9q51/-FJPG/241279-005_DET_2.jpg</t>
  </si>
  <si>
    <t>https://dd3ka9h4chfr8.cloudfront.net/image/725136000567/image_1n7viasfk14kf5q4mqgvo3ka1s/-FJPG/241279-005_BCK_1.jpg</t>
  </si>
  <si>
    <t>https://dd3ka9h4chfr8.cloudfront.net/image/725136000567/image_11g8gh7q9p1ubc1qvo26mmbn0j/-FJPG/241279-005_DET_1.jpg</t>
  </si>
  <si>
    <t>https://dd3ka9h4chfr8.cloudfront.net/image/725136000567/image_7rf71t4ck90hl4uecnqofnbl4e/-FJPG/241279-005_DET_3.jpg</t>
  </si>
  <si>
    <t>https://dd3ka9h4chfr8.cloudfront.net/image/725136000567/image_h0bd2515d51eh5gl1787jbk656/-FJPG/241279-005_OPN_1.jpg</t>
  </si>
  <si>
    <t>https://dd3ka9h4chfr8.cloudfront.net/image/725136000567/image_p86ol150r50u39g6hm2i8llm6t/-FJPG/241279-005_DET_4.jpg</t>
  </si>
  <si>
    <t>https://dd3ka9h4chfr8.cloudfront.net/image/725136000567/image_8bfc3igdcl13be5ooi35dieh5j/-FJPG/241279-005_DET_5.jpg</t>
  </si>
  <si>
    <t>https://dd3ka9h4chfr8.cloudfront.net/image/725136000567/image_h3n9380v9p6cnelln4s60p0a3f/-FJPG/241279-005_DET_6.jpg</t>
  </si>
  <si>
    <t>https://dd3ka9h4chfr8.cloudfront.net/image/725136000567/image_mprjm80lbd2lv2t3fvbjl46u6l/-FJPG/241279-005_DET_7.jpg</t>
  </si>
  <si>
    <t>https://dd3ka9h4chfr8.cloudfront.net/image/725136000567/image_rlmbipl6ld5rf50sjfnmian77j/-FJPG/241279-005_DET_8.jpg</t>
  </si>
  <si>
    <t>https://dd3ka9h4chfr8.cloudfront.net/image/725136000567/image_959ecj5cid6tp0krr78e1tbn5d/-FJPG/241279-005_DET_9.jpg</t>
  </si>
  <si>
    <t>https://dd3ka9h4chfr8.cloudfront.net/image/725136000567/image_ahffgo64494ct0inf4400pjq5g/-FJPG/241279-005_DET_10.jpg</t>
  </si>
  <si>
    <t>https://dd3ka9h4chfr8.cloudfront.net/image/725136000567/image_h08qoh2j2p0v3e0mrvdk33pk5n/-FJPG/241279-005_ESS_2.tif</t>
  </si>
  <si>
    <t>1 Sofa Bed</t>
  </si>
  <si>
    <t>Lincoln</t>
  </si>
  <si>
    <t>80.75"</t>
  </si>
  <si>
    <t>241281-001</t>
  </si>
  <si>
    <t>Dottie Swivel Chair - Berber Oatmeal</t>
  </si>
  <si>
    <t>Berber Oatmeal</t>
  </si>
  <si>
    <t>71% Flax/Linen</t>
  </si>
  <si>
    <t>13.5% Wool</t>
  </si>
  <si>
    <t>9.5% Viscose (Rayon)</t>
  </si>
  <si>
    <t>6% Polyester</t>
  </si>
  <si>
    <t>The continuous form of this swivel chair, with no additional cushions creates a sleek, modern look that elevates everyday seating. The wood pedestal swivel adds a functional detail for a mixed media moment.</t>
  </si>
  <si>
    <t>https://dd3ka9h4chfr8.cloudfront.net/image/725136000567/image_ojvpo2teo966n5us23fm9qc07r/-S150x150-FJPG/241281-001_PRM_1.jpg</t>
  </si>
  <si>
    <t>https://dd3ka9h4chfr8.cloudfront.net/image/725136000567/image_6pm44hboeh3gd3blphif448d57/-FJPG/241281-001_FRT_1.jpg</t>
  </si>
  <si>
    <t>https://dd3ka9h4chfr8.cloudfront.net/image/725136000567/image_ojvpo2teo966n5us23fm9qc07r/-FJPG/241281-001_PRM_1.jpg</t>
  </si>
  <si>
    <t>https://dd3ka9h4chfr8.cloudfront.net/image/725136000567/image_gual79ho8t70f2dpi8n87eui2d/-FJPG/241281-001_SID_1.jpg</t>
  </si>
  <si>
    <t>https://dd3ka9h4chfr8.cloudfront.net/image/725136000567/image_teqg5qkfr50rhbmpdtl3o0nu23/-FJPG/241281-001_DET_2.jpg</t>
  </si>
  <si>
    <t>https://dd3ka9h4chfr8.cloudfront.net/image/725136000567/image_k0s7jg8h7h62v714levrrj0b5n/-FJPG/241281-001_BCK_1.jpg</t>
  </si>
  <si>
    <t>https://dd3ka9h4chfr8.cloudfront.net/image/725136000567/image_m7d6vfslsd7m11up82fhm2sj5k/-FJPG/241281-001_DET_1.jpg</t>
  </si>
  <si>
    <t>https://dd3ka9h4chfr8.cloudfront.net/image/725136000567/image_4p5a0r4l0t7mj6606vlvt0797r/-FJPG/241281-001_DET_3.jpg</t>
  </si>
  <si>
    <t>https://dd3ka9h4chfr8.cloudfront.net/image/725136000567/image_8j6n5bckcd49f94phs81bfos10/-FJPG/241281-001_TOP_1.jpg</t>
  </si>
  <si>
    <t>https://dd3ka9h4chfr8.cloudfront.net/image/725136000567/image_7g8pddfv652k9454b0fti8uo34/-FJPG/241281-001_DET_4.jpg</t>
  </si>
  <si>
    <t>https://dd3ka9h4chfr8.cloudfront.net/image/725136000567/image_g476l75d9922ba3ld7c5qf0475/-FJPG/241281-001_DET_5.jpg</t>
  </si>
  <si>
    <t>https://dd3ka9h4chfr8.cloudfront.net/image/725136000567/image_4h0i5pvc211khaijfn68iqdp4q/-FJPG/241281-001_DET_6.jpg</t>
  </si>
  <si>
    <t>https://dd3ka9h4chfr8.cloudfront.net/image/725136000567/image_52fclnvd7p5c31qk3r9065pp4g/-FJPG/241281-001_DET_8.jpg</t>
  </si>
  <si>
    <t>https://dd3ka9h4chfr8.cloudfront.net/image/725136000567/image_mur7e9nbkp2gl5io5ue0ucap3q/-FJPG/241281-001_ESS.tif</t>
  </si>
  <si>
    <t>17.68"</t>
  </si>
  <si>
    <t>Dottie</t>
  </si>
  <si>
    <t>4.20"</t>
  </si>
  <si>
    <t>28.98"</t>
  </si>
  <si>
    <t>241281-002</t>
  </si>
  <si>
    <t>Dottie Swivel Chair - Monte Navy</t>
  </si>
  <si>
    <t>The continuous form of this swivel chair creates a sleek look that elevates everyday seating. Upholstered in navy wool blend, its sleek design is complemented by a 360-degree swivel and pedestal base of solid parawood for a mixed media moment.</t>
  </si>
  <si>
    <t>https://dd3ka9h4chfr8.cloudfront.net/image/725136000567/image_lfean4hfnh06h4vpid1aojle74/-S150x150-FJPG/241281-002_PRM_1.jpg</t>
  </si>
  <si>
    <t>https://dd3ka9h4chfr8.cloudfront.net/image/725136000567/image_0k6974csid4sheeul6cvbb6v5q/-FJPG/241281-002_FRT_1.jpg</t>
  </si>
  <si>
    <t>https://dd3ka9h4chfr8.cloudfront.net/image/725136000567/image_lfean4hfnh06h4vpid1aojle74/-FJPG/241281-002_PRM_1.jpg</t>
  </si>
  <si>
    <t>https://dd3ka9h4chfr8.cloudfront.net/image/725136000567/image_6h4igq10rt1gd144dtqmv9mf22/-FJPG/241281-002_SID_1.jpg</t>
  </si>
  <si>
    <t>https://dd3ka9h4chfr8.cloudfront.net/image/725136000567/image_3vk81evp1h3qb9cb548ko4nr1v/-FJPG/241281-002_ESS.tif</t>
  </si>
  <si>
    <t>https://dd3ka9h4chfr8.cloudfront.net/image/725136000567/image_ghjgfi07it7flaqc8ed7tde06r/-FJPG/241281-002_DET_2.jpg</t>
  </si>
  <si>
    <t>https://dd3ka9h4chfr8.cloudfront.net/image/725136000567/image_jjbefm4ft50nb524dul6te7o7o/-FJPG/241281-002_BCK_1.jpg</t>
  </si>
  <si>
    <t>https://dd3ka9h4chfr8.cloudfront.net/image/725136000567/image_55rs6l58ch019632eqj5kiuc6n/-FJPG/241281-002_DET_1.jpg</t>
  </si>
  <si>
    <t>https://dd3ka9h4chfr8.cloudfront.net/image/725136000567/image_ttjlenhdb10nh3c931n19bog25/-FJPG/241281-002_DET_3.jpg</t>
  </si>
  <si>
    <t>https://dd3ka9h4chfr8.cloudfront.net/image/725136000567/image_qsei3ot6ld2rl923d9tat2nl24/-FJPG/241281-002_TOP_1.jpg</t>
  </si>
  <si>
    <t>https://dd3ka9h4chfr8.cloudfront.net/image/725136000567/image_0n95ht7jj97112d5gquf3ven32/-FJPG/241281-002_DET_4.jpg</t>
  </si>
  <si>
    <t>https://dd3ka9h4chfr8.cloudfront.net/image/725136000567/image_va20ctj6gd7b51h2l7k2gvue0a/-FJPG/241281-002_DET_5.jpg</t>
  </si>
  <si>
    <t>https://dd3ka9h4chfr8.cloudfront.net/image/725136000567/image_thi4vsdfsl64hcinboce6som18/-FJPG/241281-002_DET_6.jpg</t>
  </si>
  <si>
    <t>https://dd3ka9h4chfr8.cloudfront.net/image/725136000567/image_9m9j6fam6h7gj6mab91iseol73/-FJPG/241281-002_DET_9.tif</t>
  </si>
  <si>
    <t>241299-007</t>
  </si>
  <si>
    <t>Yoko Nesting Tables - Clear Cast Glass</t>
  </si>
  <si>
    <t>Clear Cast Glass</t>
  </si>
  <si>
    <t>Cast Glass</t>
  </si>
  <si>
    <t>Clear cast glass tops slim, tapered matte black metal frames in a sleek, contemporary design. Available as a nesting set or standalone tables.</t>
  </si>
  <si>
    <t>https://dd3ka9h4chfr8.cloudfront.net/image/725136000567/image_m1pm65ebqp3c53j2thuu09e23h/-S150x150-FJPG/241299-004_PRM_1.jpg</t>
  </si>
  <si>
    <t>https://dd3ka9h4chfr8.cloudfront.net/image/725136000567/image_9qmbjn856d2r961kip4l0ivj7v/-FJPG/241299-004_FRT_1.jpg</t>
  </si>
  <si>
    <t>https://dd3ka9h4chfr8.cloudfront.net/image/725136000567/image_m1pm65ebqp3c53j2thuu09e23h/-FJPG/241299-004_PRM_1.jpg</t>
  </si>
  <si>
    <t>Small Table Top</t>
  </si>
  <si>
    <t>Large Table Top</t>
  </si>
  <si>
    <t>Large Table Base</t>
  </si>
  <si>
    <t>Small Table Base</t>
  </si>
  <si>
    <t>Yoko</t>
  </si>
  <si>
    <t>241301-002</t>
  </si>
  <si>
    <t>Huxley Coffee Table - Rubbed Light Oak Veneer</t>
  </si>
  <si>
    <t>https://dd3ka9h4chfr8.cloudfront.net/image/725136000567/image_m0g1m6ln1p4c32818i9vf9jm50/-S150x150-FJPG/241301-002_PRM_1.jpg</t>
  </si>
  <si>
    <t>https://dd3ka9h4chfr8.cloudfront.net/image/725136000567/image_82as11vl7151ta5dcafi2m330j/-FJPG/241301-002_FRT_1.jpg</t>
  </si>
  <si>
    <t>https://dd3ka9h4chfr8.cloudfront.net/image/725136000567/image_m0g1m6ln1p4c32818i9vf9jm50/-FJPG/241301-002_PRM_1.jpg</t>
  </si>
  <si>
    <t>https://dd3ka9h4chfr8.cloudfront.net/image/725136000567/image_baojs9f42h7dlcouqmubeu1o5f/-FJPG/241301-002_SID_1.jpg</t>
  </si>
  <si>
    <t>https://dd3ka9h4chfr8.cloudfront.net/image/725136000567/image_hcagtc90h14p54277tpnmjsb14/-FJPG/241301-002_DET_2.jpg</t>
  </si>
  <si>
    <t>https://dd3ka9h4chfr8.cloudfront.net/image/725136000567/image_5fve1dddg57kpfvk5dvg9v8h22/-FJPG/241301-002_DET_1.jpg</t>
  </si>
  <si>
    <t>https://dd3ka9h4chfr8.cloudfront.net/image/725136000567/image_lti4u29vqh2qnfuhr43v4fc963/-FJPG/241301-002_DET_3.jpg</t>
  </si>
  <si>
    <t>https://dd3ka9h4chfr8.cloudfront.net/image/725136000567/image_k549dtia090ld6gph1toqh421r/-FJPG/241301-002_TOP_1.jpg</t>
  </si>
  <si>
    <t>https://dd3ka9h4chfr8.cloudfront.net/image/725136000567/image_sfj2u9v2i53tvbtum5j90joc6s/-FJPG/241301-002_DET_4.jpg</t>
  </si>
  <si>
    <t>https://dd3ka9h4chfr8.cloudfront.net/image/725136000567/image_dn9u69gdtt3d3emrne006tv216/-FJPG/241301-002_DET_5.jpg</t>
  </si>
  <si>
    <t>Coffee Table - Top</t>
  </si>
  <si>
    <t>Huxley</t>
  </si>
  <si>
    <t>22.32"</t>
  </si>
  <si>
    <t>15.31"</t>
  </si>
  <si>
    <t>9.40"</t>
  </si>
  <si>
    <t>241379-001</t>
  </si>
  <si>
    <t>Josette Console Table - Honey Oak Veneer</t>
  </si>
  <si>
    <t>A console of a honey-finished oak, with joint and connection detailing for an artisan-style feel.</t>
  </si>
  <si>
    <t>https://dd3ka9h4chfr8.cloudfront.net/image/725136000567/image_5vfk3232951d1a7780p228b40p/-S150x150-FJPG/241379-001_PRM_1.jpg</t>
  </si>
  <si>
    <t>https://dd3ka9h4chfr8.cloudfront.net/image/725136000567/image_npl5823tdd1pj5bapgl9bjtn47/-FJPG/241379-001_FRT_1.jpg</t>
  </si>
  <si>
    <t>https://dd3ka9h4chfr8.cloudfront.net/image/725136000567/image_5vfk3232951d1a7780p228b40p/-FJPG/241379-001_PRM_1.jpg</t>
  </si>
  <si>
    <t>https://dd3ka9h4chfr8.cloudfront.net/image/725136000567/image_n0dvus1ln901hf83rep2h4bv7q/-FJPG/241379-001_SID_1.jpg</t>
  </si>
  <si>
    <t>https://dd3ka9h4chfr8.cloudfront.net/image/725136000567/image_lhjm1ccs4p2ofbqeu78frbvv7m/-FJPG/241379-001_DET_2.jpg</t>
  </si>
  <si>
    <t>https://dd3ka9h4chfr8.cloudfront.net/image/725136000567/image_f00lfi30cp7jtbc2mi1544no4u/-FJPG/241379-001_DET_1.jpg</t>
  </si>
  <si>
    <t>https://dd3ka9h4chfr8.cloudfront.net/image/725136000567/image_v7k3l5518t7ir0r3v526t0o61v/-FJPG/241379-001_DET_3.jpg</t>
  </si>
  <si>
    <t>https://dd3ka9h4chfr8.cloudfront.net/image/725136000567/image_tsebhgigb92pl5ks585lg6ko0n/-FJPG/241379-001_DET_4.jpg</t>
  </si>
  <si>
    <t>https://dd3ka9h4chfr8.cloudfront.net/image/725136000567/image_2o0d70k1u10nj2b9jprg82r86k/-FJPG/241379-001_DET_5.jpg</t>
  </si>
  <si>
    <t>https://dd3ka9h4chfr8.cloudfront.net/image/725136000567/image_v9255ter217af8l3rv87i0hk76/-FJPG/241379-001_DET_6.jpg</t>
  </si>
  <si>
    <t>https://dd3ka9h4chfr8.cloudfront.net/image/725136000567/image_k3ldtho0vt7mj3na85qcmlsf4d/-FJPG/241379-001_DET_7.jpg</t>
  </si>
  <si>
    <t>https://dd3ka9h4chfr8.cloudfront.net/image/725136000567/image_n8u3kp97m10kn3mlvtefpfms56/-FJPG/241379-001_DET_8.jpg</t>
  </si>
  <si>
    <t>https://dd3ka9h4chfr8.cloudfront.net/image/725136000567/image_avfo6e36vd783dc0dj0jh7me41/-FJPG/241379-001_DET_9.tif</t>
  </si>
  <si>
    <t>https://dd3ka9h4chfr8.cloudfront.net/image/725136000567/image_mfirc4v0q10sd59j89kdb0dq44/-FJPG/241379-001_DET_10.tif</t>
  </si>
  <si>
    <t>https://dd3ka9h4chfr8.cloudfront.net/image/725136000567/image_pf1gbckltt0atb3lai1vrk336m/-FJPG/241379-001_ESS.tif</t>
  </si>
  <si>
    <t>Josette</t>
  </si>
  <si>
    <t>43.46"</t>
  </si>
  <si>
    <t>4.49"</t>
  </si>
  <si>
    <t>12.78"</t>
  </si>
  <si>
    <t>241387-001</t>
  </si>
  <si>
    <t>Odessa End Table - Distressed Bronze</t>
  </si>
  <si>
    <t>Distressed Bronze</t>
  </si>
  <si>
    <t>Forged from cast iron with a distressed bronze patina finish. A sturdy pedestal base and rounded square top create a functional, industrial-inspired piece.</t>
  </si>
  <si>
    <t>https://dd3ka9h4chfr8.cloudfront.net/image/725136000567/image_s21k6ou2fh3g52chbirkv5rd7l/-S150x150-FJPG/241387-001_PRM_1.jpg</t>
  </si>
  <si>
    <t>https://dd3ka9h4chfr8.cloudfront.net/image/725136000567/image_qrmejplae91m9bsimoqpqm8n4k/-FJPG/241387-001_FRT_1.jpg</t>
  </si>
  <si>
    <t>https://dd3ka9h4chfr8.cloudfront.net/image/725136000567/image_s21k6ou2fh3g52chbirkv5rd7l/-FJPG/241387-001_PRM_1.jpg</t>
  </si>
  <si>
    <t>https://dd3ka9h4chfr8.cloudfront.net/image/725136000567/image_0kvpv0f9q565n43g3310iokm3n/-FJPG/241387-001_SID_1.jpg</t>
  </si>
  <si>
    <t>https://dd3ka9h4chfr8.cloudfront.net/image/725136000567/image_s9pv7dm0pp45tc4f04r4ed1j0j/-FJPG/241387-001_ESS.tif</t>
  </si>
  <si>
    <t>https://dd3ka9h4chfr8.cloudfront.net/image/725136000567/image_5kjrdffra17bl4vjrsa4s3oq7e/-FJPG/241387-001_DET_2.jpg</t>
  </si>
  <si>
    <t>https://dd3ka9h4chfr8.cloudfront.net/image/725136000567/image_1pe6p5r8gh3e5apflds69b2a3i/-FJPG/241387-001_BCK_1.jpg</t>
  </si>
  <si>
    <t>https://dd3ka9h4chfr8.cloudfront.net/image/725136000567/image_mln02lc4fd6jba4a01bv09o77p/-FJPG/241387-001_DET_1.jpg</t>
  </si>
  <si>
    <t>https://dd3ka9h4chfr8.cloudfront.net/image/725136000567/image_mfuq1g32tt0ql2tjn81nve6d4v/-FJPG/241387-001_DET_3.jpg</t>
  </si>
  <si>
    <t>https://dd3ka9h4chfr8.cloudfront.net/image/725136000567/image_a1vqar550t1k91pul40d1ptr3l/-FJPG/241387-001_TOP_1.jpg</t>
  </si>
  <si>
    <t>https://dd3ka9h4chfr8.cloudfront.net/image/725136000567/image_7qp09p884t5fl37k8lq81dcu62/-FJPG/241387-001_DET_4.jpg</t>
  </si>
  <si>
    <t>https://dd3ka9h4chfr8.cloudfront.net/image/725136000567/image_36tgppt2lh4vf3clf1vb979s76/-FJPG/241387-001_DET_5.jpg</t>
  </si>
  <si>
    <t>https://dd3ka9h4chfr8.cloudfront.net/image/725136000567/image_r04rntstkp4oh1h7j44fi57442/-FJPG/241387-001_DET_9.tif</t>
  </si>
  <si>
    <t>https://dd3ka9h4chfr8.cloudfront.net/image/725136000567/image_fsnt54kjn94l5dimo5i9q0017k/-FJPG/FHMPRJ-013_SCENE_2.tif</t>
  </si>
  <si>
    <t>Odessa</t>
  </si>
  <si>
    <t>241391-001</t>
  </si>
  <si>
    <t>Rivi End Table - Aged Belgium Bleach</t>
  </si>
  <si>
    <t>Aged Belgium Bleach</t>
  </si>
  <si>
    <t>Simple and sculptural, with a heritage look and feel. A Brancusi-inspired pedestal supports a smooth circular top, showcasing natural knots and grains.</t>
  </si>
  <si>
    <t>https://dd3ka9h4chfr8.cloudfront.net/image/725136000567/image_c861gp0odd6jl18rrm0arhog3t/-S150x150-FJPG/241391-001_PRM_1.jpg</t>
  </si>
  <si>
    <t>https://dd3ka9h4chfr8.cloudfront.net/image/725136000567/image_apb4qioqit2fnc070raun8cq4p/-FJPG/241391-001_FRT_1.jpg</t>
  </si>
  <si>
    <t>https://dd3ka9h4chfr8.cloudfront.net/image/725136000567/image_c861gp0odd6jl18rrm0arhog3t/-FJPG/241391-001_PRM_1.jpg</t>
  </si>
  <si>
    <t>https://dd3ka9h4chfr8.cloudfront.net/image/725136000567/image_9d1clfepq97qp9dced5n4nn25d/-FJPG/241391-001_SID_1.jpg</t>
  </si>
  <si>
    <t>https://dd3ka9h4chfr8.cloudfront.net/image/725136000567/image_h0c9rh83fp52ffa4hs7dl5876h/-FJPG/241391-001_ESS.tif</t>
  </si>
  <si>
    <t>https://dd3ka9h4chfr8.cloudfront.net/image/725136000567/image_m6nsosodrd341dsr5adbb1pd7m/-FJPG/241391-001_DET_2.jpg</t>
  </si>
  <si>
    <t>https://dd3ka9h4chfr8.cloudfront.net/image/725136000567/image_890tblfmgd2tv6bqqjooq8uq4r/-FJPG/241391-001_BCK_1.jpg</t>
  </si>
  <si>
    <t>https://dd3ka9h4chfr8.cloudfront.net/image/725136000567/image_knm0ci2gr50119h29kofpf1n6d/-FJPG/241391-001_DET_1.jpg</t>
  </si>
  <si>
    <t>https://dd3ka9h4chfr8.cloudfront.net/image/725136000567/image_bpbcjr7k490f3ennhip25t140k/-FJPG/241391-001_DET_3.jpg</t>
  </si>
  <si>
    <t>https://dd3ka9h4chfr8.cloudfront.net/image/725136000567/image_fsabbs99ad2pldmandir4qma4o/-FJPG/241391-001_TOP_1.jpg</t>
  </si>
  <si>
    <t>https://dd3ka9h4chfr8.cloudfront.net/image/725136000567/image_pbbeqojsgh4p7f1l68jr7ttq1v/-FJPG/241391-001_DET_4.jpg</t>
  </si>
  <si>
    <t>https://dd3ka9h4chfr8.cloudfront.net/image/725136000567/image_eedac660fh691ci3cp8tq6kj4k/-FJPG/241391-001_DET_9.tif</t>
  </si>
  <si>
    <t>Rivi</t>
  </si>
  <si>
    <t>241391-002</t>
  </si>
  <si>
    <t>Rivi End Table - Dark Reclaimed</t>
  </si>
  <si>
    <t>Dark Reclaimed</t>
  </si>
  <si>
    <t>Inspired by Romanian sculptor Constantin Brancusi, a classic pedestal table of mixed character woods works a heritage look into the home.</t>
  </si>
  <si>
    <t>https://dd3ka9h4chfr8.cloudfront.net/image/725136000567/image_nbhk1ppsah51l2023lessf8n16/-S150x150-FJPG/241391-002_PRM_1.jpg</t>
  </si>
  <si>
    <t>https://dd3ka9h4chfr8.cloudfront.net/image/725136000567/image_6tt5hffn5h5rhan73gdn80ki4b/-FJPG/241391-002_FRT_1.jpg</t>
  </si>
  <si>
    <t>https://dd3ka9h4chfr8.cloudfront.net/image/725136000567/image_nbhk1ppsah51l2023lessf8n16/-FJPG/241391-002_PRM_1.jpg</t>
  </si>
  <si>
    <t>https://dd3ka9h4chfr8.cloudfront.net/image/725136000567/image_vpl2ok2o517s7er3s94si6v12b/-FJPG/241391-002_SID_1.jpg</t>
  </si>
  <si>
    <t>https://dd3ka9h4chfr8.cloudfront.net/image/725136000567/image_qck9nme9sd4bbdnk37p33dao3i/-FJPG/241391-002_ESS.tif</t>
  </si>
  <si>
    <t>https://dd3ka9h4chfr8.cloudfront.net/image/725136000567/image_6voob3r25h52v1fg51qgor2f0g/-FJPG/241391-002_DET_2.jpg</t>
  </si>
  <si>
    <t>https://dd3ka9h4chfr8.cloudfront.net/image/725136000567/image_7kfmga8d4p7752pt0n26tn4c0h/-FJPG/241391-002_DET_1.jpg</t>
  </si>
  <si>
    <t>https://dd3ka9h4chfr8.cloudfront.net/image/725136000567/image_bv1llthbe5309f8cv3i6qpl763/-FJPG/241391-002_DET_3.jpg</t>
  </si>
  <si>
    <t>https://dd3ka9h4chfr8.cloudfront.net/image/725136000567/image_lu2ntedgh53nj1dhvhc8us9c3c/-FJPG/241391-002_TOP_1.jpg</t>
  </si>
  <si>
    <t>https://dd3ka9h4chfr8.cloudfront.net/image/725136000567/image_t0ug8slkd9517a2b5p07tv1u6s/-FJPG/241391-002_DET_4.jpg</t>
  </si>
  <si>
    <t>https://dd3ka9h4chfr8.cloudfront.net/image/725136000567/image_ifmi23hab92ml4qrdjn2jkce70/-FJPG/241391-002_DET_5.jpg</t>
  </si>
  <si>
    <t>https://dd3ka9h4chfr8.cloudfront.net/image/725136000567/image_f33mnc7bf17a1coojvj3plel0v/-FJPG/241391-002_DET_6.jpg</t>
  </si>
  <si>
    <t>241430-001</t>
  </si>
  <si>
    <t>Ezri 6 Drawer Dresser - Carved Cocoa Oak</t>
  </si>
  <si>
    <t>Cocoa-finished oak, organic carving and cylinder legs fuse for  a primitive look, while wood's varying grain colors add unique character to each piece.</t>
  </si>
  <si>
    <t>https://dd3ka9h4chfr8.cloudfront.net/image/725136000567/image_g8dk6fuust5op90vmdkd5ovv3h/-S150x150-FJPG/241430-001_PRM_1.jpg</t>
  </si>
  <si>
    <t>https://dd3ka9h4chfr8.cloudfront.net/image/725136000567/image_fr3doefshd6sv3ihitht31ks19/-FJPG/241430-001_FRT_1.jpg</t>
  </si>
  <si>
    <t>https://dd3ka9h4chfr8.cloudfront.net/image/725136000567/image_g8dk6fuust5op90vmdkd5ovv3h/-FJPG/241430-001_PRM_1.jpg</t>
  </si>
  <si>
    <t>https://dd3ka9h4chfr8.cloudfront.net/image/725136000567/image_62gejqf4ot7953s3s6b1hquk7q/-FJPG/241430-001_SID_1.jpg</t>
  </si>
  <si>
    <t>https://dd3ka9h4chfr8.cloudfront.net/image/725136000567/image_3mufdjov993fn9vsfpovaubb2g/-FJPG/241430-001_ESS.tif</t>
  </si>
  <si>
    <t>https://dd3ka9h4chfr8.cloudfront.net/image/725136000567/image_s6vot1s5k950fbficj422ivd4j/-FJPG/241430-001_DET_2.jpg</t>
  </si>
  <si>
    <t>https://dd3ka9h4chfr8.cloudfront.net/image/725136000567/image_mgg545v0f93ll338kavqbjck2n/-FJPG/241430-001_BCK_1.jpg</t>
  </si>
  <si>
    <t>https://dd3ka9h4chfr8.cloudfront.net/image/725136000567/image_5rqet11o414o1dh1ado387o606/-FJPG/241430-001_DET_1.jpg</t>
  </si>
  <si>
    <t>https://dd3ka9h4chfr8.cloudfront.net/image/725136000567/image_u5q17qurk54nfcujhg2e8iu529/-FJPG/241430-001_DET_3.jpg</t>
  </si>
  <si>
    <t>https://dd3ka9h4chfr8.cloudfront.net/image/725136000567/image_crpjjgn87l11j3qe9ooq25hf7q/-FJPG/241430-001_OPN_1.jpg</t>
  </si>
  <si>
    <t>https://dd3ka9h4chfr8.cloudfront.net/image/725136000567/image_9saqj5pm352vp8p7fhof70i87v/-FJPG/241430-001_TOP_1.jpg</t>
  </si>
  <si>
    <t>https://dd3ka9h4chfr8.cloudfront.net/image/725136000567/image_cf6hrucsmd5vd482lj5v8ntg42/-FJPG/241430-001_DET_4.jpg</t>
  </si>
  <si>
    <t>https://dd3ka9h4chfr8.cloudfront.net/image/725136000567/image_jalibqrf7t7bn0lc6ltm3ep74l/-FJPG/241430-001_DET_5.jpg</t>
  </si>
  <si>
    <t>https://dd3ka9h4chfr8.cloudfront.net/image/725136000567/image_m68gq6jqe94kp7ugkr59ksd26j/-FJPG/241430-001_DET_6.jpg</t>
  </si>
  <si>
    <t>https://dd3ka9h4chfr8.cloudfront.net/image/725136000567/image_iiqidudnbh51161nbvqufuok6i/-FJPG/241430-001_DET_7.jpg</t>
  </si>
  <si>
    <t>https://dd3ka9h4chfr8.cloudfront.net/image/725136000567/image_avhajjf5il79r9s82qs86tlv0s/-FJPG/241430-001_DET_9.tif</t>
  </si>
  <si>
    <t>241430-002</t>
  </si>
  <si>
    <t>Ezri 6 Drawer Dresser - Carved Black Oak</t>
  </si>
  <si>
    <t>Black oak, organic carving and cylinder legs fuse for a primitive look, while wood's varying grain colors add unique character to each piece.</t>
  </si>
  <si>
    <t>https://dd3ka9h4chfr8.cloudfront.net/image/725136000567/image_9vphakvrj569l9fjseucelu804/-S150x150-FJPG/241430-002_PRM_1.jpg</t>
  </si>
  <si>
    <t>https://dd3ka9h4chfr8.cloudfront.net/image/725136000567/image_e0vqbh3drp4vjbnckt168rsq26/-FJPG/241430-002_FRT_1.jpg</t>
  </si>
  <si>
    <t>https://dd3ka9h4chfr8.cloudfront.net/image/725136000567/image_9vphakvrj569l9fjseucelu804/-FJPG/241430-002_PRM_1.jpg</t>
  </si>
  <si>
    <t>https://dd3ka9h4chfr8.cloudfront.net/image/725136000567/image_crci9r9ni11nt0r7giccd27t02/-FJPG/241430-002_SID_1.jpg</t>
  </si>
  <si>
    <t>https://dd3ka9h4chfr8.cloudfront.net/image/725136000567/image_5nqp353lht3ph3fcsqhufof335/-FJPG/241430-002_DET_2.jpg</t>
  </si>
  <si>
    <t>https://dd3ka9h4chfr8.cloudfront.net/image/725136000567/image_vbmg7op6qt0656rf2j853r9i76/-FJPG/241430-002_BCK_1.jpg</t>
  </si>
  <si>
    <t>https://dd3ka9h4chfr8.cloudfront.net/image/725136000567/image_75qlgtgkmd3997v0ook5m9ii67/-FJPG/241430-002_DET_1.jpg</t>
  </si>
  <si>
    <t>https://dd3ka9h4chfr8.cloudfront.net/image/725136000567/image_33roqa04j10precdct952s0f1u/-FJPG/241430-002_DET_3.jpg</t>
  </si>
  <si>
    <t>https://dd3ka9h4chfr8.cloudfront.net/image/725136000567/image_2kjb8cl98p0qva14k9vsk3ci52/-FJPG/241430-002_OPN_1.jpg</t>
  </si>
  <si>
    <t>https://dd3ka9h4chfr8.cloudfront.net/image/725136000567/image_qnfoa7m0lt3s72h0o10o7q387d/-FJPG/241430-002_TOP_1.jpg</t>
  </si>
  <si>
    <t>https://dd3ka9h4chfr8.cloudfront.net/image/725136000567/image_3ig250sqv93pr0d748e0f67f4q/-FJPG/241430-002_DET_4.jpg</t>
  </si>
  <si>
    <t>https://dd3ka9h4chfr8.cloudfront.net/image/725136000567/image_t257086nqh5nvfimoavv8cep0t/-FJPG/241430-002_DET_5.jpg</t>
  </si>
  <si>
    <t>https://dd3ka9h4chfr8.cloudfront.net/image/725136000567/image_gintasone93rretc2hhq4unp0m/-FJPG/241430-002_DET_6.jpg</t>
  </si>
  <si>
    <t>https://dd3ka9h4chfr8.cloudfront.net/image/725136000567/image_tt56t2dsb50prcfdc8j04a9r7q/-FJPG/241430-002_DET_7.jpg</t>
  </si>
  <si>
    <t>241432-001</t>
  </si>
  <si>
    <t>Ezri Nightstand - Cocoa Oak</t>
  </si>
  <si>
    <t>Cocoa-finished oak, organic carving and cylinder legs craft a primitive look, while wood's varying grain colors bring unique character to each piece.</t>
  </si>
  <si>
    <t>https://dd3ka9h4chfr8.cloudfront.net/image/725136000567/image_eah286r83l52b2npaqq2rluh0q/-S150x150-FJPG/241432-001_PRM_1.jpg</t>
  </si>
  <si>
    <t>https://dd3ka9h4chfr8.cloudfront.net/image/725136000567/image_ubvj0aa8kd0tpao6i15gpo7f0a/-FJPG/241432-001_FRT_1.jpg</t>
  </si>
  <si>
    <t>https://dd3ka9h4chfr8.cloudfront.net/image/725136000567/image_eah286r83l52b2npaqq2rluh0q/-FJPG/241432-001_PRM_1.jpg</t>
  </si>
  <si>
    <t>https://dd3ka9h4chfr8.cloudfront.net/image/725136000567/image_qhs5nu9d3p6913mokchmcafi7i/-FJPG/241432-001_SID_1.jpg</t>
  </si>
  <si>
    <t>https://dd3ka9h4chfr8.cloudfront.net/image/725136000567/image_vk70cmirs91sba6328fju4tu73/-FJPG/241432-001_ESS.tif</t>
  </si>
  <si>
    <t>https://dd3ka9h4chfr8.cloudfront.net/image/725136000567/image_ahqiqtputl4el60r9vd4av8d6k/-FJPG/241432-001_DET_2.jpg</t>
  </si>
  <si>
    <t>https://dd3ka9h4chfr8.cloudfront.net/image/725136000567/image_gahqo5ih55111dha09jajdqf20/-FJPG/241432-001_BCK_1.jpg</t>
  </si>
  <si>
    <t>https://dd3ka9h4chfr8.cloudfront.net/image/725136000567/image_soin4fdo854lpd5224jvojfk50/-FJPG/241432-001_DET_1.jpg</t>
  </si>
  <si>
    <t>https://dd3ka9h4chfr8.cloudfront.net/image/725136000567/image_mk6phnm71110d09okrh53j7328/-FJPG/241432-001_DET_3.jpg</t>
  </si>
  <si>
    <t>https://dd3ka9h4chfr8.cloudfront.net/image/725136000567/image_2i40ftnqnt5i33cplt1if2hh7n/-FJPG/241432-001_OPN_1.jpg</t>
  </si>
  <si>
    <t>https://dd3ka9h4chfr8.cloudfront.net/image/725136000567/image_jdjr6dt8s524b8ocr7jndlie4h/-FJPG/241432-001_TOP_1.jpg</t>
  </si>
  <si>
    <t>https://dd3ka9h4chfr8.cloudfront.net/image/725136000567/image_tq87cv5e313d90q6uk11f7s04s/-FJPG/241432-001_DET_4.jpg</t>
  </si>
  <si>
    <t>https://dd3ka9h4chfr8.cloudfront.net/image/725136000567/image_hktapl16ol74j1mjqmjodefi29/-FJPG/241432-001_DET_5.jpg</t>
  </si>
  <si>
    <t>https://dd3ka9h4chfr8.cloudfront.net/image/725136000567/image_pqgusqono93pv2oltmettcmq78/-FJPG/241432-001_DET_6.jpg</t>
  </si>
  <si>
    <t>https://dd3ka9h4chfr8.cloudfront.net/image/725136000567/image_q16iib8l7h7p340qf98hbkb022/-FJPG/241432-001_DET_7.jpg</t>
  </si>
  <si>
    <t>https://dd3ka9h4chfr8.cloudfront.net/image/725136000567/image_fqldjqbr1d1ob1f6c4v5mqg36m/-FJPG/241432-001_DET_8.jpg</t>
  </si>
  <si>
    <t>https://dd3ka9h4chfr8.cloudfront.net/image/725136000567/image_7ub24hrb6t5ejbu5knfriuhs1q/-FJPG/FHMPRJ-013_SCENE_4A.tif</t>
  </si>
  <si>
    <t>https://dd3ka9h4chfr8.cloudfront.net/image/725136000567/image_vi0n2brgmp2k371s0p42eg5c2g/-FJPG/FHMPRJ-013_SCENE_4B.if.tif</t>
  </si>
  <si>
    <t>241432-002</t>
  </si>
  <si>
    <t>Ezri Nightstand - Black Oak</t>
  </si>
  <si>
    <t>Black-finished oak, unique geometric carving and cylinder legs craft a primitive look, while wood's varying grain colors bring unique character to each piece.</t>
  </si>
  <si>
    <t>https://dd3ka9h4chfr8.cloudfront.net/image/725136000567/image_29j7svegct6jj1iis789jb4j3t/-S150x150-FJPG/241432-002_PRM_1.jpg</t>
  </si>
  <si>
    <t>https://dd3ka9h4chfr8.cloudfront.net/image/725136000567/image_gac37bslq1337cmm53vh3srm0d/-FJPG/241432-002_FRT_1.jpg</t>
  </si>
  <si>
    <t>https://dd3ka9h4chfr8.cloudfront.net/image/725136000567/image_29j7svegct6jj1iis789jb4j3t/-FJPG/241432-002_PRM_1.jpg</t>
  </si>
  <si>
    <t>https://dd3ka9h4chfr8.cloudfront.net/image/725136000567/image_c6ksg8db7d3vb3ckcbgcjuqb31/-FJPG/241432-002_SID_1.jpg</t>
  </si>
  <si>
    <t>https://dd3ka9h4chfr8.cloudfront.net/image/725136000567/image_kfpss27g7d74v2u8gg6hc2km26/-FJPG/241432-002_DET_2.jpg</t>
  </si>
  <si>
    <t>https://dd3ka9h4chfr8.cloudfront.net/image/725136000567/image_18udl66ng10lh8bejt2fq6ld0f/-FJPG/241432-002_BCK_1.jpg</t>
  </si>
  <si>
    <t>https://dd3ka9h4chfr8.cloudfront.net/image/725136000567/image_fg0ehfufsl1m980cskl6mv9478/-FJPG/241432-002_DET_1.jpg</t>
  </si>
  <si>
    <t>https://dd3ka9h4chfr8.cloudfront.net/image/725136000567/image_mrij42rv0115r8v6jrd1497e0k/-FJPG/241432-002_DET_3.jpg</t>
  </si>
  <si>
    <t>https://dd3ka9h4chfr8.cloudfront.net/image/725136000567/image_0vfc2udr9l7lf7a0g07gemob1l/-FJPG/241432-002_OPN_1.jpg</t>
  </si>
  <si>
    <t>https://dd3ka9h4chfr8.cloudfront.net/image/725136000567/image_pprtrdrc456hja6mjaqa3qtk12/-FJPG/241432-002_TOP_1.jpg</t>
  </si>
  <si>
    <t>https://dd3ka9h4chfr8.cloudfront.net/image/725136000567/image_3l6imbtpdh0a77h8bshkmevj1v/-FJPG/241432-002_DET_4.jpg</t>
  </si>
  <si>
    <t>https://dd3ka9h4chfr8.cloudfront.net/image/725136000567/image_jhgll1m0i15j578q64t5h8t41o/-FJPG/241432-002_DET_5.jpg</t>
  </si>
  <si>
    <t>https://dd3ka9h4chfr8.cloudfront.net/image/725136000567/image_v4819ns9rl563d7rathudjco4c/-FJPG/241432-002_DET_6.jpg</t>
  </si>
  <si>
    <t>241434-001</t>
  </si>
  <si>
    <t>Freddie Nightstand - Brown</t>
  </si>
  <si>
    <t>Inspired by French antique design, this dresser stands on round tapered legs with a prominent overhang top. Made of mango wood with cast iron key ring pulls, two drawers make it a versatile choice as a dresser or nightstand.</t>
  </si>
  <si>
    <t>https://dd3ka9h4chfr8.cloudfront.net/image/725136000567/image_0go5rdt6a56477fr6hen2u0a2a/-S150x150-FJPG/241434-001_PRM_1.jpg</t>
  </si>
  <si>
    <t>https://dd3ka9h4chfr8.cloudfront.net/image/725136000567/image_dc5cgenq3t2t1fdrn224d02s23/-FJPG/241434-001_FRT_1.jpg</t>
  </si>
  <si>
    <t>https://dd3ka9h4chfr8.cloudfront.net/image/725136000567/image_0go5rdt6a56477fr6hen2u0a2a/-FJPG/241434-001_PRM_1.jpg</t>
  </si>
  <si>
    <t>https://dd3ka9h4chfr8.cloudfront.net/image/725136000567/image_gnoa0c547h47b6rhlj91g9di0d/-FJPG/241434-001_SID_1.jpg</t>
  </si>
  <si>
    <t>https://dd3ka9h4chfr8.cloudfront.net/image/725136000567/image_q3960hgm717930uag1cv4sla6u/-FJPG/241434-001_ESS.tif</t>
  </si>
  <si>
    <t>https://dd3ka9h4chfr8.cloudfront.net/image/725136000567/image_g4iaqj5vnp1b52tt8u8of9bl7t/-FJPG/241434-001_DET_2.jpg</t>
  </si>
  <si>
    <t>https://dd3ka9h4chfr8.cloudfront.net/image/725136000567/image_ancmqm5juh14v1bolkefcs010d/-FJPG/241434-001_BCK_1.jpg</t>
  </si>
  <si>
    <t>https://dd3ka9h4chfr8.cloudfront.net/image/725136000567/image_8bjg5g5qr970d02aduf6he1n2g/-FJPG/241434-001_DET_1.jpg</t>
  </si>
  <si>
    <t>https://dd3ka9h4chfr8.cloudfront.net/image/725136000567/image_st89plvos56ur1ivs6jo1lod4f/-FJPG/241434-001_DET_3.jpg</t>
  </si>
  <si>
    <t>https://dd3ka9h4chfr8.cloudfront.net/image/725136000567/image_b8k8ocnn5l4sdec2pib7lpes3o/-FJPG/241434-001_OPN_1.jpg</t>
  </si>
  <si>
    <t>https://dd3ka9h4chfr8.cloudfront.net/image/725136000567/image_nakcodni5p225ahkmlrqgc2i4v/-FJPG/241434-001_TOP_1.jpg</t>
  </si>
  <si>
    <t>https://dd3ka9h4chfr8.cloudfront.net/image/725136000567/image_etndjca5st0dndv3bgeslf3l47/-FJPG/241434-001_DET_4.jpg</t>
  </si>
  <si>
    <t>https://dd3ka9h4chfr8.cloudfront.net/image/725136000567/image_5iolpfi4ed4o7a4h1do0mpos78/-FJPG/241434-001_DET_5.jpg</t>
  </si>
  <si>
    <t>https://dd3ka9h4chfr8.cloudfront.net/image/725136000567/image_qm3e2ejuh91f7426e3ajsu8u1f/-FJPG/241434-001_DET_6.jpg</t>
  </si>
  <si>
    <t>https://dd3ka9h4chfr8.cloudfront.net/image/725136000567/image_6f3n21vc3d2i7eoq64q2pjk40i/-FJPG/241434-001_DET_7.jpg</t>
  </si>
  <si>
    <t>Freddie</t>
  </si>
  <si>
    <t>241434-003</t>
  </si>
  <si>
    <t>Freddie Nightstand - Caramel Mango</t>
  </si>
  <si>
    <t>Caramel Mango</t>
  </si>
  <si>
    <t>https://dd3ka9h4chfr8.cloudfront.net/image/725136000567/image_vae73kaf5910jd1nhh4ehog372/-S150x150-FJPG/241434-003_PRM_1.jpg</t>
  </si>
  <si>
    <t>https://dd3ka9h4chfr8.cloudfront.net/image/725136000567/image_cpd3mrt6ql7th4skeroefrk438/-FJPG/241434-003_FRT_1.jpg</t>
  </si>
  <si>
    <t>https://dd3ka9h4chfr8.cloudfront.net/image/725136000567/image_vae73kaf5910jd1nhh4ehog372/-FJPG/241434-003_PRM_1.jpg</t>
  </si>
  <si>
    <t>https://dd3ka9h4chfr8.cloudfront.net/image/725136000567/image_ppeumrv38h0kl3tpquhkgohj78/-FJPG/241434-003_SID_1.jpg</t>
  </si>
  <si>
    <t>https://dd3ka9h4chfr8.cloudfront.net/image/725136000567/image_3mvrd8ah7h51t9160ejn9joq13/-FJPG/241434-003_DET_2.jpg</t>
  </si>
  <si>
    <t>https://dd3ka9h4chfr8.cloudfront.net/image/725136000567/image_n0gt5ip8jp3f1781cmivq0hh3c/-FJPG/241434-003_BCK_1.jpg</t>
  </si>
  <si>
    <t>https://dd3ka9h4chfr8.cloudfront.net/image/725136000567/image_s4ujfo6aqp7ih97dfiqfipaq6s/-FJPG/241434-003_DET_1.jpg</t>
  </si>
  <si>
    <t>https://dd3ka9h4chfr8.cloudfront.net/image/725136000567/image_om47uouelh1aj1nbdobjjko23c/-FJPG/241434-003_DET_3.jpg</t>
  </si>
  <si>
    <t>https://dd3ka9h4chfr8.cloudfront.net/image/725136000567/image_u7q5k0mb3529j8gabitmjsem41/-FJPG/241434-003_OPN_1.jpg</t>
  </si>
  <si>
    <t>https://dd3ka9h4chfr8.cloudfront.net/image/725136000567/image_0rtcof7k4944b7u16766h8n55e/-FJPG/241434-003_TOP_1.jpg</t>
  </si>
  <si>
    <t>https://dd3ka9h4chfr8.cloudfront.net/image/725136000567/image_f45bj99thh6vnasrcno65mit4r/-FJPG/241434-003_DET_4.jpg</t>
  </si>
  <si>
    <t>https://dd3ka9h4chfr8.cloudfront.net/image/725136000567/image_ttutm9tcdt1bl682cmnm57va0n/-FJPG/241434-003_DET_5.jpg</t>
  </si>
  <si>
    <t>https://dd3ka9h4chfr8.cloudfront.net/image/725136000567/image_b92nbsu7ct2c35ggm9qoed025u/-FJPG/241434-003_DET_6.jpg</t>
  </si>
  <si>
    <t>241459-001</t>
  </si>
  <si>
    <t>Made from thick-cut oak veneer with a faux rustic finish made to emulate wormwood, this clean-lined dining table features chunky squared legs and dovetail joinery detailing.</t>
  </si>
  <si>
    <t>https://dd3ka9h4chfr8.cloudfront.net/image/725136000567/image_utr3tefn4d43ja5f01bqoi3747/-S150x150-FJPG/241459-001_PRM_1.jpg</t>
  </si>
  <si>
    <t>https://dd3ka9h4chfr8.cloudfront.net/image/725136000567/image_e50jgmjm9d61d46vkje6b1pu5q/-FJPG/241459-001_FRT_1.jpg</t>
  </si>
  <si>
    <t>https://dd3ka9h4chfr8.cloudfront.net/image/725136000567/image_utr3tefn4d43ja5f01bqoi3747/-FJPG/241459-001_PRM_1.jpg</t>
  </si>
  <si>
    <t>https://dd3ka9h4chfr8.cloudfront.net/image/725136000567/image_aro3eiejjt7dd6csnh3vlfst5v/-FJPG/241459-001_SID_1.jpg</t>
  </si>
  <si>
    <t>https://dd3ka9h4chfr8.cloudfront.net/image/725136000567/image_pt0dcu9d2d6rd636u1srvarc7m/-FJPG/241459-001_ESS.tif</t>
  </si>
  <si>
    <t>https://dd3ka9h4chfr8.cloudfront.net/image/725136000567/image_sf0oikss4d5jl71lv75n4pv742/-FJPG/241459-001_DET_2.jpg</t>
  </si>
  <si>
    <t>https://dd3ka9h4chfr8.cloudfront.net/image/725136000567/image_ghbmoh4hs16ih79uidle4p463k/-FJPG/241459-001_BCK_1.jpg</t>
  </si>
  <si>
    <t>https://dd3ka9h4chfr8.cloudfront.net/image/725136000567/image_9uhhggskhp2t79s8t6r1hscp0a/-FJPG/241459-001_DET_1.jpg</t>
  </si>
  <si>
    <t>https://dd3ka9h4chfr8.cloudfront.net/image/725136000567/image_210u19p1qt5bvcr3fe1v8rm31n/-FJPG/241459-001_DET_3.jpg</t>
  </si>
  <si>
    <t>https://dd3ka9h4chfr8.cloudfront.net/image/725136000567/image_n55imqks2160jar53nb6gec319/-FJPG/241459-001_DET_4.jpg</t>
  </si>
  <si>
    <t>https://dd3ka9h4chfr8.cloudfront.net/image/725136000567/image_afd8nn6cv168759kdefgh52k2d/-FJPG/241459-001_DET_5.jpg</t>
  </si>
  <si>
    <t>https://dd3ka9h4chfr8.cloudfront.net/image/725136000567/image_9vqilqbl753l37f6m2vatnmn5s/-FJPG/241459-001_DET_6.jpg</t>
  </si>
  <si>
    <t>https://dd3ka9h4chfr8.cloudfront.net/image/725136000567/image_7e8gdphkkp2up7i6bvsbibcj44/-FJPG/241459-001_DET_9.tif</t>
  </si>
  <si>
    <t>241459-002</t>
  </si>
  <si>
    <t>Made from thick-cut oak veneer with a faux rustic finish to emulate wormwood, this clean-lined dining table features chunky squared legs and dovetail joinery detailing.</t>
  </si>
  <si>
    <t>https://dd3ka9h4chfr8.cloudfront.net/image/725136000567/image_735l1rmgpl7mp5itpd9bsv7d44/-S150x150-FJPG/241459-002_PRM_1.jpg</t>
  </si>
  <si>
    <t>https://dd3ka9h4chfr8.cloudfront.net/image/725136000567/image_q3phvlbh715k53j27fe3djoc40/-FJPG/241459-002_FRT_1.jpg</t>
  </si>
  <si>
    <t>https://dd3ka9h4chfr8.cloudfront.net/image/725136000567/image_735l1rmgpl7mp5itpd9bsv7d44/-FJPG/241459-002_PRM_1.jpg</t>
  </si>
  <si>
    <t>https://dd3ka9h4chfr8.cloudfront.net/image/725136000567/image_fsdks0kolp0nt9qc73ds9hpk67/-FJPG/241459-002_SID_1.jpg</t>
  </si>
  <si>
    <t>https://dd3ka9h4chfr8.cloudfront.net/image/725136000567/image_sg19rrcru17pfej53gai80lm2n/-FJPG/241459-002_ESS_1.jpg</t>
  </si>
  <si>
    <t>https://dd3ka9h4chfr8.cloudfront.net/image/725136000567/image_c4tdth3ret4nh98casgl69ng4d/-FJPG/241459-002_DET_2.jpg</t>
  </si>
  <si>
    <t>https://dd3ka9h4chfr8.cloudfront.net/image/725136000567/image_36flaun7m97up0s63knum5147e/-FJPG/241459-002_BCK_1.jpg</t>
  </si>
  <si>
    <t>https://dd3ka9h4chfr8.cloudfront.net/image/725136000567/image_v0iqrbjqol3e7bp4e3ruf9pf29/-FJPG/241459-002_DET_1.jpg</t>
  </si>
  <si>
    <t>https://dd3ka9h4chfr8.cloudfront.net/image/725136000567/image_dl2djo1tn52j3582gucuetfp38/-FJPG/241459-002_DET_3.jpg</t>
  </si>
  <si>
    <t>https://dd3ka9h4chfr8.cloudfront.net/image/725136000567/image_qtgiphvj896o96grvgom9oa665/-FJPG/241459-002_TOP_1.jpg</t>
  </si>
  <si>
    <t>https://dd3ka9h4chfr8.cloudfront.net/image/725136000567/image_6i6m8ngfht52rdf1tv99v6b86b/-FJPG/241459-002_DET_4.jpg</t>
  </si>
  <si>
    <t>241551-001</t>
  </si>
  <si>
    <t>Freddie Chest - Brown</t>
  </si>
  <si>
    <t>Inspired by French antique design, this dresser stands on round tapered legs with a prominent overhang top. Made of mango wood with cast iron key ring pulls, three drawers make it a versatile choice as a dresser or nightstand.</t>
  </si>
  <si>
    <t>https://dd3ka9h4chfr8.cloudfront.net/image/725136000567/image_gcndh9rsqp5p19n3q5fagr4l2i/-S150x150-FJPG/241551-001_PRM_1.jpg</t>
  </si>
  <si>
    <t>https://dd3ka9h4chfr8.cloudfront.net/image/725136000567/image_cq3rfb0eul2i59vahki525s41m/-FJPG/241551-001_FRT_1.jpg</t>
  </si>
  <si>
    <t>https://dd3ka9h4chfr8.cloudfront.net/image/725136000567/image_gcndh9rsqp5p19n3q5fagr4l2i/-FJPG/241551-001_PRM_1.jpg</t>
  </si>
  <si>
    <t>https://dd3ka9h4chfr8.cloudfront.net/image/725136000567/image_lcurpc38m94ff6vnkqddjdr81b/-FJPG/241551-001_SID_1.jpg</t>
  </si>
  <si>
    <t>https://dd3ka9h4chfr8.cloudfront.net/image/725136000567/image_r7u9udqnqh7ddajjlco12me051/-FJPG/241551-001_ESS.tif</t>
  </si>
  <si>
    <t>https://dd3ka9h4chfr8.cloudfront.net/image/725136000567/image_a665kfjcat0bt52vk4r2hmpi05/-FJPG/241551-001_DET_2.jpg</t>
  </si>
  <si>
    <t>https://dd3ka9h4chfr8.cloudfront.net/image/725136000567/image_vtaivjqcs109v1fuf0849b7701/-FJPG/241551-001_BCK_1.jpg</t>
  </si>
  <si>
    <t>https://dd3ka9h4chfr8.cloudfront.net/image/725136000567/image_nf1ggp22r11s596i479k478v3o/-FJPG/241551-001_DET_1.jpg</t>
  </si>
  <si>
    <t>https://dd3ka9h4chfr8.cloudfront.net/image/725136000567/image_p9tpuvd91p157cv82g6i4l165q/-FJPG/241551-001_DET_3.jpg</t>
  </si>
  <si>
    <t>https://dd3ka9h4chfr8.cloudfront.net/image/725136000567/image_tpjc2fcqu12rvembkvi1r2gn62/-FJPG/241551-001_OPN_1.jpg</t>
  </si>
  <si>
    <t>https://dd3ka9h4chfr8.cloudfront.net/image/725136000567/image_0n7q17p5s11mvdclki6sartg7g/-FJPG/241551-001_TOP_1.jpg</t>
  </si>
  <si>
    <t>https://dd3ka9h4chfr8.cloudfront.net/image/725136000567/image_v9d2nk3l593mpcf78aght5nj0l/-FJPG/241551-001_DET_4.jpg</t>
  </si>
  <si>
    <t>https://dd3ka9h4chfr8.cloudfront.net/image/725136000567/image_8ieppv0pdp3e17fdtcd0b12646/-FJPG/241551-001_DET_5.jpg</t>
  </si>
  <si>
    <t>https://dd3ka9h4chfr8.cloudfront.net/image/725136000567/image_j7h19vatr122n8v6p0ino70r3e/-FJPG/241551-001_DET_6.jpg</t>
  </si>
  <si>
    <t>https://dd3ka9h4chfr8.cloudfront.net/image/725136000567/image_49ttuuv5911rp6pfij35018t3f/-FJPG/241551-001_DET_7.jpg</t>
  </si>
  <si>
    <t>https://dd3ka9h4chfr8.cloudfront.net/image/725136000567/image_bkujrp8v4t7njds038iitgi56l/-FJPG/241551-001_DET_8.jpg</t>
  </si>
  <si>
    <t>241551-003</t>
  </si>
  <si>
    <t>Freddie Chest - Caramel Mango</t>
  </si>
  <si>
    <t>https://dd3ka9h4chfr8.cloudfront.net/image/725136000567/image_9q3aq0qqr50sf6a949kmo8t25j/-S150x150-FJPG/241551-003_PRM_1.jpg</t>
  </si>
  <si>
    <t>https://dd3ka9h4chfr8.cloudfront.net/image/725136000567/image_fb1q3ld0s50gpfng08jifmo933/-FJPG/241551-003_FRT_1.jpg</t>
  </si>
  <si>
    <t>https://dd3ka9h4chfr8.cloudfront.net/image/725136000567/image_9q3aq0qqr50sf6a949kmo8t25j/-FJPG/241551-003_PRM_1.jpg</t>
  </si>
  <si>
    <t>https://dd3ka9h4chfr8.cloudfront.net/image/725136000567/image_7laj8a5e8p4udfegeqhgufbe3a/-FJPG/241551-003_SID_1.jpg</t>
  </si>
  <si>
    <t>https://dd3ka9h4chfr8.cloudfront.net/image/725136000567/image_p0nsktlqrh6fn3hij7bhnhaa33/-FJPG/241551-003_DET_2.jpg</t>
  </si>
  <si>
    <t>https://dd3ka9h4chfr8.cloudfront.net/image/725136000567/image_ljptpglc0t183cflhv1sejc35j/-FJPG/241551-003_BCK_1.jpg</t>
  </si>
  <si>
    <t>https://dd3ka9h4chfr8.cloudfront.net/image/725136000567/image_rhl40mpe8p2i19bmv3hlj0hk5h/-FJPG/241551-003_DET_1.jpg</t>
  </si>
  <si>
    <t>https://dd3ka9h4chfr8.cloudfront.net/image/725136000567/image_dh5sflitd92hjbfia9jetf1f5q/-FJPG/241551-003_DET_3.jpg</t>
  </si>
  <si>
    <t>https://dd3ka9h4chfr8.cloudfront.net/image/725136000567/image_j18ir1m5fh6r3e8253j8eqkh5b/-FJPG/241551-003_OPN_1.jpg</t>
  </si>
  <si>
    <t>https://dd3ka9h4chfr8.cloudfront.net/image/725136000567/image_47idfhet4l175dptjc7sjh7j6h/-FJPG/241551-003_TOP_1.jpg</t>
  </si>
  <si>
    <t>https://dd3ka9h4chfr8.cloudfront.net/image/725136000567/image_2ppt2fok89509dfslsts7i6a3q/-FJPG/241551-003_DET_4.jpg</t>
  </si>
  <si>
    <t>241633-007</t>
  </si>
  <si>
    <t>Zena Ottoman - Altair Sienna</t>
  </si>
  <si>
    <t>Perfectly sized for smaller spaces, a versatile ottoman brings an extra surface or seat â€” and pop of color â€” to any room.</t>
  </si>
  <si>
    <t>https://dd3ka9h4chfr8.cloudfront.net/image/725136000567/image_bok5s6nqjp6dtb4v32cst2g45q/-S150x150-FJPG/241633-007_PRM_1.jpg</t>
  </si>
  <si>
    <t>https://dd3ka9h4chfr8.cloudfront.net/image/725136000567/image_r41ul7avth75h0tmmses35vl3p/-FJPG/241633-007_FRT_1.jpg</t>
  </si>
  <si>
    <t>https://dd3ka9h4chfr8.cloudfront.net/image/725136000567/image_bok5s6nqjp6dtb4v32cst2g45q/-FJPG/241633-007_PRM_1.jpg</t>
  </si>
  <si>
    <t>https://dd3ka9h4chfr8.cloudfront.net/image/725136000567/image_t34kpvas8d3n36je9t30nucn7h/-FJPG/241633-007_SID_1.jpg</t>
  </si>
  <si>
    <t>https://dd3ka9h4chfr8.cloudfront.net/image/725136000567/image_ecj6jldp5h0qdco79to3urif4a/-FJPG/241633-007_DET_2.jpg</t>
  </si>
  <si>
    <t>https://dd3ka9h4chfr8.cloudfront.net/image/725136000567/image_871oerupu91jh27g28o8nhih6p/-FJPG/241633-007_DET_1.jpg</t>
  </si>
  <si>
    <t>https://dd3ka9h4chfr8.cloudfront.net/image/725136000567/image_f7cf5sub0p7hl6icjupsemio7l/-FJPG/241633-007_DET_3.jpg</t>
  </si>
  <si>
    <t>https://dd3ka9h4chfr8.cloudfront.net/image/725136000567/image_dqp8otlqv52295srbl734q7d4a/-FJPG/241633-007_DET_4.jpg</t>
  </si>
  <si>
    <t>Zena</t>
  </si>
  <si>
    <t>241706-001</t>
  </si>
  <si>
    <t>Micah Chaise - Oland Linen</t>
  </si>
  <si>
    <t>Oland Linen</t>
  </si>
  <si>
    <t>100% Polypropylene</t>
  </si>
  <si>
    <t>The extra-wide, media-style chaise blends spring construction and PFAS chemical-free performance linen, making it a durable piece to add to any living room setup. Three feather fiber toss cushions complete a comfortable, polished form. Performance fabrics are specially created to withstand spills, stains, high traffic and wear, ensuring long-term comfort and unmatched durability.</t>
  </si>
  <si>
    <t>https://dd3ka9h4chfr8.cloudfront.net/image/725136000567/image_no4floslmt6mj624prv62glo5k/-S150x150-FJPG/241706-001_PRM_1.jpg</t>
  </si>
  <si>
    <t>https://dd3ka9h4chfr8.cloudfront.net/image/725136000567/image_6tboldn2tl5k74mk2b5ses0r3p/-FJPG/241706-001_FRT_1.jpg</t>
  </si>
  <si>
    <t>https://dd3ka9h4chfr8.cloudfront.net/image/725136000567/image_no4floslmt6mj624prv62glo5k/-FJPG/241706-001_PRM_1.jpg</t>
  </si>
  <si>
    <t>https://dd3ka9h4chfr8.cloudfront.net/image/725136000567/image_u6egg893t90uveb4fn2kggl85l/-FJPG/241706-001_SID_1.jpg</t>
  </si>
  <si>
    <t>https://dd3ka9h4chfr8.cloudfront.net/image/725136000567/image_qsont87g8l3dv1is1r6ecmnu47/-FJPG/241706-001_DET_2.jpg</t>
  </si>
  <si>
    <t>https://dd3ka9h4chfr8.cloudfront.net/image/725136000567/image_oimnps1vkh2v3b2igq91gunt5o/-FJPG/241706-001_BCK_1.jpg</t>
  </si>
  <si>
    <t>https://dd3ka9h4chfr8.cloudfront.net/image/725136000567/image_t12pemiard2058suutfckis451/-FJPG/241706-001_DET_1.jpg</t>
  </si>
  <si>
    <t>https://dd3ka9h4chfr8.cloudfront.net/image/725136000567/image_di7q6nuaip29923g0qmma2co08/-FJPG/241706-001_DET_3.jpg</t>
  </si>
  <si>
    <t>https://dd3ka9h4chfr8.cloudfront.net/image/725136000567/image_ql50k2r3ll5eb12rab5jii2439/-FJPG/241706-001_TOP_1.jpg</t>
  </si>
  <si>
    <t>https://dd3ka9h4chfr8.cloudfront.net/image/725136000567/image_q2ub3g8mj12f53c01ro254c873/-FJPG/241706-001_DET_4.jpg</t>
  </si>
  <si>
    <t>https://dd3ka9h4chfr8.cloudfront.net/image/725136000567/image_m6n316tkhd7ib1ddlgv6puq153/-FJPG/241706-001_DET_5.jpg</t>
  </si>
  <si>
    <t>https://dd3ka9h4chfr8.cloudfront.net/image/725136000567/image_ea2q7v5crh15b3a7ah1g2pd166/-FJPG/241706-001_DET_6.jpg</t>
  </si>
  <si>
    <t>https://dd3ka9h4chfr8.cloudfront.net/image/725136000567/image_55e5ok8a3l5tt49lupqtkscp6g/-FJPG/241706-001_ESS.tif</t>
  </si>
  <si>
    <t>Micah</t>
  </si>
  <si>
    <t>37.25"</t>
  </si>
  <si>
    <t>241763-001</t>
  </si>
  <si>
    <t>Elle Media Console - Tawny Oak</t>
  </si>
  <si>
    <t>A clean-styled media console made from warm, grain-rich oak. Six doors feature subtle finger grooves for easy open. Gentle curves soften up the look, while a floating design keeps things feeling light and fresh. Inside, generous shelving awaits storage of media and more.</t>
  </si>
  <si>
    <t>https://dd3ka9h4chfr8.cloudfront.net/image/725136000567/image_dv1rdjid2d5t9161cqnhvhai0k/-S150x150-FJPG/241763-001_PRM_1.jpg</t>
  </si>
  <si>
    <t>https://dd3ka9h4chfr8.cloudfront.net/image/725136000567/image_6es2k8njph2c78864k3g3kkm72/-FJPG/241763-001_FRT_1.jpg</t>
  </si>
  <si>
    <t>https://dd3ka9h4chfr8.cloudfront.net/image/725136000567/image_dv1rdjid2d5t9161cqnhvhai0k/-FJPG/241763-001_PRM_1.jpg</t>
  </si>
  <si>
    <t>https://dd3ka9h4chfr8.cloudfront.net/image/725136000567/image_lvaltb16pp6qlanljqjji1ar04/-FJPG/241763-001_SID_1.jpg</t>
  </si>
  <si>
    <t>https://dd3ka9h4chfr8.cloudfront.net/image/725136000567/image_lduafhori129fell40givn1n7n/-FJPG/241763-001_ESS.tif</t>
  </si>
  <si>
    <t>https://dd3ka9h4chfr8.cloudfront.net/image/725136000567/image_b0135itrp10mt7300u59vc843g/-FJPG/241763-001_DET_2.jpg</t>
  </si>
  <si>
    <t>https://dd3ka9h4chfr8.cloudfront.net/image/725136000567/image_15nti9r8i95k112ff5c4h9jj27/-FJPG/241763-001_BCK_1.jpg</t>
  </si>
  <si>
    <t>https://dd3ka9h4chfr8.cloudfront.net/image/725136000567/image_hhusegvnk9603e15qk3pcq690a/-FJPG/241763-001_DET_1.jpg</t>
  </si>
  <si>
    <t>https://dd3ka9h4chfr8.cloudfront.net/image/725136000567/image_ov2qc7dcbl4g7epgagh8drul32/-FJPG/241763-001_DET_3.jpg</t>
  </si>
  <si>
    <t>https://dd3ka9h4chfr8.cloudfront.net/image/725136000567/image_406ae4kj59363ff1koa71b4p19/-FJPG/241763-001_OPN_1.jpg</t>
  </si>
  <si>
    <t>https://dd3ka9h4chfr8.cloudfront.net/image/725136000567/image_joerl6ke5d1hn8mvrkd5eilg2q/-FJPG/241763-001_TOP_1.jpg</t>
  </si>
  <si>
    <t>https://dd3ka9h4chfr8.cloudfront.net/image/725136000567/image_kkng3ga5nt6npd09065gaa4i05/-FJPG/241763-001_DET_4.jpg</t>
  </si>
  <si>
    <t>https://dd3ka9h4chfr8.cloudfront.net/image/725136000567/image_d4m46obdh15np6adcm8d5bmp6s/-FJPG/241763-001_DET_5.jpg</t>
  </si>
  <si>
    <t>https://dd3ka9h4chfr8.cloudfront.net/image/725136000567/image_d84r2komsp1kf7nio470trhm2n/-FJPG/241763-001_DET_6.jpg</t>
  </si>
  <si>
    <t>https://dd3ka9h4chfr8.cloudfront.net/image/725136000567/image_2i3ohui7tp5nd1v6gj7qogch4q/-FJPG/241763-001_DET_7.jpg</t>
  </si>
  <si>
    <t>https://dd3ka9h4chfr8.cloudfront.net/image/725136000567/image_e69cvrbsad0l31htqucagbk15j/-FJPG/241763-001_DET_8.jpg</t>
  </si>
  <si>
    <t>https://dd3ka9h4chfr8.cloudfront.net/image/725136000567/image_a6s4069r993c98a2nc66955m1p/-FJPG/241763-001_DET_9.tif</t>
  </si>
  <si>
    <t>Elle</t>
  </si>
  <si>
    <t>241794-001</t>
  </si>
  <si>
    <t>Wylie Desk - Rustic Grey Veneer</t>
  </si>
  <si>
    <t>A minimalist frame on this large-scale desk lets the natural character of cracked oak take center stage. Designed with A-frame legs with exposed wood dowel joinery.</t>
  </si>
  <si>
    <t>https://dd3ka9h4chfr8.cloudfront.net/image/725136000567/image_njv1k0chb10sn7ssoen27dg049/-S150x150-FJPG/241794-001_PRM_1.jpg</t>
  </si>
  <si>
    <t>https://dd3ka9h4chfr8.cloudfront.net/image/725136000567/image_53vholga7p0k37vma9u63i742t/-FJPG/241794-001_FRT_1.jpg</t>
  </si>
  <si>
    <t>https://dd3ka9h4chfr8.cloudfront.net/image/725136000567/image_njv1k0chb10sn7ssoen27dg049/-FJPG/241794-001_PRM_1.jpg</t>
  </si>
  <si>
    <t>https://dd3ka9h4chfr8.cloudfront.net/image/725136000567/image_jugp0rv9dl3m1c4jk2juiv4b3v/-FJPG/241794-001_SID_1.jpg</t>
  </si>
  <si>
    <t>https://dd3ka9h4chfr8.cloudfront.net/image/725136000567/image_2luv1btft12g5cjq2i9o61u35l/-FJPG/241794-001_DET_2.jpg</t>
  </si>
  <si>
    <t>https://dd3ka9h4chfr8.cloudfront.net/image/725136000567/image_4fne7u5ndh6d9djdumpe6blr2m/-FJPG/241794-001_BCK_1.jpg</t>
  </si>
  <si>
    <t>https://dd3ka9h4chfr8.cloudfront.net/image/725136000567/image_59pim3546h1off5c9eub0v3i12/-FJPG/241794-001_DET_1.jpg</t>
  </si>
  <si>
    <t>https://dd3ka9h4chfr8.cloudfront.net/image/725136000567/image_hubrddgrm97vj0msmki2kg3064/-FJPG/241794-001_DET_3.jpg</t>
  </si>
  <si>
    <t>https://dd3ka9h4chfr8.cloudfront.net/image/725136000567/image_sv28r67ogl3b12os9f1aclu22p/-FJPG/241794-001_DET_4.jpg</t>
  </si>
  <si>
    <t>https://dd3ka9h4chfr8.cloudfront.net/image/725136000567/image_amfe0b4as113jb1ktgdrh55530/-FJPG/241794-001_DET_5.jpg</t>
  </si>
  <si>
    <t>https://dd3ka9h4chfr8.cloudfront.net/image/725136000567/image_dj9knfvhqd58v69cr6rqif1q53/-FJPG/241794-001_DET_6.jpg</t>
  </si>
  <si>
    <t>https://dd3ka9h4chfr8.cloudfront.net/image/725136000567/image_55s2drni2d16bfklkbuj70l760/-FJPG/241794-001_DET_7.jpg</t>
  </si>
  <si>
    <t>https://dd3ka9h4chfr8.cloudfront.net/image/725136000567/image_101hao22rt6c5frpvo8r8ih10d/-FJPG/241794-001_DET_8.jpg</t>
  </si>
  <si>
    <t>https://dd3ka9h4chfr8.cloudfront.net/image/725136000567/image_ri8sjgmbrt54lf7s8rrcdol30u/-FJPG/241794-001_DET_9.jpg</t>
  </si>
  <si>
    <t>https://dd3ka9h4chfr8.cloudfront.net/image/725136000567/image_a2lhgrh2id5ud0072mmmms5811/-FJPG/241794-001_DET_10.jpg</t>
  </si>
  <si>
    <t>https://dd3ka9h4chfr8.cloudfront.net/image/725136000567/image_k4iccf30ml18dak21hml9q511s/-FJPG/FHMPRJ-010_SCENE-08.tif</t>
  </si>
  <si>
    <t>Wylie</t>
  </si>
  <si>
    <t>28.43"</t>
  </si>
  <si>
    <t>241851-002</t>
  </si>
  <si>
    <t>Olia Chair - Palermo Cigar</t>
  </si>
  <si>
    <t>Warm Nettlewood</t>
  </si>
  <si>
    <t>A pared-down frame gets a style upgrade with vintage-inspired wrapped arms. The chair's seat and back cushion appear to blend seamlessly into the arm rests for a comfortable, sleek take on seating. Upholstered in a thick-cut leather with natural graining throughout.</t>
  </si>
  <si>
    <t>https://dd3ka9h4chfr8.cloudfront.net/image/725136000567/image_u2ao5mga097rt10i7f8tvt9d6e/-S150x150-FJPG/241851-002_PRM_1.JPG</t>
  </si>
  <si>
    <t>https://dd3ka9h4chfr8.cloudfront.net/image/725136000567/image_5p454s6qr53ed0s3v08ao26h2o/-FJPG/241851-002_FRT_1.JPG</t>
  </si>
  <si>
    <t>https://dd3ka9h4chfr8.cloudfront.net/image/725136000567/image_u2ao5mga097rt10i7f8tvt9d6e/-FJPG/241851-002_PRM_1.JPG</t>
  </si>
  <si>
    <t>https://dd3ka9h4chfr8.cloudfront.net/image/725136000567/image_b9csm8ofr90spb69mkd63vtk0q/-FJPG/241851-002_SID_1.JPG</t>
  </si>
  <si>
    <t>https://dd3ka9h4chfr8.cloudfront.net/image/725136000567/image_lgtrb9o0h57btfspvilr5ame76/-FJPG/241851-002_ESS.tif</t>
  </si>
  <si>
    <t>https://dd3ka9h4chfr8.cloudfront.net/image/725136000567/image_tocij0qct147b5ee8kj0ggu63f/-FJPG/241851-002_DET_2.JPG</t>
  </si>
  <si>
    <t>https://dd3ka9h4chfr8.cloudfront.net/image/725136000567/image_vg556ijqm54in6rih71k41ek2u/-FJPG/241851-002_BCK_1.JPG</t>
  </si>
  <si>
    <t>https://dd3ka9h4chfr8.cloudfront.net/image/725136000567/image_u303gh9ta965hf8olc9caujv7k/-FJPG/241851-002_DET_1.JPG</t>
  </si>
  <si>
    <t>https://dd3ka9h4chfr8.cloudfront.net/image/725136000567/image_knig6mm5c56eh37bi2m2e8dp3t/-FJPG/241851-002_DET_3.JPG</t>
  </si>
  <si>
    <t>https://dd3ka9h4chfr8.cloudfront.net/image/725136000567/image_irden04cjl6f3av0kisop0u67k/-FJPG/241851-002_DET_4.JPG</t>
  </si>
  <si>
    <t>https://dd3ka9h4chfr8.cloudfront.net/image/725136000567/image_rmpesvbd8524b4ag3s3v7mo11d/-FJPG/241851-002_DET_5.JPG</t>
  </si>
  <si>
    <t>Olia</t>
  </si>
  <si>
    <t>241886-002</t>
  </si>
  <si>
    <t>Huxley Dining Table - Rubbed Light Oak Veneer</t>
  </si>
  <si>
    <t>https://dd3ka9h4chfr8.cloudfront.net/image/725136000567/image_q5878ggqr537h749qrsftlc13c/-S150x150-FJPG/241886-002_PRM_1.jpg</t>
  </si>
  <si>
    <t>https://dd3ka9h4chfr8.cloudfront.net/image/725136000567/image_lkae1v11f54l95m0dppa76717r/-FJPG/241886-002_FRT_1.jpg</t>
  </si>
  <si>
    <t>https://dd3ka9h4chfr8.cloudfront.net/image/725136000567/image_q5878ggqr537h749qrsftlc13c/-FJPG/241886-002_PRM_1.jpg</t>
  </si>
  <si>
    <t>https://dd3ka9h4chfr8.cloudfront.net/image/725136000567/image_h8th1u9n391p1713t0enctd848/-FJPG/241886-002_SID_1.jpg</t>
  </si>
  <si>
    <t>https://dd3ka9h4chfr8.cloudfront.net/image/725136000567/image_b8pimpqkgh61j4a14vdgv8f642/-FJPG/241886-002_DET_2.jpg</t>
  </si>
  <si>
    <t>https://dd3ka9h4chfr8.cloudfront.net/image/725136000567/image_7sft4451n91ft1he8mjc3i556p/-FJPG/241886-002_DET_1.jpg</t>
  </si>
  <si>
    <t>https://dd3ka9h4chfr8.cloudfront.net/image/725136000567/image_pefg75g3jl15p7t5bls652d05i/-FJPG/241886-002_DET_3.jpg</t>
  </si>
  <si>
    <t>https://dd3ka9h4chfr8.cloudfront.net/image/725136000567/image_3ulg0ibngp0397kd0nue1ojb2v/-FJPG/241886-002_TOP_1.jpg</t>
  </si>
  <si>
    <t>https://dd3ka9h4chfr8.cloudfront.net/image/725136000567/image_k5r5pd77j12qla5nlfrted645s/-FJPG/241886-002_DET_4.jpg</t>
  </si>
  <si>
    <t>https://dd3ka9h4chfr8.cloudfront.net/image/725136000567/image_3r2nrg7u7927h1tg55asf3k04n/-FJPG/241886-002_DET_5.jpg</t>
  </si>
  <si>
    <t>Table Base</t>
  </si>
  <si>
    <t>Tabletop</t>
  </si>
  <si>
    <t>38.98"</t>
  </si>
  <si>
    <t>29.33"</t>
  </si>
  <si>
    <t>242088-001</t>
  </si>
  <si>
    <t>Mercantile Shop Store Cabinet - Aged Brown</t>
  </si>
  <si>
    <t>Brown Pine Veneer</t>
  </si>
  <si>
    <t>By the makers at Van Thiel, known for their antique-inspired pieces and hand-applied finishes. This solid pine bookcase features 12 cubbies for displaying books, favorite treasures and more. A multilayered hand-applied finish throughout gives it the look of a found piece.</t>
  </si>
  <si>
    <t>https://dd3ka9h4chfr8.cloudfront.net/image/725136000567/image_iqguagd4pd0kl763v0spbe4r1t/-S150x150-FJPG/242088-001_PRM_1.jpg</t>
  </si>
  <si>
    <t>https://dd3ka9h4chfr8.cloudfront.net/image/725136000567/image_6lqfh4orgp39t2avferc2ipp5h/-FJPG/242088-001_FRT_1.jpg</t>
  </si>
  <si>
    <t>https://dd3ka9h4chfr8.cloudfront.net/image/725136000567/image_iqguagd4pd0kl763v0spbe4r1t/-FJPG/242088-001_PRM_1.jpg</t>
  </si>
  <si>
    <t>https://dd3ka9h4chfr8.cloudfront.net/image/725136000567/image_2nu702hr8p265btc4961a1nn5t/-FJPG/242088-001_SID_1.jpg</t>
  </si>
  <si>
    <t>https://dd3ka9h4chfr8.cloudfront.net/image/725136000567/image_l3foklio0d0fr84sp1fcfegg6o/-FJPG/242088-001_ESS_1.tif</t>
  </si>
  <si>
    <t>https://dd3ka9h4chfr8.cloudfront.net/image/725136000567/image_qj5m7j287p02n4og4muu487e2p/-FJPG/242088-001_DET_2.jpg</t>
  </si>
  <si>
    <t>https://dd3ka9h4chfr8.cloudfront.net/image/725136000567/image_1ui40db1bh7ubfjhmqm9fkn40g/-FJPG/242088-001_BCK_1.jpg</t>
  </si>
  <si>
    <t>https://dd3ka9h4chfr8.cloudfront.net/image/725136000567/image_qj5tudtpt56o7a514sjsrl266q/-FJPG/242088-001_DET_1.jpg</t>
  </si>
  <si>
    <t>https://dd3ka9h4chfr8.cloudfront.net/image/725136000567/image_fgv0ejp4d9009epgjain8ivu1g/-FJPG/242088-001_DET_3.jpg</t>
  </si>
  <si>
    <t>https://dd3ka9h4chfr8.cloudfront.net/image/725136000567/image_vl74leggnh7jfcbj1onq5ncp4u/-FJPG/242088-001_TOP_1.jpg</t>
  </si>
  <si>
    <t>https://dd3ka9h4chfr8.cloudfront.net/image/725136000567/image_o5kg422nul0hl37tfua5899j24/-FJPG/242088-001_DET_4.jpg</t>
  </si>
  <si>
    <t>https://dd3ka9h4chfr8.cloudfront.net/image/725136000567/image_hg0rnqs4954rj674pjgqifcj4q/-FJPG/242088-001_DET_5.jpg</t>
  </si>
  <si>
    <t>https://dd3ka9h4chfr8.cloudfront.net/image/725136000567/image_qh0ok1ifq103v5qc2vkrj97c60/-FJPG/242088-001_DET_9.tif</t>
  </si>
  <si>
    <t>https://dd3ka9h4chfr8.cloudfront.net/image/725136000567/image_qch9d21e7t3cj63id4spjach2a/-FJPG/242088-001_DET_10.tif</t>
  </si>
  <si>
    <t>Mercantile Shop Store</t>
  </si>
  <si>
    <t>11.93"</t>
  </si>
  <si>
    <t>242112-001</t>
  </si>
  <si>
    <t>Marcia Dining Table 120" - Natural Reclaimed French Oak</t>
  </si>
  <si>
    <t>Natural Reclaimed French Oak</t>
  </si>
  <si>
    <t>Designed by Thomas Bina and Ronald Sasson, a design partnership blending both modern minimalist and Brazilian influences. Crafted from natural reclaimed French oak with overstated joint details. Rounded edges bring a soft, playful feel to this grand-scale piece. Seats 12.</t>
  </si>
  <si>
    <t>https://dd3ka9h4chfr8.cloudfront.net/image/725136000567/image_r3inter90l22t3nmbfsd8njl2q/-S150x150-FJPG/242112-001_PRM_1.tif</t>
  </si>
  <si>
    <t>https://dd3ka9h4chfr8.cloudfront.net/image/725136000567/image_v17uhe94194jjbojujjqoug72j/-FJPG/242112-001_FRT_1.jpg</t>
  </si>
  <si>
    <t>https://dd3ka9h4chfr8.cloudfront.net/image/725136000567/image_e57kuogtk575v6t4irj1pmtl01/-FJPG/242112-001_FRT_1.tif</t>
  </si>
  <si>
    <t>https://dd3ka9h4chfr8.cloudfront.net/image/725136000567/image_r3inter90l22t3nmbfsd8njl2q/-FJPG/242112-001_PRM_1.tif</t>
  </si>
  <si>
    <t>https://dd3ka9h4chfr8.cloudfront.net/image/725136000567/image_nqdrmm05bl7mn5qmaepqpp7q4j/-FJPG/242112-001_PRM_1.jpg</t>
  </si>
  <si>
    <t>https://dd3ka9h4chfr8.cloudfront.net/image/725136000567/image_86sp094tu1785cro5162tjl63f/-FJPG/242112-001_SID_1.tif</t>
  </si>
  <si>
    <t>https://dd3ka9h4chfr8.cloudfront.net/image/725136000567/image_8fbtknv1757ub02skiv7l87t2r/-FJPG/242112-001_SID_1.jpg</t>
  </si>
  <si>
    <t>https://dd3ka9h4chfr8.cloudfront.net/image/725136000567/image_7nj0unobkd3g5eh87eu2c71638/-FJPG/242112-001_ESS_1.tif</t>
  </si>
  <si>
    <t>https://dd3ka9h4chfr8.cloudfront.net/image/725136000567/image_8acgecdl9d0gffjtfsd19fmr5b/-FJPG/242112-001_DET_2.jpg</t>
  </si>
  <si>
    <t>https://dd3ka9h4chfr8.cloudfront.net/image/725136000567/image_oqnh51u1kh37ff42m7h7th0v32/-FJPG/242112-001_BCK_1.tif</t>
  </si>
  <si>
    <t>https://dd3ka9h4chfr8.cloudfront.net/image/725136000567/image_igia6ci5c54mb19r57nmgr2r6n/-FJPG/242112-001_BCK_1.jpg</t>
  </si>
  <si>
    <t>https://dd3ka9h4chfr8.cloudfront.net/image/725136000567/image_ndosc4opj939d40uph0g9jfm5v/-FJPG/242112-001_DET_1.jpg</t>
  </si>
  <si>
    <t>https://dd3ka9h4chfr8.cloudfront.net/image/725136000567/image_aalebl9ks52cp4fhh0fke0eh4r/-FJPG/242112-001_DET_3.jpg</t>
  </si>
  <si>
    <t>https://dd3ka9h4chfr8.cloudfront.net/image/725136000567/image_s9m39ig9pd3p7d73sulc5cjh3p/-FJPG/242112-001_DET_4.jpg</t>
  </si>
  <si>
    <t>https://dd3ka9h4chfr8.cloudfront.net/image/725136000567/image_s9kblkobi10fr0mbuv4q3k5p7q/-FJPG/242112-001_DET_5.jpg</t>
  </si>
  <si>
    <t>https://dd3ka9h4chfr8.cloudfront.net/image/725136000567/image_3ck76julml1nd0nc0eqjphee5v/-FJPG/242112-001_DET_6.jpg</t>
  </si>
  <si>
    <t>https://dd3ka9h4chfr8.cloudfront.net/image/725136000567/image_5qcj7117sd7an4spnej6tq9g7r/-FJPG/242112-001_DET_9.tif</t>
  </si>
  <si>
    <t>https://dd3ka9h4chfr8.cloudfront.net/image/725136000567/image_3h71vf1jvt2dda1vl6vsbrm479/-FJPG/FHMPRJ-008_SCENE_11.tif</t>
  </si>
  <si>
    <t>Marcia</t>
  </si>
  <si>
    <t>24.33"</t>
  </si>
  <si>
    <t>35.83"</t>
  </si>
  <si>
    <t>106.61"</t>
  </si>
  <si>
    <t>30.39"</t>
  </si>
  <si>
    <t>7.80"</t>
  </si>
  <si>
    <t>1.73"</t>
  </si>
  <si>
    <t>26.02"</t>
  </si>
  <si>
    <t>242115-001</t>
  </si>
  <si>
    <t>Samena Chair - Nubuck Nude</t>
  </si>
  <si>
    <t>Nubuck Nude</t>
  </si>
  <si>
    <t>Dark Oak</t>
  </si>
  <si>
    <t>Nubuck Cigar</t>
  </si>
  <si>
    <t>A cozy spot for lounging and curling up with a good book. This statement-making chair features large overflowing cushioning that wraps around the arms and back. Designed with S spring construction and a solid oak frame. Upholstered in a smooth sueded leather with contrasting sling seating strap beneath.</t>
  </si>
  <si>
    <t>https://dd3ka9h4chfr8.cloudfront.net/image/725136000567/image_5t2t9rqivp49h4c9vbfjb73r3b/-S150x150-FJPG/242115-001_PRM_1.jpg</t>
  </si>
  <si>
    <t>https://dd3ka9h4chfr8.cloudfront.net/image/725136000567/image_reim3ahugt5ll97l7n88nilo2d/-FJPG/242115-001_FRT_1.jpg</t>
  </si>
  <si>
    <t>https://dd3ka9h4chfr8.cloudfront.net/image/725136000567/image_5t2t9rqivp49h4c9vbfjb73r3b/-FJPG/242115-001_PRM_1.jpg</t>
  </si>
  <si>
    <t>https://dd3ka9h4chfr8.cloudfront.net/image/725136000567/image_drkec1324t25fbf55hjk2a565b/-FJPG/242115-001_SID_1.jpg</t>
  </si>
  <si>
    <t>https://dd3ka9h4chfr8.cloudfront.net/image/725136000567/image_s09ocrclap5tnbn2mvhvmr3b0t/-FJPG/242115-001_ESS_1.tif</t>
  </si>
  <si>
    <t>https://dd3ka9h4chfr8.cloudfront.net/image/725136000567/image_snltvfl9s511ldgdghrog3b463/-FJPG/242115-001_DET_2.jpg</t>
  </si>
  <si>
    <t>https://dd3ka9h4chfr8.cloudfront.net/image/725136000567/image_rvh64d572l11tbvpr65b9o6a2h/-FJPG/242115-001_BCK_1.jpg</t>
  </si>
  <si>
    <t>https://dd3ka9h4chfr8.cloudfront.net/image/725136000567/image_c35ajo342l1530s09snupekr6j/-FJPG/242115-001_DET_1.jpg</t>
  </si>
  <si>
    <t>https://dd3ka9h4chfr8.cloudfront.net/image/725136000567/image_3k6p6sdjr91j12hp3u5betki3o/-FJPG/242115-001_DET_3.jpg</t>
  </si>
  <si>
    <t>https://dd3ka9h4chfr8.cloudfront.net/image/725136000567/image_lg3qdge4rp4tjdkikbvjfl7u56/-FJPG/242115-001_DET_4.jpg</t>
  </si>
  <si>
    <t>https://dd3ka9h4chfr8.cloudfront.net/image/725136000567/image_ouaq4jl5od1kt989do0em37f3l/-FJPG/242115-001_DET_5.jpg</t>
  </si>
  <si>
    <t>https://dd3ka9h4chfr8.cloudfront.net/image/725136000567/image_hsuig7dasd543cbuft623h8e5b/-FJPG/242115-001_DET_6.jpg</t>
  </si>
  <si>
    <t>https://dd3ka9h4chfr8.cloudfront.net/image/725136000567/image_1dc41v4cfp5c1d2ucesrkpsq2a/-FJPG/242115-001_DET_9.tif</t>
  </si>
  <si>
    <t>https://dd3ka9h4chfr8.cloudfront.net/image/725136000567/image_gos37ucjrt0dj6sa9acg1ec80f/-FJPG/FHMPRJ-008_SCENE_10.tif</t>
  </si>
  <si>
    <t>Samena</t>
  </si>
  <si>
    <t>31.61"</t>
  </si>
  <si>
    <t>22.24"</t>
  </si>
  <si>
    <t>242130-003</t>
  </si>
  <si>
    <t>Leandro Coffee Table - Natural Reclaimed French Oak</t>
  </si>
  <si>
    <t>Natural French Oak Solid</t>
  </si>
  <si>
    <t>Reclaimed French oak shapes a softened square to make a unique, organic-looking statement. Designed in partnership with longtime Four Hands collaborator Thomas Bina and Brazilian designer Ronald Sasson.</t>
  </si>
  <si>
    <t>https://dd3ka9h4chfr8.cloudfront.net/image/725136000567/image_290d7rsn6t4kn5rgajjfc62k3c/-S150x150-FJPG/242130-003_PRM_1.jpg</t>
  </si>
  <si>
    <t>https://dd3ka9h4chfr8.cloudfront.net/image/725136000567/image_uc85o1i2ad1qjenvv1b5gmt354/-FJPG/242130-003_FRT_1.jpg</t>
  </si>
  <si>
    <t>https://dd3ka9h4chfr8.cloudfront.net/image/725136000567/image_290d7rsn6t4kn5rgajjfc62k3c/-FJPG/242130-003_PRM_1.jpg</t>
  </si>
  <si>
    <t>https://dd3ka9h4chfr8.cloudfront.net/image/725136000567/image_5lkmvv13i11vd52nr1hdfdoq6c/-FJPG/242130-003_SID_1.jpg</t>
  </si>
  <si>
    <t>https://dd3ka9h4chfr8.cloudfront.net/image/725136000567/image_v3pv9k698l6r91btukoh449401/-FJPG/242130-003_ESS.tif</t>
  </si>
  <si>
    <t>https://dd3ka9h4chfr8.cloudfront.net/image/725136000567/image_7smg5u5eth2kj30p5lu0fba87p/-FJPG/242130-003_DET_2.jpg</t>
  </si>
  <si>
    <t>https://dd3ka9h4chfr8.cloudfront.net/image/725136000567/image_aimlqp1n3h559dlibkht96ok0h/-FJPG/242130-003_DET_1.jpg</t>
  </si>
  <si>
    <t>https://dd3ka9h4chfr8.cloudfront.net/image/725136000567/image_1egtojsgi50v90223p6f2bll0c/-FJPG/242130-003_DET_3.jpg</t>
  </si>
  <si>
    <t>https://dd3ka9h4chfr8.cloudfront.net/image/725136000567/image_esu0bd5d9l631bjmj27abpp120/-FJPG/242130-003_DET_4.jpg</t>
  </si>
  <si>
    <t>https://dd3ka9h4chfr8.cloudfront.net/image/725136000567/image_fhud94jfup3gf0s0qsj8mcqj6r/-FJPG/242130-003_DET_5.jpg</t>
  </si>
  <si>
    <t>https://dd3ka9h4chfr8.cloudfront.net/image/725136000567/image_rm3sbge2kp3jnaa6ss8p57kh60/-FJPG/242130-003_DET_6.jpg</t>
  </si>
  <si>
    <t>https://dd3ka9h4chfr8.cloudfront.net/image/725136000567/image_os84mr541t4uhe28ic7kc77b0b/-FJPG/242130-003_DET_9.tif</t>
  </si>
  <si>
    <t>https://dd3ka9h4chfr8.cloudfront.net/image/725136000567/image_b53i95msnp373av1ek4vr4fb15/-FJPG/FHMPRJ016_SCENE-3.tif</t>
  </si>
  <si>
    <t>Tongue and Groove</t>
  </si>
  <si>
    <t>Leandro</t>
  </si>
  <si>
    <t>53.86"</t>
  </si>
  <si>
    <t>242135-001</t>
  </si>
  <si>
    <t>Matheus Coffee Table - Natural Reclaimed French Oak</t>
  </si>
  <si>
    <t>Designed in partnership with longtime Four Hands collaborator Thomas Bina and Brazilian designer Ronald Sasson. A rounded coffee table made from reclaimed French oak flaunts beautiful natural graining. Lower layer lightens the whole look, while brining the option for bonus storage or display.</t>
  </si>
  <si>
    <t>https://dd3ka9h4chfr8.cloudfront.net/image/725136000567/image_op94q9hpkd03vduija6ktoii6o/-S150x150-FJPG/242135-001_PRM_1.jpg</t>
  </si>
  <si>
    <t>https://dd3ka9h4chfr8.cloudfront.net/image/725136000567/image_2m98g5jt5t0f30efte92cujj4f/-FJPG/242135-001_FRT_1.jpg</t>
  </si>
  <si>
    <t>https://dd3ka9h4chfr8.cloudfront.net/image/725136000567/image_op94q9hpkd03vduija6ktoii6o/-FJPG/242135-001_PRM_1.jpg</t>
  </si>
  <si>
    <t>https://dd3ka9h4chfr8.cloudfront.net/image/725136000567/image_nl08qkv96h22d05fn60ae51p1c/-FJPG/242135-001_SID_1.jpg</t>
  </si>
  <si>
    <t>https://dd3ka9h4chfr8.cloudfront.net/image/725136000567/image_pcd55033dd5sf3aeeib6a2o05i/-FJPG/242135-001_ESS_1.tif</t>
  </si>
  <si>
    <t>https://dd3ka9h4chfr8.cloudfront.net/image/725136000567/image_bi1gkijg153ud42plc8ut9of23/-FJPG/242135-001_DET_2.jpg</t>
  </si>
  <si>
    <t>https://dd3ka9h4chfr8.cloudfront.net/image/725136000567/image_akjoqe3i2t6cr6hpfeqmkdko2s/-FJPG/242135-001_DET_1.jpg</t>
  </si>
  <si>
    <t>https://dd3ka9h4chfr8.cloudfront.net/image/725136000567/image_s5k4lj030p6hvf41qhnat2u84n/-FJPG/242135-001_DET_3.jpg</t>
  </si>
  <si>
    <t>https://dd3ka9h4chfr8.cloudfront.net/image/725136000567/image_hjss54sqld7dn3jjhck57bo25j/-FJPG/242135-001_DET_4.jpg</t>
  </si>
  <si>
    <t>https://dd3ka9h4chfr8.cloudfront.net/image/725136000567/image_qu9g93anbh1uvf3rjamoh3912q/-FJPG/242135-001_DET_6.jpg</t>
  </si>
  <si>
    <t>https://dd3ka9h4chfr8.cloudfront.net/image/725136000567/image_584fp4equd7pb94c0geuhjkd0p/-FJPG/242135-001_DET_7.jpg</t>
  </si>
  <si>
    <t>https://dd3ka9h4chfr8.cloudfront.net/image/725136000567/image_q26iuo1us53ej8koumuvkiiv7s/-FJPG/FHMPRJ-008_SCENE_1.tif</t>
  </si>
  <si>
    <t>Matheus</t>
  </si>
  <si>
    <t>45.63"</t>
  </si>
  <si>
    <t>39.61"</t>
  </si>
  <si>
    <t>242137-003</t>
  </si>
  <si>
    <t>Matheus End Table - Natural Reclaimed French Oak</t>
  </si>
  <si>
    <t>A rounded end table made from solid reclaimed oak features a cutout for lightness.</t>
  </si>
  <si>
    <t>https://dd3ka9h4chfr8.cloudfront.net/image/725136000567/image_h0iqombubd6238vnnjq5pshc34/-S150x150-FJPG/242137-003_PRM_1.jpg</t>
  </si>
  <si>
    <t>https://dd3ka9h4chfr8.cloudfront.net/image/725136000567/image_4tjptiuejh53h2aq8n48v1dm0q/-FJPG/242137-003_FRT_1.jpg</t>
  </si>
  <si>
    <t>https://dd3ka9h4chfr8.cloudfront.net/image/725136000567/image_h0iqombubd6238vnnjq5pshc34/-FJPG/242137-003_PRM_1.jpg</t>
  </si>
  <si>
    <t>https://dd3ka9h4chfr8.cloudfront.net/image/725136000567/image_7intqpterd48b8uehuileiap4v/-FJPG/242137-003_SID_1.jpg</t>
  </si>
  <si>
    <t>https://dd3ka9h4chfr8.cloudfront.net/image/725136000567/image_lao4cac7j90r17svq3cbp8ph6q/-FJPG/242137-003_DET_2.jpg</t>
  </si>
  <si>
    <t>https://dd3ka9h4chfr8.cloudfront.net/image/725136000567/image_0b6rhm93np5i56bjfg3ptp3m4s/-FJPG/242137-003_DET_1.jpg</t>
  </si>
  <si>
    <t>https://dd3ka9h4chfr8.cloudfront.net/image/725136000567/image_v3g9dt98s10pn6892helonsq7o/-FJPG/242137-003_DET_3.jpg</t>
  </si>
  <si>
    <t>https://dd3ka9h4chfr8.cloudfront.net/image/725136000567/image_vbsivtfb4l6b36ci1p30v4ap71/-FJPG/242137-003_TOP_1.jpg</t>
  </si>
  <si>
    <t>https://dd3ka9h4chfr8.cloudfront.net/image/725136000567/image_j6vmfkppq543p3lbcudj9u714u/-FJPG/242137-003_DET_4.jpg</t>
  </si>
  <si>
    <t>https://dd3ka9h4chfr8.cloudfront.net/image/725136000567/image_h8taqm8an936n3cs49i5q52i2m/-FJPG/242137-003_DET_5.jpg</t>
  </si>
  <si>
    <t>https://dd3ka9h4chfr8.cloudfront.net/image/725136000567/image_6903g9s9gd23l7v97t64lup302/-FJPG/242137-003_DET_6.jpg</t>
  </si>
  <si>
    <t>https://dd3ka9h4chfr8.cloudfront.net/image/725136000567/image_5nh4o89u6d4sbehj6lpqonr960/-FJPG/242137-003_DET_7.jpg</t>
  </si>
  <si>
    <t>21.10"</t>
  </si>
  <si>
    <t>1.14"</t>
  </si>
  <si>
    <t>3.70"</t>
  </si>
  <si>
    <t>242139-001</t>
  </si>
  <si>
    <t>Renan Coffee Table - Dark Espresso Reclaimed French Oak</t>
  </si>
  <si>
    <t>Dark Espresso Reclaimed French Oak</t>
  </si>
  <si>
    <t>Atop a plinth base, a round coffee table of reclaimed French oak is finished in a rich espresso. Designed in partnership with longtime Four Hands collaborator Thomas Bina and Brazilian designer Ronald Sasson.</t>
  </si>
  <si>
    <t>https://dd3ka9h4chfr8.cloudfront.net/image/725136000567/image_ko6jo4uor133tfnsfb5cvags36/-S150x150-FJPG/242139-001_PRM_1.jpg</t>
  </si>
  <si>
    <t>https://dd3ka9h4chfr8.cloudfront.net/image/725136000567/image_918msp5r216rb7qkqufuse6n56/-FJPG/242139-001_FRT_1.jpg</t>
  </si>
  <si>
    <t>https://dd3ka9h4chfr8.cloudfront.net/image/725136000567/image_ko6jo4uor133tfnsfb5cvags36/-FJPG/242139-001_PRM_1.jpg</t>
  </si>
  <si>
    <t>https://dd3ka9h4chfr8.cloudfront.net/image/725136000567/image_oq31mt07cd0upb1jjpgbr5ra2p/-FJPG/242139-001_SID_1.jpg</t>
  </si>
  <si>
    <t>https://dd3ka9h4chfr8.cloudfront.net/image/725136000567/image_rtri18jloh2kb49tajfrhfo40s/-FJPG/242139-001_ESS_1.tif</t>
  </si>
  <si>
    <t>https://dd3ka9h4chfr8.cloudfront.net/image/725136000567/image_03femq4olp0al50oqj88sq501j/-FJPG/242139-001_DET_2.jpg</t>
  </si>
  <si>
    <t>https://dd3ka9h4chfr8.cloudfront.net/image/725136000567/image_3mvpvg67mh1k32di9ajb6cdb7i/-FJPG/242139-001_DET_1.jpg</t>
  </si>
  <si>
    <t>https://dd3ka9h4chfr8.cloudfront.net/image/725136000567/image_jum1ko1s055sj0b47cg5ron42h/-FJPG/242139-001_DET_3.jpg</t>
  </si>
  <si>
    <t>https://dd3ka9h4chfr8.cloudfront.net/image/725136000567/image_q2jc9us5k97fddhs99das6ah0j/-FJPG/242139-001_DET_4.jpg</t>
  </si>
  <si>
    <t>https://dd3ka9h4chfr8.cloudfront.net/image/725136000567/image_dt50704bq124hc19cqgivsrf5k/-FJPG/242139-001_DET_9.tif</t>
  </si>
  <si>
    <t>https://dd3ka9h4chfr8.cloudfront.net/image/725136000567/image_bvav7hmq4l6ad9hplumi1q1854/-FJPG/242139-001_DET_10.tif</t>
  </si>
  <si>
    <t>https://dd3ka9h4chfr8.cloudfront.net/image/725136000567/image_edrs312dut51pa3a89sk6dra16/-FJPG/242139-001_DET_11.tif</t>
  </si>
  <si>
    <t>Renan</t>
  </si>
  <si>
    <t>46.89"</t>
  </si>
  <si>
    <t>10.59"</t>
  </si>
  <si>
    <t>242141-001</t>
  </si>
  <si>
    <t>Renan End Table - Natural Reclaimed French Oak</t>
  </si>
  <si>
    <t>Natural French Oak Veneer</t>
  </si>
  <si>
    <t>A round end table of reclaimed French oak is perfectly sized to keep a favorite drink or book within reach. Designed in partnership with longtime Four Hands collaborator Thomas Bina and Brazilian designer Ronald Sasson.</t>
  </si>
  <si>
    <t>https://dd3ka9h4chfr8.cloudfront.net/image/725136000567/image_idubl1aptp6gp557pee7me2l02/-S150x150-FJPG/242141-001_PRM_1.jpg</t>
  </si>
  <si>
    <t>https://dd3ka9h4chfr8.cloudfront.net/image/725136000567/image_qvl4er22ct4al0upe5i2sead09/-FJPG/242141-001_FRT_1.jpg</t>
  </si>
  <si>
    <t>https://dd3ka9h4chfr8.cloudfront.net/image/725136000567/image_idubl1aptp6gp557pee7me2l02/-FJPG/242141-001_PRM_1.jpg</t>
  </si>
  <si>
    <t>https://dd3ka9h4chfr8.cloudfront.net/image/725136000567/image_mk80g721m16a15beo7a5d0a32f/-FJPG/242141-001_SID_1.jpg</t>
  </si>
  <si>
    <t>https://dd3ka9h4chfr8.cloudfront.net/image/725136000567/image_5r0dj0ip0d5m9cf63vv2m03i0l/-FJPG/242141-001_ESS_1.tif</t>
  </si>
  <si>
    <t>https://dd3ka9h4chfr8.cloudfront.net/image/725136000567/image_qknifv6mn92kf7q1djcatnpj2u/-FJPG/242141-001_DET_2.jpg</t>
  </si>
  <si>
    <t>https://dd3ka9h4chfr8.cloudfront.net/image/725136000567/image_ftm7e2mt451bp9jlgtmmd9630a/-FJPG/242141-001_DET_1.jpg</t>
  </si>
  <si>
    <t>https://dd3ka9h4chfr8.cloudfront.net/image/725136000567/image_eucmcto2dh4h1993muereau34c/-FJPG/242141-001_DET_3.jpg</t>
  </si>
  <si>
    <t>https://dd3ka9h4chfr8.cloudfront.net/image/725136000567/image_9h1as7lqp51tn3r67ocf9hfl08/-FJPG/242141-001_DET_4.jpg</t>
  </si>
  <si>
    <t>https://dd3ka9h4chfr8.cloudfront.net/image/725136000567/image_o7tvna9unp6td5ucp7iltgtb5v/-FJPG/242141-001_DET_5.jpg</t>
  </si>
  <si>
    <t>https://dd3ka9h4chfr8.cloudfront.net/image/725136000567/image_gbhgctjnnh50v78vqvtbthb64o/-FJPG/242141-001_DET_6.jpg</t>
  </si>
  <si>
    <t>https://dd3ka9h4chfr8.cloudfront.net/image/725136000567/image_4pe37vmjet0r5fm64id3219e3q/-FJPG/242141-001_DET_7.jpg</t>
  </si>
  <si>
    <t>https://dd3ka9h4chfr8.cloudfront.net/image/725136000567/image_up9juh5rbl3h1ai91a79jpml3k/-FJPG/242141-001_DET_8.jpg</t>
  </si>
  <si>
    <t>18.27"</t>
  </si>
  <si>
    <t>242141-002</t>
  </si>
  <si>
    <t>Renan End Table - Natural Morado Veneer</t>
  </si>
  <si>
    <t>Natural Morado Veneer</t>
  </si>
  <si>
    <t>Morada Veneer</t>
  </si>
  <si>
    <t>A round end table of natural morado is perfectly sized to keep a favorite drink or book within reach. Designed in partnership with longtime Four Hands collaborator Thomas Bina and Brazilian designer Ronald Sasson.</t>
  </si>
  <si>
    <t>https://dd3ka9h4chfr8.cloudfront.net/image/725136000567/image_gnuelo799d52b96mh7d7mgtf6g/-S150x150-FJPG/242141-002_PRM_1.jpg</t>
  </si>
  <si>
    <t>https://dd3ka9h4chfr8.cloudfront.net/image/725136000567/image_97jgor66i91svbs1m1kj1vq238/-FJPG/242141-002_FRT_1.jpg</t>
  </si>
  <si>
    <t>https://dd3ka9h4chfr8.cloudfront.net/image/725136000567/image_gnuelo799d52b96mh7d7mgtf6g/-FJPG/242141-002_PRM_1.jpg</t>
  </si>
  <si>
    <t>https://dd3ka9h4chfr8.cloudfront.net/image/725136000567/image_de4vqsjc2t4j7412cd86mjkl7u/-FJPG/242141-002_SID_1.jpg</t>
  </si>
  <si>
    <t>https://dd3ka9h4chfr8.cloudfront.net/image/725136000567/image_6pn6sj552t0bp33lri49d0975i/-FJPG/242141-002_ESS_1.tif</t>
  </si>
  <si>
    <t>https://dd3ka9h4chfr8.cloudfront.net/image/725136000567/image_i0plhigcmd5c72ccqo3b145e4s/-FJPG/242141-002_DET_2.jpg</t>
  </si>
  <si>
    <t>https://dd3ka9h4chfr8.cloudfront.net/image/725136000567/image_piq86k97gl5st0j7kinnboln7r/-FJPG/242141-002_DET_1.jpg</t>
  </si>
  <si>
    <t>https://dd3ka9h4chfr8.cloudfront.net/image/725136000567/image_dkk6btb3k57jndsjgv579grv5d/-FJPG/242141-002_DET_3.jpg</t>
  </si>
  <si>
    <t>https://dd3ka9h4chfr8.cloudfront.net/image/725136000567/image_g66v6fh3q56cp7ejqkthb6886v/-FJPG/242141-002_DET_4.jpg</t>
  </si>
  <si>
    <t>https://dd3ka9h4chfr8.cloudfront.net/image/725136000567/image_vo6etj0eah4jr6pmgjfe2q4m12/-FJPG/242141-002_DET_5.jpg</t>
  </si>
  <si>
    <t>https://dd3ka9h4chfr8.cloudfront.net/image/725136000567/image_268q4e3iu15f97pieiccdo1d5o/-FJPG/242141-002_DET_9.tif</t>
  </si>
  <si>
    <t>242145-001</t>
  </si>
  <si>
    <t>Marcia Large Coffee Table - Natural Reclaimed French Oak</t>
  </si>
  <si>
    <t>Designed by Thomas Bina and Ronald Sasson, a design partnership blending both modern minimalist and Brazilian influences. Crafted from natural reclaimed French oak with overstated joint details. Rounded edges bring a soft, playful feel to the entire piece.</t>
  </si>
  <si>
    <t>https://dd3ka9h4chfr8.cloudfront.net/image/725136000567/image_uiho2ftgod35l3k3ra8hi19b6g/-S150x150-FJPG/242145-001_PRM_1.jpg</t>
  </si>
  <si>
    <t>https://dd3ka9h4chfr8.cloudfront.net/image/725136000567/image_cvgeejcsm94qb5kc59mgcac150/-FJPG/242145-001_FRT_1.jpg</t>
  </si>
  <si>
    <t>https://dd3ka9h4chfr8.cloudfront.net/image/725136000567/image_uiho2ftgod35l3k3ra8hi19b6g/-FJPG/242145-001_PRM_1.jpg</t>
  </si>
  <si>
    <t>https://dd3ka9h4chfr8.cloudfront.net/image/725136000567/image_118m5k5msd57f6glf80g3jng1t/-FJPG/242145-001_SID_1.jpg</t>
  </si>
  <si>
    <t>https://dd3ka9h4chfr8.cloudfront.net/image/725136000567/image_d435f1rorh00l6ota5ja4nk67d/-FJPG/242145-001_ESS_1.tif</t>
  </si>
  <si>
    <t>https://dd3ka9h4chfr8.cloudfront.net/image/725136000567/image_h2q4u2f8eh7tj3bl3f45251h47/-FJPG/242145-001_DET_2.jpg</t>
  </si>
  <si>
    <t>https://dd3ka9h4chfr8.cloudfront.net/image/725136000567/image_ct2dlmli7h6054hmpsp1b1si5l/-FJPG/242145-001_DET_1.jpg</t>
  </si>
  <si>
    <t>https://dd3ka9h4chfr8.cloudfront.net/image/725136000567/image_1hq3tfe8ll4455nro0ppifr555/-FJPG/242145-001_DET_3.jpg</t>
  </si>
  <si>
    <t>https://dd3ka9h4chfr8.cloudfront.net/image/725136000567/image_k485ugqj4p0a3cm2ooq97als5o/-FJPG/242145-001_DET_4.jpg</t>
  </si>
  <si>
    <t>https://dd3ka9h4chfr8.cloudfront.net/image/725136000567/image_s5ro63hfrl3nfc1926vhkdvo5v/-FJPG/242145-001_DET_5.jpg</t>
  </si>
  <si>
    <t>https://dd3ka9h4chfr8.cloudfront.net/image/725136000567/image_cpr4ocrfih4ch92bc1onjsnj01/-FJPG/242145-001_DET_6.jpg</t>
  </si>
  <si>
    <t>https://dd3ka9h4chfr8.cloudfront.net/image/725136000567/image_f5ntk0uva914n6ecq2jhamtp2o/-FJPG/242145-001_DET_9.tif</t>
  </si>
  <si>
    <t>242147-001</t>
  </si>
  <si>
    <t>Marcia Square Coffee Table - Natural Reclaimed French Oak</t>
  </si>
  <si>
    <t>https://dd3ka9h4chfr8.cloudfront.net/image/725136000567/image_dde3ua0ie124v015hbr4nj217d/-S150x150-FJPG/242147-001_PRM_1.jpg</t>
  </si>
  <si>
    <t>https://dd3ka9h4chfr8.cloudfront.net/image/725136000567/image_shlslrs9vt4ataueed486pjr68/-FJPG/242147-001_FRT_1.jpg</t>
  </si>
  <si>
    <t>https://dd3ka9h4chfr8.cloudfront.net/image/725136000567/image_dde3ua0ie124v015hbr4nj217d/-FJPG/242147-001_PRM_1.jpg</t>
  </si>
  <si>
    <t>https://dd3ka9h4chfr8.cloudfront.net/image/725136000567/image_sb4gpc9qjt0nv9gsuesbnp285e/-FJPG/242147-001_SID_1.jpg</t>
  </si>
  <si>
    <t>https://dd3ka9h4chfr8.cloudfront.net/image/725136000567/image_s3ciraro1h6vf1shnfntp0tu2v/-FJPG/242147-001_ESS_1.tif</t>
  </si>
  <si>
    <t>https://dd3ka9h4chfr8.cloudfront.net/image/725136000567/image_v8a92n0hat72n1rdcecgsu804q/-FJPG/242147-001_DET_2.jpg</t>
  </si>
  <si>
    <t>https://dd3ka9h4chfr8.cloudfront.net/image/725136000567/image_83ujuabd0p2m95jrb8n6dmi46p/-FJPG/242147-001_DET_1.jpg</t>
  </si>
  <si>
    <t>https://dd3ka9h4chfr8.cloudfront.net/image/725136000567/image_bnu3rg65ot4blch8qj8aqn5t5v/-FJPG/242147-001_DET_3.jpg</t>
  </si>
  <si>
    <t>https://dd3ka9h4chfr8.cloudfront.net/image/725136000567/image_5cm8cn72sh6dvbcujt8apqk052/-FJPG/242147-001_DET_4.jpg</t>
  </si>
  <si>
    <t>https://dd3ka9h4chfr8.cloudfront.net/image/725136000567/image_20jtjospmt4jt9f7q99if3fp7v/-FJPG/242147-001_DET_5.jpg</t>
  </si>
  <si>
    <t>https://dd3ka9h4chfr8.cloudfront.net/image/725136000567/image_q7c7un9hjd5nt41u4f1onuho7c/-FJPG/242147-001_DET_6.jpg</t>
  </si>
  <si>
    <t>https://dd3ka9h4chfr8.cloudfront.net/image/725136000567/image_tdhgkcl6k155de3ifim5f3ch7o/-FJPG/242147-001_DET_9.tif</t>
  </si>
  <si>
    <t>9.37"</t>
  </si>
  <si>
    <t>43.11"</t>
  </si>
  <si>
    <t>46.65"</t>
  </si>
  <si>
    <t>2.32"</t>
  </si>
  <si>
    <t>242155-001</t>
  </si>
  <si>
    <t>Marcia Accent Bench - Nubuck Cigar</t>
  </si>
  <si>
    <t>Designed by Thomas Bina and Ronald Sasson, a design partnership blending both modern minimalist and Brazilian influences. Crafted from natural reclaimed French oak with overstated joint details, with a top-grain leather cushion for comfort. Rounded edges bring a soft, playful feel to the entire piece.</t>
  </si>
  <si>
    <t>https://dd3ka9h4chfr8.cloudfront.net/image/725136000567/image_sop9lo2enp1dfcm7m8271cq908/-S150x150-FJPG/242155-001_PRM_1.jpg</t>
  </si>
  <si>
    <t>https://dd3ka9h4chfr8.cloudfront.net/image/725136000567/image_1h84a5auht7b58p1pev6auqb2f/-FJPG/242155-001_FRT_1.jpg</t>
  </si>
  <si>
    <t>https://dd3ka9h4chfr8.cloudfront.net/image/725136000567/image_sop9lo2enp1dfcm7m8271cq908/-FJPG/242155-001_PRM_1.jpg</t>
  </si>
  <si>
    <t>https://dd3ka9h4chfr8.cloudfront.net/image/725136000567/image_26221oq8rh1f9adtbfu7qost7j/-FJPG/242155-001_SID_1.jpg</t>
  </si>
  <si>
    <t>https://dd3ka9h4chfr8.cloudfront.net/image/725136000567/image_cttap4c4gl4ptak7b4c18pcn18/-FJPG/242155-001_ESS_1.tif</t>
  </si>
  <si>
    <t>https://dd3ka9h4chfr8.cloudfront.net/image/725136000567/image_vtcqkd8qgh4lb7v60pnsld5f25/-FJPG/242155-001_DET_2.jpg</t>
  </si>
  <si>
    <t>https://dd3ka9h4chfr8.cloudfront.net/image/725136000567/image_9o47phg2s16vb38riqjpmu6p7n/-FJPG/242155-001_DET_1.jpg</t>
  </si>
  <si>
    <t>https://dd3ka9h4chfr8.cloudfront.net/image/725136000567/image_6p33k31rm12gv5sk97joi9n50c/-FJPG/242155-001_DET_3.jpg</t>
  </si>
  <si>
    <t>https://dd3ka9h4chfr8.cloudfront.net/image/725136000567/image_3jn4h1u6dd47h7suv97kbece67/-FJPG/242155-001_TOP_1.jpg</t>
  </si>
  <si>
    <t>https://dd3ka9h4chfr8.cloudfront.net/image/725136000567/image_vjit4896vd3al1qc035sitvk3f/-FJPG/242155-001_DET_4.jpg</t>
  </si>
  <si>
    <t>https://dd3ka9h4chfr8.cloudfront.net/image/725136000567/image_uf59hh4vo922930fcc4fofeo6r/-FJPG/242155-001_DET_5.jpg</t>
  </si>
  <si>
    <t>https://dd3ka9h4chfr8.cloudfront.net/image/725136000567/image_au257slt152a7d4ovc51lt6016/-FJPG/242155-001_DET_6.jpg</t>
  </si>
  <si>
    <t>https://dd3ka9h4chfr8.cloudfront.net/image/725136000567/image_00af06s7217c79s486tmne1f77/-FJPG/242155-001_DET_9.tif</t>
  </si>
  <si>
    <t>18.46"</t>
  </si>
  <si>
    <t>11.06"</t>
  </si>
  <si>
    <t>86.06"</t>
  </si>
  <si>
    <t>242165-001</t>
  </si>
  <si>
    <t>Lara Bed - Imani Pebble</t>
  </si>
  <si>
    <t>Imani Pebble</t>
  </si>
  <si>
    <t>11% Flax/Linen</t>
  </si>
  <si>
    <t>Designed by Thomas Bina and Ronald Sasson, a design partnership blending both modern minimalist and Brazilian influences. A true statement maker, this grand bed features an extra-wide, overhang headboard crafted of natural reclaimed French oak with subtle curves all around for a softened look. Plinth base is upholstered in a thick poly/flax/linen blend fabric.</t>
  </si>
  <si>
    <t>https://dd3ka9h4chfr8.cloudfront.net/image/725136000567/image_a6lfgor8mp5il268950iq9hq20/-S150x150-FJPG/242165-001_PRM_1.jpg</t>
  </si>
  <si>
    <t>https://dd3ka9h4chfr8.cloudfront.net/image/725136000567/image_0vnpvqmnqp6d3565alap6oti4v/-FJPG/242165-001_FRT_1.jpg</t>
  </si>
  <si>
    <t>https://dd3ka9h4chfr8.cloudfront.net/image/725136000567/image_a6lfgor8mp5il268950iq9hq20/-FJPG/242165-001_PRM_1.jpg</t>
  </si>
  <si>
    <t>https://dd3ka9h4chfr8.cloudfront.net/image/725136000567/image_0pdclpeg0538lcm0a0si8uca73/-FJPG/242165-001_SID_1.jpg</t>
  </si>
  <si>
    <t>https://dd3ka9h4chfr8.cloudfront.net/image/725136000567/image_m3b0h6ju5l0endoo5dp1qt4c1k/-FJPG/242165-001_ESS_1.tif</t>
  </si>
  <si>
    <t>https://dd3ka9h4chfr8.cloudfront.net/image/725136000567/image_t850tkuhd91fh6otm04rsg2d3r/-FJPG/242165-001_DET_2.jpg</t>
  </si>
  <si>
    <t>https://dd3ka9h4chfr8.cloudfront.net/image/725136000567/image_ulhncqhjct1td5mdirmei2e26t/-FJPG/242165-001_BCK_1.jpg</t>
  </si>
  <si>
    <t>https://dd3ka9h4chfr8.cloudfront.net/image/725136000567/image_dgr2r592h13kb03auug3kci50s/-FJPG/242165-001_DET_1.jpg</t>
  </si>
  <si>
    <t>https://dd3ka9h4chfr8.cloudfront.net/image/725136000567/image_4tvgtuala97k786oht5rt78a1r/-FJPG/242165-001_DET_3.jpg</t>
  </si>
  <si>
    <t>https://dd3ka9h4chfr8.cloudfront.net/image/725136000567/image_soaldu3bjh6tfbfshbag7dtl74/-FJPG/242165-001_DET_4.jpg</t>
  </si>
  <si>
    <t>https://dd3ka9h4chfr8.cloudfront.net/image/725136000567/image_75tdmq2bu951794h5c284ean6b/-FJPG/242165-001_DET_5.jpg</t>
  </si>
  <si>
    <t>https://dd3ka9h4chfr8.cloudfront.net/image/725136000567/image_6m8004orjd19p4vetgt7gb9c6s/-FJPG/242165-001_DET_6.jpg</t>
  </si>
  <si>
    <t>https://dd3ka9h4chfr8.cloudfront.net/image/725136000567/image_sbf79c0vfp5cp79l0l8vo17c1t/-FJPG/242165-001_DET_9.tif</t>
  </si>
  <si>
    <t>Fb</t>
  </si>
  <si>
    <t>Lara</t>
  </si>
  <si>
    <t>9.17"</t>
  </si>
  <si>
    <t>77.91"</t>
  </si>
  <si>
    <t>102.13"</t>
  </si>
  <si>
    <t>60.98"</t>
  </si>
  <si>
    <t>89.29"</t>
  </si>
  <si>
    <t>77.99"</t>
  </si>
  <si>
    <t>58.46"</t>
  </si>
  <si>
    <t>242169-003</t>
  </si>
  <si>
    <t>Paloma Bed - Sattley Fog</t>
  </si>
  <si>
    <t>https://dd3ka9h4chfr8.cloudfront.net/image/725136000567/image_1t8ouekki92933gq2jg6j5b45d/-S150x150-FJPG/242169-002_PRM_1.jpg</t>
  </si>
  <si>
    <t>https://dd3ka9h4chfr8.cloudfront.net/image/725136000567/image_jfv7q5u6ot71de4pjli96cs70a/-FJPG/242169-004_FRT_1.jpg</t>
  </si>
  <si>
    <t>https://dd3ka9h4chfr8.cloudfront.net/image/725136000567/image_gntp9635h511p0hhrd4o38m75p/-FJPG/242169-002_FRT_1.jpg</t>
  </si>
  <si>
    <t>https://dd3ka9h4chfr8.cloudfront.net/image/725136000567/image_1t8ouekki92933gq2jg6j5b45d/-FJPG/242169-002_PRM_1.jpg</t>
  </si>
  <si>
    <t>https://dd3ka9h4chfr8.cloudfront.net/image/725136000567/image_84paipjqs92k7968s3l4tdpt0g/-FJPG/242169-004_PRM_1.jpg</t>
  </si>
  <si>
    <t>https://dd3ka9h4chfr8.cloudfront.net/image/725136000567/image_fbbsuajbjd6tf4rfto9g3v347v/-FJPG/242169-004_SID_1.jpg</t>
  </si>
  <si>
    <t>https://dd3ka9h4chfr8.cloudfront.net/image/725136000567/image_60r1hd6a4p7up5eml0tgrnsn6o/-FJPG/242169-002_SID_1.jpg</t>
  </si>
  <si>
    <t>https://dd3ka9h4chfr8.cloudfront.net/image/725136000567/image_n590pskpf17ih7fqe2oqrp8e79/-FJPG/242169-002_ESS_1.tif</t>
  </si>
  <si>
    <t>https://dd3ka9h4chfr8.cloudfront.net/image/725136000567/image_1q224sh1hp7pf6glf92g9d3e37/-FJPG/242169-002_DET_2.jpg</t>
  </si>
  <si>
    <t>https://dd3ka9h4chfr8.cloudfront.net/image/725136000567/image_q2iev7dqfd7ebf5tst0fm9ne1r/-FJPG/242169-004_DET_2.jpg</t>
  </si>
  <si>
    <t>https://dd3ka9h4chfr8.cloudfront.net/image/725136000567/image_6ekn86sr9108v78d6v701pc12c/-FJPG/242169-002_BCK_1.jpg</t>
  </si>
  <si>
    <t>https://dd3ka9h4chfr8.cloudfront.net/image/725136000567/image_kimbr5s6h51f773t4rbh7v554v/-FJPG/242169-004_BCK_1.jpg</t>
  </si>
  <si>
    <t>https://dd3ka9h4chfr8.cloudfront.net/image/725136000567/image_m6ufdcuoh538r4o8uu5hal7k45/-FJPG/242169-004_DET_1.jpg</t>
  </si>
  <si>
    <t>https://dd3ka9h4chfr8.cloudfront.net/image/725136000567/image_tdu57689sp49de3ot741imon24/-FJPG/242169-002_DET_1.jpg</t>
  </si>
  <si>
    <t>https://dd3ka9h4chfr8.cloudfront.net/image/725136000567/image_d1e3uno0sd58t936qbqomrul4i/-FJPG/242169-002_DET_3.jpg</t>
  </si>
  <si>
    <t>https://dd3ka9h4chfr8.cloudfront.net/image/725136000567/image_gu5p5rlm791vr4rivqrd84mj78/-FJPG/242169-004_DET_3.jpg</t>
  </si>
  <si>
    <t>https://dd3ka9h4chfr8.cloudfront.net/image/725136000567/image_99mhjq94jd0s70i1as4713j95q/-FJPG/242169-004_DET_4.jpg</t>
  </si>
  <si>
    <t>https://dd3ka9h4chfr8.cloudfront.net/image/725136000567/image_huan9eiqu945l9fptn16ufls16/-FJPG/242169-002_DET_4.jpg</t>
  </si>
  <si>
    <t>https://dd3ka9h4chfr8.cloudfront.net/image/725136000567/image_fr9ge6lee52057gf8le5re6h25/-FJPG/242169-002_DET_5.jpg</t>
  </si>
  <si>
    <t>https://dd3ka9h4chfr8.cloudfront.net/image/725136000567/image_aa857s1lrt45pf7aoueir6gj2k/-FJPG/242169-004_DET_5.jpg</t>
  </si>
  <si>
    <t>https://dd3ka9h4chfr8.cloudfront.net/image/725136000567/image_rrg82k3a7t3750pnf39ss0hs7d/-FJPG/242169-002_DET_6.jpg</t>
  </si>
  <si>
    <t>https://dd3ka9h4chfr8.cloudfront.net/image/725136000567/image_qjm51blutp1gr4e3l3qg8rrk3j/-FJPG/242169-004_DET_6.jpg</t>
  </si>
  <si>
    <t>https://dd3ka9h4chfr8.cloudfront.net/image/725136000567/image_72skluqqgt3n1ffg4vi74gne2a/-FJPG/242169-002_DET_9.tif</t>
  </si>
  <si>
    <t>Pocket Joint with Screws</t>
  </si>
  <si>
    <t>Paloma</t>
  </si>
  <si>
    <t>45.55"</t>
  </si>
  <si>
    <t>22.13"</t>
  </si>
  <si>
    <t>88.03"</t>
  </si>
  <si>
    <t>80.20"</t>
  </si>
  <si>
    <t>78.54"</t>
  </si>
  <si>
    <t>73.86"</t>
  </si>
  <si>
    <t>242169-004</t>
  </si>
  <si>
    <t>https://dd3ka9h4chfr8.cloudfront.net/image/725136000567/image_pgnjl1us09611elg46p009ai6i/-S150x150-FJPG/242169-001_PRM_1.jpg</t>
  </si>
  <si>
    <t>https://dd3ka9h4chfr8.cloudfront.net/image/725136000567/image_d4utitf91t3s92pb9uvgp9gl3n/-FJPG/242169-001_FRT_1.jpg</t>
  </si>
  <si>
    <t>https://dd3ka9h4chfr8.cloudfront.net/image/725136000567/image_pgnjl1us09611elg46p009ai6i/-FJPG/242169-001_PRM_1.jpg</t>
  </si>
  <si>
    <t>https://dd3ka9h4chfr8.cloudfront.net/image/725136000567/image_p0133rhv8l2836cjc2d0vuci0m/-FJPG/242169-001_SID_1.jpg</t>
  </si>
  <si>
    <t>https://dd3ka9h4chfr8.cloudfront.net/image/725136000567/image_vu4vr1udit4i105t6msmi3r35r/-FJPG/242169-001_ESS_1.jpg</t>
  </si>
  <si>
    <t>https://dd3ka9h4chfr8.cloudfront.net/image/725136000567/image_r2kdiqa1rl3dl5jc3omhbsu51e/-FJPG/242169-001_DET_2.jpg</t>
  </si>
  <si>
    <t>https://dd3ka9h4chfr8.cloudfront.net/image/725136000567/image_efniuabt9p03lfin52cod7uf4o/-FJPG/242169-001_BCK_1.jpg</t>
  </si>
  <si>
    <t>https://dd3ka9h4chfr8.cloudfront.net/image/725136000567/image_7a48t18hnd2mdf8fh24md00k2o/-FJPG/242169-001_DET_1.jpg</t>
  </si>
  <si>
    <t>https://dd3ka9h4chfr8.cloudfront.net/image/725136000567/image_5tpjlnr9kh7bn853k7j1r3a41j/-FJPG/242169-001_DET_3.jpg</t>
  </si>
  <si>
    <t>https://dd3ka9h4chfr8.cloudfront.net/image/725136000567/image_slurkthbsl5135qe4dnse3tm07/-FJPG/242169-001_DET_4.jpg</t>
  </si>
  <si>
    <t>https://dd3ka9h4chfr8.cloudfront.net/image/725136000567/image_7tpvmlf2t50oj0dng5fcbib42f/-FJPG/242169-001_DET_5.jpg</t>
  </si>
  <si>
    <t>https://dd3ka9h4chfr8.cloudfront.net/image/725136000567/image_rbv6f53tbh26h2f3g7pv0n2g50/-FJPG/242169-001_DET_6.jpg</t>
  </si>
  <si>
    <t>https://dd3ka9h4chfr8.cloudfront.net/image/725136000567/image_pg1toul6ht4oj0gqatnn7hm803/-FJPG/242169-001_DET_7.jpg</t>
  </si>
  <si>
    <t>https://dd3ka9h4chfr8.cloudfront.net/image/725136000567/image_hta91m8igh2nr1kvt3js3a8n1k/-FJPG/242169-001_DET_9.jpg</t>
  </si>
  <si>
    <t>67.91"</t>
  </si>
  <si>
    <t>57.72"</t>
  </si>
  <si>
    <t>242172-001</t>
  </si>
  <si>
    <t>It Takes An Hour Sideboard - Distressed Black</t>
  </si>
  <si>
    <t>By the makers at Van Thiel, known for their antique-inspired pieces and hand-applied finishes. Influenced by a Chinese antique, this grand-scale sideboard features a simple box frame with subtle leg and hardware details. A worn finish with hand-distressing and chipping throughout gives each piece the look of a handed-down heirloom.</t>
  </si>
  <si>
    <t>https://dd3ka9h4chfr8.cloudfront.net/image/725136000567/image_v73kb5batp2uh19f88ggvkhu1p/-S150x150-FJPG/242172-001_PRM_1.jpg</t>
  </si>
  <si>
    <t>https://dd3ka9h4chfr8.cloudfront.net/image/725136000567/image_5d0j9o0q711hj8dnf3e560u11o/-FJPG/242172-001_FRT_1.jpg</t>
  </si>
  <si>
    <t>https://dd3ka9h4chfr8.cloudfront.net/image/725136000567/image_v73kb5batp2uh19f88ggvkhu1p/-FJPG/242172-001_PRM_1.jpg</t>
  </si>
  <si>
    <t>https://dd3ka9h4chfr8.cloudfront.net/image/725136000567/image_n88msefndt15jfbqqtckfoka7v/-FJPG/242172-001_SID_1.jpg</t>
  </si>
  <si>
    <t>https://dd3ka9h4chfr8.cloudfront.net/image/725136000567/image_jj47mfgo6p5oh5gu70flv5se3q/-FJPG/242172-001_ESS_1.tif</t>
  </si>
  <si>
    <t>https://dd3ka9h4chfr8.cloudfront.net/image/725136000567/image_bt6aur9pe95fb3aq714laftt78/-FJPG/242172-001_DET_2.jpg</t>
  </si>
  <si>
    <t>https://dd3ka9h4chfr8.cloudfront.net/image/725136000567/image_5fgl3bru251llcltm41srg9q0t/-FJPG/242172-001_BCK_1.jpg</t>
  </si>
  <si>
    <t>https://dd3ka9h4chfr8.cloudfront.net/image/725136000567/image_d9ar11immp197f5tll06kj0727/-FJPG/242172-001_DET_1.jpg</t>
  </si>
  <si>
    <t>https://dd3ka9h4chfr8.cloudfront.net/image/725136000567/image_3vnu227blt38b93p04enfmhp53/-FJPG/242172-001_DET_3.jpg</t>
  </si>
  <si>
    <t>https://dd3ka9h4chfr8.cloudfront.net/image/725136000567/image_mqj66fav7948p3f103jumo9o48/-FJPG/242172-001_OPN_1.jpg</t>
  </si>
  <si>
    <t>https://dd3ka9h4chfr8.cloudfront.net/image/725136000567/image_2p6f5m3u292t5ae21h34tq2e4b/-FJPG/242172-001_TOP_1.jpg</t>
  </si>
  <si>
    <t>https://dd3ka9h4chfr8.cloudfront.net/image/725136000567/image_7cola5h2a16s5e8vskrs3d9u2o/-FJPG/242172-001_DET_4.jpg</t>
  </si>
  <si>
    <t>https://dd3ka9h4chfr8.cloudfront.net/image/725136000567/image_jrn978i55d7bj3i6ktt57m5o2e/-FJPG/242172-001_DET_5.jpg</t>
  </si>
  <si>
    <t>https://dd3ka9h4chfr8.cloudfront.net/image/725136000567/image_m8bc0sbu8d35580ufr47qu4q57/-FJPG/242172-001_DET_5.tif</t>
  </si>
  <si>
    <t>https://dd3ka9h4chfr8.cloudfront.net/image/725136000567/image_upvjt1kirt63p0dvatcfkscg5m/-FJPG/242172-001_DET_6.jpg</t>
  </si>
  <si>
    <t>https://dd3ka9h4chfr8.cloudfront.net/image/725136000567/image_ejf0hei6ll2cb0hrta7m5um24a/-FJPG/242172-001_DET_7.jpg</t>
  </si>
  <si>
    <t>https://dd3ka9h4chfr8.cloudfront.net/image/725136000567/image_gquvrpqbap6v91krc28loegs7j/-FJPG/242172-001_DET_8.jpg</t>
  </si>
  <si>
    <t>https://dd3ka9h4chfr8.cloudfront.net/image/725136000567/image_tbh8p3h1413ih2itrvf38ie759/-FJPG/242172-001_DET_9.jpg</t>
  </si>
  <si>
    <t>https://dd3ka9h4chfr8.cloudfront.net/image/725136000567/image_vd1650rc1l51je4s6ku4e41k0s/-FJPG/242172-001_DET_11.tif</t>
  </si>
  <si>
    <t>https://dd3ka9h4chfr8.cloudfront.net/image/725136000567/image_vpvdd6lkfl09h083p129dvui0f/-FJPG/242172-001_DET_12.tif</t>
  </si>
  <si>
    <t>28.11"</t>
  </si>
  <si>
    <t>29.37"</t>
  </si>
  <si>
    <t>It Takes an Hour</t>
  </si>
  <si>
    <t>29.29"</t>
  </si>
  <si>
    <t>13.11"</t>
  </si>
  <si>
    <t>242174-001</t>
  </si>
  <si>
    <t>Lia Bed - Natural Reclaimed French Oak</t>
  </si>
  <si>
    <t>Designed by Thomas Bina and Ronald Sasson, a design partnership blending both modern minimalist and Brazilian influences. Crafted from natural reclaimed French oak, this clean-lined bed frame features large, exposed joint details and beautiful horizontal graining throughout.</t>
  </si>
  <si>
    <t>https://dd3ka9h4chfr8.cloudfront.net/image/725136000567/image_5brv89mkm954718pukomsq0j3p/-S150x150-FJPG/242174-001_PRM_1.jpg</t>
  </si>
  <si>
    <t>https://dd3ka9h4chfr8.cloudfront.net/image/725136000567/image_6l79brfmtt3mhad0fja0jvnv3q/-FJPG/242174-001_FRT_1.jpg</t>
  </si>
  <si>
    <t>https://dd3ka9h4chfr8.cloudfront.net/image/725136000567/image_5brv89mkm954718pukomsq0j3p/-FJPG/242174-001_PRM_1.jpg</t>
  </si>
  <si>
    <t>https://dd3ka9h4chfr8.cloudfront.net/image/725136000567/image_ctaqea7e3d58p1sd6jslp12a6j/-FJPG/242174-001_SID_1.jpg</t>
  </si>
  <si>
    <t>https://dd3ka9h4chfr8.cloudfront.net/image/725136000567/image_r8eqls688l4ob1vgtahngtd20h/-FJPG/242174-001_ESS_1.tif</t>
  </si>
  <si>
    <t>https://dd3ka9h4chfr8.cloudfront.net/image/725136000567/image_ql59sbutah6sh7d8amlu283712/-FJPG/242174-001_DET_2.jpg</t>
  </si>
  <si>
    <t>https://dd3ka9h4chfr8.cloudfront.net/image/725136000567/image_uoka4er6kt4j73p7r2rqbrhd4d/-FJPG/242174-001_BCK_1.jpg</t>
  </si>
  <si>
    <t>https://dd3ka9h4chfr8.cloudfront.net/image/725136000567/image_db9o9u3kb179n2o1h0irfu4m2p/-FJPG/242174-001_DET_1.jpg</t>
  </si>
  <si>
    <t>https://dd3ka9h4chfr8.cloudfront.net/image/725136000567/image_8ij259fs615or5fuue97mr292i/-FJPG/242174-001_DET_3.jpg</t>
  </si>
  <si>
    <t>https://dd3ka9h4chfr8.cloudfront.net/image/725136000567/image_085tkqkb317mj6m705ug0e231e/-FJPG/242174-001_DET_4.jpg</t>
  </si>
  <si>
    <t>https://dd3ka9h4chfr8.cloudfront.net/image/725136000567/image_p7bpe2mipl1uh9sdajp2rta97s/-FJPG/242174-001_DET_5.jpg</t>
  </si>
  <si>
    <t>https://dd3ka9h4chfr8.cloudfront.net/image/725136000567/image_3vn33odkbt65t439v7b62f3q1o/-FJPG/242174-001_DET_6.jpg</t>
  </si>
  <si>
    <t>Fb/Slat/Sr</t>
  </si>
  <si>
    <t>Lia</t>
  </si>
  <si>
    <t>68.94"</t>
  </si>
  <si>
    <t>88.39"</t>
  </si>
  <si>
    <t>77.52"</t>
  </si>
  <si>
    <t>58.07"</t>
  </si>
  <si>
    <t>242174-002</t>
  </si>
  <si>
    <t>https://dd3ka9h4chfr8.cloudfront.net/image/725136000567/image_hg7io3klkp22fck9efvqldgl71/-S150x150-FJPG/242174-002_PRM_1.jpg</t>
  </si>
  <si>
    <t>https://dd3ka9h4chfr8.cloudfront.net/image/725136000567/image_k5u8mualpp1mrb63k31f9knp71/-FJPG/242174-002_FRT_1.jpg</t>
  </si>
  <si>
    <t>https://dd3ka9h4chfr8.cloudfront.net/image/725136000567/image_hg7io3klkp22fck9efvqldgl71/-FJPG/242174-002_PRM_1.jpg</t>
  </si>
  <si>
    <t>https://dd3ka9h4chfr8.cloudfront.net/image/725136000567/image_v1sl7dij015958hikq6jm48j1h/-FJPG/242174-002_SID_1.jpg</t>
  </si>
  <si>
    <t>https://dd3ka9h4chfr8.cloudfront.net/image/725136000567/image_o353qc4mkt1hlch3v4hut0ld4j/-FJPG/242174-002_ESS_1.tif</t>
  </si>
  <si>
    <t>https://dd3ka9h4chfr8.cloudfront.net/image/725136000567/image_g1eiqj0q5556v24ss0o2sddd0p/-FJPG/242174-002_DET_2.jpg</t>
  </si>
  <si>
    <t>https://dd3ka9h4chfr8.cloudfront.net/image/725136000567/image_vc1o5eglpl3ol4aba1p87v9k09/-FJPG/242174-002_BCK_1.jpg</t>
  </si>
  <si>
    <t>https://dd3ka9h4chfr8.cloudfront.net/image/725136000567/image_tr3i99ffo55i930pe3o44di614/-FJPG/242174-002_DET_1.jpg</t>
  </si>
  <si>
    <t>https://dd3ka9h4chfr8.cloudfront.net/image/725136000567/image_g22m81g3id74b6595hjijpvp5l/-FJPG/242174-002_DET_3.jpg</t>
  </si>
  <si>
    <t>https://dd3ka9h4chfr8.cloudfront.net/image/725136000567/image_va2jhsb0p1501ebp37o47d215c/-FJPG/242174-002_DET_4.jpg</t>
  </si>
  <si>
    <t>https://dd3ka9h4chfr8.cloudfront.net/image/725136000567/image_hndaeomn8t0fv7f84vbghe7g09/-FJPG/242174-002_DET_5.jpg</t>
  </si>
  <si>
    <t>https://dd3ka9h4chfr8.cloudfront.net/image/725136000567/image_pl3muqui2l3nv0d0qeroqsd378/-FJPG/242174-002_DET_6.jpg</t>
  </si>
  <si>
    <t>84.96"</t>
  </si>
  <si>
    <t>242182-001</t>
  </si>
  <si>
    <t>Brynn Dresser - Dark Walnut Veneer</t>
  </si>
  <si>
    <t>Dark Walnut Veneer</t>
  </si>
  <si>
    <t>Designed by Thomas Bina and Ronald Sasson, a design partnership blending both modern minimalist and Brazilian influences. Extra-wide dresser is crafted from a solid oak frame with beautiful graining and subtly rounded edges throughout. Wide smooth-gliding drawers finished with French dovetail joinery.</t>
  </si>
  <si>
    <t>https://dd3ka9h4chfr8.cloudfront.net/image/725136000567/image_v4jphisoot7t3f9lictcqga659/-S150x150-FJPG/242182-001_PRM_1.jpg</t>
  </si>
  <si>
    <t>https://dd3ka9h4chfr8.cloudfront.net/image/725136000567/image_n0fr7h8hpd1gpet9l9dg777u5d/-FJPG/242182-001_FRT_1.jpg</t>
  </si>
  <si>
    <t>https://dd3ka9h4chfr8.cloudfront.net/image/725136000567/image_v4jphisoot7t3f9lictcqga659/-FJPG/242182-001_PRM_1.jpg</t>
  </si>
  <si>
    <t>https://dd3ka9h4chfr8.cloudfront.net/image/725136000567/image_3469l24hkh2p15knhhs2op7t1a/-FJPG/242182-001_SID_1.jpg</t>
  </si>
  <si>
    <t>https://dd3ka9h4chfr8.cloudfront.net/image/725136000567/image_bb7tct3rg94dd7i82qo7pvgh3k/-FJPG/242182-001_DET_2.jpg</t>
  </si>
  <si>
    <t>https://dd3ka9h4chfr8.cloudfront.net/image/725136000567/image_2kovjvjnf160f8s50m4f0g106q/-FJPG/242182-001_BCK_1.jpg</t>
  </si>
  <si>
    <t>https://dd3ka9h4chfr8.cloudfront.net/image/725136000567/image_ptihnqjqp14ob7nvlqe0migp5j/-FJPG/242182-001_DET_1.jpg</t>
  </si>
  <si>
    <t>https://dd3ka9h4chfr8.cloudfront.net/image/725136000567/image_bqoo70bp351g7ci2iqeteglr63/-FJPG/242182-001_DET_3.jpg</t>
  </si>
  <si>
    <t>https://dd3ka9h4chfr8.cloudfront.net/image/725136000567/image_0idgo5cdfh0fp2llaj76m5483j/-FJPG/242182-001_OPN_1.jpg</t>
  </si>
  <si>
    <t>https://dd3ka9h4chfr8.cloudfront.net/image/725136000567/image_qloukrhjr973rcr3k252ke1911/-FJPG/242182-001_DET_4.jpg</t>
  </si>
  <si>
    <t>https://dd3ka9h4chfr8.cloudfront.net/image/725136000567/image_44j03gjob55l7dm410p5ihs517/-FJPG/242182-001_DET_5.jpg</t>
  </si>
  <si>
    <t>https://dd3ka9h4chfr8.cloudfront.net/image/725136000567/image_v1k5ao72e109l92b7l5ancud10/-FJPG/242182-001_DET_6.jpg</t>
  </si>
  <si>
    <t>https://dd3ka9h4chfr8.cloudfront.net/image/725136000567/image_th9hahfd917vrd8h4ujet0r50a/-FJPG/242182-001_DET_7.jpg</t>
  </si>
  <si>
    <t>https://dd3ka9h4chfr8.cloudfront.net/image/725136000567/image_5mrrgndaa16jvb2dps88uoor6p/-FJPG/242182-001_DET_8.jpg</t>
  </si>
  <si>
    <t>Brynn</t>
  </si>
  <si>
    <t>5.59"</t>
  </si>
  <si>
    <t>32.60"</t>
  </si>
  <si>
    <t>242186-001</t>
  </si>
  <si>
    <t>Cassio Nightstand - Natural Reclaimed French Oak</t>
  </si>
  <si>
    <t>Dark Brass</t>
  </si>
  <si>
    <t>Designed by Thomas Bina and Ronald Sasson, a design partnership blending both modern minimalist and Brazilian influences. Nightstand is crafted from natural reclaimed French oak with plenty of graining, cracking and movement across the drawer fronts. Detailed with angled legs and exposed joinery on the top. Drawers are fully finished on the interior so each piece is beautiful inside and out.</t>
  </si>
  <si>
    <t>https://dd3ka9h4chfr8.cloudfront.net/image/725136000567/image_5bc4ff2lnp6gb3k8cc6vi04r3e/-S150x150-FJPG/242186-001_PRM_1.jpg</t>
  </si>
  <si>
    <t>https://dd3ka9h4chfr8.cloudfront.net/image/725136000567/image_b3fv8qdvv11btdmfsnqcqhmh20/-FJPG/242186-001_FRT_1.jpg</t>
  </si>
  <si>
    <t>https://dd3ka9h4chfr8.cloudfront.net/image/725136000567/image_5bc4ff2lnp6gb3k8cc6vi04r3e/-FJPG/242186-001_PRM_1.jpg</t>
  </si>
  <si>
    <t>https://dd3ka9h4chfr8.cloudfront.net/image/725136000567/image_r17q3ji4ed07f5mn7657lhil20/-FJPG/242186-001_SID_1.jpg</t>
  </si>
  <si>
    <t>https://dd3ka9h4chfr8.cloudfront.net/image/725136000567/image_qrrlil1ut947b7jm6i2klqi44i/-FJPG/242186-001_ESS_1.tif</t>
  </si>
  <si>
    <t>https://dd3ka9h4chfr8.cloudfront.net/image/725136000567/image_2e62bul2rt73rfabotbad6576h/-FJPG/242186-001_DET_2.jpg</t>
  </si>
  <si>
    <t>https://dd3ka9h4chfr8.cloudfront.net/image/725136000567/image_vb4f5acu1d1r7ff6b3gai5e36h/-FJPG/242186-001_BCK_1.jpg</t>
  </si>
  <si>
    <t>https://dd3ka9h4chfr8.cloudfront.net/image/725136000567/image_idep95fff107faqedph5i4s868/-FJPG/242186-001_DET_1.jpg</t>
  </si>
  <si>
    <t>https://dd3ka9h4chfr8.cloudfront.net/image/725136000567/image_p7dgd291t1503a03svmkkjg940/-FJPG/242186-001_DET_3.jpg</t>
  </si>
  <si>
    <t>https://dd3ka9h4chfr8.cloudfront.net/image/725136000567/image_6djp5tpbnh6rf81a70uj7ob145/-FJPG/242186-001_OPN_1.jpg</t>
  </si>
  <si>
    <t>https://dd3ka9h4chfr8.cloudfront.net/image/725136000567/image_qeokhbaul56n70shi5dhdb3i1a/-FJPG/242186-001_DET_4.jpg</t>
  </si>
  <si>
    <t>https://dd3ka9h4chfr8.cloudfront.net/image/725136000567/image_64ilb61pft6a53h89fc2d34s1p/-FJPG/242186-001_DET_5.jpg</t>
  </si>
  <si>
    <t>https://dd3ka9h4chfr8.cloudfront.net/image/725136000567/image_ns7tc4e9dp69pee65dupn6as6m/-FJPG/242186-001_DET_6.jpg</t>
  </si>
  <si>
    <t>https://dd3ka9h4chfr8.cloudfront.net/image/725136000567/image_g8uti9a7j54epevleasjok7a5j/-FJPG/242186-001_DET_7.jpg</t>
  </si>
  <si>
    <t>https://dd3ka9h4chfr8.cloudfront.net/image/725136000567/image_os9mr17a6t1p7amaq355sq306v/-FJPG/242186-001_DET_9.tif</t>
  </si>
  <si>
    <t>Cassio</t>
  </si>
  <si>
    <t>9.72"</t>
  </si>
  <si>
    <t>242188-001</t>
  </si>
  <si>
    <t>Cassio Dresser - Natural Reclaimed French Oak</t>
  </si>
  <si>
    <t>Designed by Thomas Bina and Ronald Sasson, a design partnership blending both modern minimalist and Brazilian influences. This grand-scale dresser is crafted from natural reclaimed French oak with plenty of graining, cracking and movement across the drawer fronts. Detailed with angled legs and exposed joinery on the top. Drawers are fully finished on the interior so each piece is beautiful inside and out.</t>
  </si>
  <si>
    <t>https://dd3ka9h4chfr8.cloudfront.net/image/725136000567/image_9t4hastqnd5djbi22uviktu10t/-S150x150-FJPG/242188-001_PRM_1.jpg</t>
  </si>
  <si>
    <t>https://dd3ka9h4chfr8.cloudfront.net/image/725136000567/image_5ap7a9oka54fd6hng5cmlp5605/-FJPG/242188-001_FRT_1.jpg</t>
  </si>
  <si>
    <t>https://dd3ka9h4chfr8.cloudfront.net/image/725136000567/image_9t4hastqnd5djbi22uviktu10t/-FJPG/242188-001_PRM_1.jpg</t>
  </si>
  <si>
    <t>https://dd3ka9h4chfr8.cloudfront.net/image/725136000567/image_f9110s295d7i3ck4ppej11ho68/-FJPG/242188-001_SID_1.jpg</t>
  </si>
  <si>
    <t>https://dd3ka9h4chfr8.cloudfront.net/image/725136000567/image_rpb2qaitl15k9a6qgvbd5pmf63/-FJPG/242188-001_ESS.tif</t>
  </si>
  <si>
    <t>https://dd3ka9h4chfr8.cloudfront.net/image/725136000567/image_ndcdkmtj4p0h9ebmti5rh17r7v/-FJPG/242188-001_DET_2.jpg</t>
  </si>
  <si>
    <t>https://dd3ka9h4chfr8.cloudfront.net/image/725136000567/image_klop0t7c8d38f38jgg936r9t0k/-FJPG/242188-001_BCK_1.jpg</t>
  </si>
  <si>
    <t>https://dd3ka9h4chfr8.cloudfront.net/image/725136000567/image_9d9l60htqt2s198k559orb177b/-FJPG/242188-001_DET_1.jpg</t>
  </si>
  <si>
    <t>https://dd3ka9h4chfr8.cloudfront.net/image/725136000567/image_b9ae5bjucp5pb65g5v2g0h8i3s/-FJPG/242188-001_DET_3.jpg</t>
  </si>
  <si>
    <t>https://dd3ka9h4chfr8.cloudfront.net/image/725136000567/image_9kq2rk4til11t1o27c8ks46c0c/-FJPG/242188-001_OPN_1.jpg</t>
  </si>
  <si>
    <t>https://dd3ka9h4chfr8.cloudfront.net/image/725136000567/image_f2kdsqtkjl2616rt5dl3djjt0h/-FJPG/242188-001_TOP_1.jpg</t>
  </si>
  <si>
    <t>https://dd3ka9h4chfr8.cloudfront.net/image/725136000567/image_olndlkdvcp7lt2m0runb2omu6l/-FJPG/242188-001_DET_4.jpg</t>
  </si>
  <si>
    <t>https://dd3ka9h4chfr8.cloudfront.net/image/725136000567/image_iseanin91p1atcg2cjavme6520/-FJPG/242188-001_DET_5.jpg</t>
  </si>
  <si>
    <t>https://dd3ka9h4chfr8.cloudfront.net/image/725136000567/image_0hvmd429bt54l3id81ggmbkg6f/-FJPG/242188-001_DET_6.jpg</t>
  </si>
  <si>
    <t>https://dd3ka9h4chfr8.cloudfront.net/image/725136000567/image_i9brgviv1l5rb1kfrm6736ad5q/-FJPG/242188-001_DET_7.jpg</t>
  </si>
  <si>
    <t>https://dd3ka9h4chfr8.cloudfront.net/image/725136000567/image_17hdfbj8i51a33uiiric6lsk4h/-FJPG/242188-001_DET_8.jpg</t>
  </si>
  <si>
    <t>5.39"</t>
  </si>
  <si>
    <t>37.32"</t>
  </si>
  <si>
    <t>242190-001</t>
  </si>
  <si>
    <t>Marcon Dining Table - Natural Reclaimed French Oak</t>
  </si>
  <si>
    <t>Designed by Thomas Bina and Ronald Sasson, a design partnership blending both modern minimalist and Brazilian influences. Grand-scale dining table is crafted from natural reclaimed French oak with sleek tapered pedestal panels connected at the base. Seats 12.</t>
  </si>
  <si>
    <t>https://dd3ka9h4chfr8.cloudfront.net/image/725136000567/image_cts1vc52up5p734cucguse5a7c/-S150x150-FJPG/242190-001_PRM_1.jpg</t>
  </si>
  <si>
    <t>https://dd3ka9h4chfr8.cloudfront.net/image/725136000567/image_l0o40837uh6c19hk2js1rahl6t/-FJPG/242190-001_FRT_1.jpg</t>
  </si>
  <si>
    <t>https://dd3ka9h4chfr8.cloudfront.net/image/725136000567/image_cts1vc52up5p734cucguse5a7c/-FJPG/242190-001_PRM_1.jpg</t>
  </si>
  <si>
    <t>https://dd3ka9h4chfr8.cloudfront.net/image/725136000567/image_tcai27pl4d0515v3plralqjr67/-FJPG/242190-001_SID_1.jpg</t>
  </si>
  <si>
    <t>https://dd3ka9h4chfr8.cloudfront.net/image/725136000567/image_v21u9sa1gt0cn9djpk6qpuj453/-FJPG/242190-001_ESS_1.tif</t>
  </si>
  <si>
    <t>https://dd3ka9h4chfr8.cloudfront.net/image/725136000567/image_rk5snh31p95rhdi6cg9pmmgh75/-FJPG/242190-001_DET_2.jpg</t>
  </si>
  <si>
    <t>https://dd3ka9h4chfr8.cloudfront.net/image/725136000567/image_i396rv7ejd66p8b28r5h4nd37e/-FJPG/242190-001_DET_1.jpg</t>
  </si>
  <si>
    <t>https://dd3ka9h4chfr8.cloudfront.net/image/725136000567/image_80i38g2v857sn0jrs1dokpit1n/-FJPG/242190-001_DET_3.jpg</t>
  </si>
  <si>
    <t>https://dd3ka9h4chfr8.cloudfront.net/image/725136000567/image_lkp1apn4jl1rn5hnqeu3ft8379/-FJPG/242190-001_DET_4.jpg</t>
  </si>
  <si>
    <t>https://dd3ka9h4chfr8.cloudfront.net/image/725136000567/image_phd4ansbah0u9fes7baj5mik30/-FJPG/242190-001_DET_5.jpg</t>
  </si>
  <si>
    <t>https://dd3ka9h4chfr8.cloudfront.net/image/725136000567/image_02686lu8695b1frcok1hurqk1e/-FJPG/242190-001_DET_6.jpg</t>
  </si>
  <si>
    <t>https://dd3ka9h4chfr8.cloudfront.net/image/725136000567/image_m9q76c5t8t1hl3v0svp333d75o/-FJPG/242190-001_DET_9.tif</t>
  </si>
  <si>
    <t>https://dd3ka9h4chfr8.cloudfront.net/image/725136000567/image_i8qadfd8b15q35n8dg8ers3359/-FJPG/242190-001_DET_10.tif</t>
  </si>
  <si>
    <t>https://dd3ka9h4chfr8.cloudfront.net/image/725136000567/image_bkb0kd3ad12t9au368kvvi2b75/-FJPG/242190-001_DET_11.tif</t>
  </si>
  <si>
    <t>https://dd3ka9h4chfr8.cloudfront.net/image/725136000567/image_aq73pau2et3p73lesdamlfg64t/-FJPG/242190-001_DET_12.tif</t>
  </si>
  <si>
    <t>Marcon Dining Table - Top</t>
  </si>
  <si>
    <t>Marcon Dining Table - Legs</t>
  </si>
  <si>
    <t>Marcon</t>
  </si>
  <si>
    <t>28.27"</t>
  </si>
  <si>
    <t>56.61"</t>
  </si>
  <si>
    <t>25.24"</t>
  </si>
  <si>
    <t>242203-001</t>
  </si>
  <si>
    <t>Ramos Sideboard - Dark Espresso Reclaimed French Oak</t>
  </si>
  <si>
    <t>Made from reclaimed French oak and finished in a rich espresso, a spacious sideboard features heavy reeding, for a linear look reflective of midcentury inspiration. Fully finished interior. Designed in partnership with longtime Four Hands collaborator Thomas Bina and Brazilian designer Ronald Sasson.</t>
  </si>
  <si>
    <t>https://dd3ka9h4chfr8.cloudfront.net/image/725136000567/image_9hdnq986i906r9l63fc4uuk73d/-S150x150-FJPG/242203-001_PRM_1.jpg</t>
  </si>
  <si>
    <t>https://dd3ka9h4chfr8.cloudfront.net/image/725136000567/image_k43vcp6ohh69n80gbc797l867l/-FJPG/242203-001_FRT_1.jpg</t>
  </si>
  <si>
    <t>https://dd3ka9h4chfr8.cloudfront.net/image/725136000567/image_9hdnq986i906r9l63fc4uuk73d/-FJPG/242203-001_PRM_1.jpg</t>
  </si>
  <si>
    <t>https://dd3ka9h4chfr8.cloudfront.net/image/725136000567/image_7kl14ildad3jrbclgggmr2su6q/-FJPG/242203-001_SID_1.jpg</t>
  </si>
  <si>
    <t>https://dd3ka9h4chfr8.cloudfront.net/image/725136000567/image_odk04l655p34t46fn35jkgri4u/-FJPG/242203-001_ESS_1.tif</t>
  </si>
  <si>
    <t>https://dd3ka9h4chfr8.cloudfront.net/image/725136000567/image_mtme5v7dcp7pf94tg0cif0ff3n/-FJPG/242203-001_DET_2.jpg</t>
  </si>
  <si>
    <t>https://dd3ka9h4chfr8.cloudfront.net/image/725136000567/image_vp3lcf222l4lj0acncqbq6ak22/-FJPG/242203-001_BCK_1.jpg</t>
  </si>
  <si>
    <t>https://dd3ka9h4chfr8.cloudfront.net/image/725136000567/image_dukmf9o1s91r5b30cl2kg85l35/-FJPG/242203-001_DET_1.jpg</t>
  </si>
  <si>
    <t>https://dd3ka9h4chfr8.cloudfront.net/image/725136000567/image_2koctm5poh2777j5r35fsor133/-FJPG/242203-001_DET_3.jpg</t>
  </si>
  <si>
    <t>https://dd3ka9h4chfr8.cloudfront.net/image/725136000567/image_qsdl4vdvq915bd6k14dgnq4j1f/-FJPG/242203-001_OPN_1.jpg</t>
  </si>
  <si>
    <t>https://dd3ka9h4chfr8.cloudfront.net/image/725136000567/image_oec1mqidsh28damstihkepjn6g/-FJPG/242203-001_DET_4.jpg</t>
  </si>
  <si>
    <t>https://dd3ka9h4chfr8.cloudfront.net/image/725136000567/image_21gkd95p4p0ctclj72ao55rs29/-FJPG/242203-001_DET_5.jpg</t>
  </si>
  <si>
    <t>https://dd3ka9h4chfr8.cloudfront.net/image/725136000567/image_mu84fbsubt7gf7hvdr7l8ied23/-FJPG/242203-001_DET_6.jpg</t>
  </si>
  <si>
    <t>https://dd3ka9h4chfr8.cloudfront.net/image/725136000567/image_a6ovp625cd03n6hj5d1ud99055/-FJPG/242203-001_DET_7.jpg</t>
  </si>
  <si>
    <t>https://dd3ka9h4chfr8.cloudfront.net/image/725136000567/image_h0lhdjnh4l46b5s07rufdrt84i/-FJPG/242203-001_DET_9.tif</t>
  </si>
  <si>
    <t>26.10"</t>
  </si>
  <si>
    <t>44.69"</t>
  </si>
  <si>
    <t>Ramos</t>
  </si>
  <si>
    <t>242205-001</t>
  </si>
  <si>
    <t>Mariana Sideboard - Natural Reclaimed French Oak</t>
  </si>
  <si>
    <t>Designed by Thomas Bina and Ronald Sasson, a design partnership blending both modern minimalist and Brazilian influences. Large-scale sideboard is crafted from natural reclaimed French oak with simple, minimal shaping that lets the beautiful wood graining take center stage.</t>
  </si>
  <si>
    <t>https://dd3ka9h4chfr8.cloudfront.net/image/725136000567/image_ffjoq8mic93tfe1jqob3k56j7n/-S150x150-FJPG/242205-001_PRM_1.jpg</t>
  </si>
  <si>
    <t>https://dd3ka9h4chfr8.cloudfront.net/image/725136000567/image_d86m2i62ip3fd284nec7smne5u/-FJPG/242205-001_FRT_1.jpg</t>
  </si>
  <si>
    <t>https://dd3ka9h4chfr8.cloudfront.net/image/725136000567/image_ffjoq8mic93tfe1jqob3k56j7n/-FJPG/242205-001_PRM_1.jpg</t>
  </si>
  <si>
    <t>https://dd3ka9h4chfr8.cloudfront.net/image/725136000567/image_5ljitevqh16ancc578mjt7oo53/-FJPG/242205-001_SID_1.jpg</t>
  </si>
  <si>
    <t>https://dd3ka9h4chfr8.cloudfront.net/image/725136000567/image_n2grlbiokl3sl1tf067k2h7873/-FJPG/242205-001_ESS_1.tif</t>
  </si>
  <si>
    <t>https://dd3ka9h4chfr8.cloudfront.net/image/725136000567/image_cjmt94ejhl6if4qmu0hclud91n/-FJPG/242205-001_DET_2.jpg</t>
  </si>
  <si>
    <t>https://dd3ka9h4chfr8.cloudfront.net/image/725136000567/image_edm05u7cqp5bv2r5e080b54e02/-FJPG/242205-001_BCK_1.jpg</t>
  </si>
  <si>
    <t>https://dd3ka9h4chfr8.cloudfront.net/image/725136000567/image_2cf0bjjmpl13p0udg68geno874/-FJPG/242205-001_DET_1.jpg</t>
  </si>
  <si>
    <t>https://dd3ka9h4chfr8.cloudfront.net/image/725136000567/image_crn8c2l8lh3535v91es4gh254t/-FJPG/242205-001_DET_3.jpg</t>
  </si>
  <si>
    <t>https://dd3ka9h4chfr8.cloudfront.net/image/725136000567/image_9dkng9k8nh6op9upb842s74604/-FJPG/242205-001_OPN_1.jpg</t>
  </si>
  <si>
    <t>https://dd3ka9h4chfr8.cloudfront.net/image/725136000567/image_5g50fkk2pt0gr06c5cvugv2o3d/-FJPG/242205-001_DET_4.jpg</t>
  </si>
  <si>
    <t>https://dd3ka9h4chfr8.cloudfront.net/image/725136000567/image_smmkjq2e1l1q352gnoo9l9q561/-FJPG/242205-001_DET_5.jpg</t>
  </si>
  <si>
    <t>https://dd3ka9h4chfr8.cloudfront.net/image/725136000567/image_blbl3pb8jp3otbk2l2beg4ku6d/-FJPG/242205-001_DET_6.jpg</t>
  </si>
  <si>
    <t>https://dd3ka9h4chfr8.cloudfront.net/image/725136000567/image_s4f274q0m57hl9ltqua0gv8b2r/-FJPG/242205-001_DET_7.jpg</t>
  </si>
  <si>
    <t>https://dd3ka9h4chfr8.cloudfront.net/image/725136000567/image_ighikp5tv969vf2t8f7tv6gd7h/-FJPG/242205-001_DET_9.tif</t>
  </si>
  <si>
    <t>https://dd3ka9h4chfr8.cloudfront.net/image/725136000567/image_p5urmgkru97kvanpe8e7dmf26d/-FJPG/242205-001_DET_10.tif</t>
  </si>
  <si>
    <t>Mariana</t>
  </si>
  <si>
    <t>46.30"</t>
  </si>
  <si>
    <t>242280-001</t>
  </si>
  <si>
    <t>Marcela Desk - Natural Morado Veneer</t>
  </si>
  <si>
    <t>Made from natural morado with beautiful graining, this midcentury-inspired executive desk is fully finished for the option to float-style in a room.</t>
  </si>
  <si>
    <t>https://dd3ka9h4chfr8.cloudfront.net/image/725136000567/image_7kg9dpoq256odft7543a9md90c/-S150x150-FJPG/242280-001_PRM_1.jpg</t>
  </si>
  <si>
    <t>https://dd3ka9h4chfr8.cloudfront.net/image/725136000567/image_9kssa33g1517n5e0ji6hsemg33/-FJPG/242280-001_FRT_1.jpg</t>
  </si>
  <si>
    <t>https://dd3ka9h4chfr8.cloudfront.net/image/725136000567/image_7kg9dpoq256odft7543a9md90c/-FJPG/242280-001_PRM_1.jpg</t>
  </si>
  <si>
    <t>https://dd3ka9h4chfr8.cloudfront.net/image/725136000567/image_bkvnsoviot5il3nf8dkn2gjd0v/-FJPG/242280-001_SID_1.jpg</t>
  </si>
  <si>
    <t>https://dd3ka9h4chfr8.cloudfront.net/image/725136000567/image_ugs72suh8d5obf2oq49r4lmu03/-FJPG/242280-001_ESS_1.tif</t>
  </si>
  <si>
    <t>https://dd3ka9h4chfr8.cloudfront.net/image/725136000567/image_i23vtedbkl1tp89275v11hvf32/-FJPG/242280-001_DET_2.jpg</t>
  </si>
  <si>
    <t>https://dd3ka9h4chfr8.cloudfront.net/image/725136000567/image_dml9kr253162h7omoc5sbnhh0j/-FJPG/242280-001_BCK_1.jpg</t>
  </si>
  <si>
    <t>https://dd3ka9h4chfr8.cloudfront.net/image/725136000567/image_pthsrve7id50t49641b77f1t17/-FJPG/242280-001_DET_1.jpg</t>
  </si>
  <si>
    <t>https://dd3ka9h4chfr8.cloudfront.net/image/725136000567/image_lbjp4pubd93edc7lkfm06abr4t/-FJPG/242280-001_DET_3.jpg</t>
  </si>
  <si>
    <t>https://dd3ka9h4chfr8.cloudfront.net/image/725136000567/image_0amggemk5h6bb2o4j14hp7705q/-FJPG/242280-001_OPN_1.jpg</t>
  </si>
  <si>
    <t>https://dd3ka9h4chfr8.cloudfront.net/image/725136000567/image_3ljs3gj46t1ef3nkfmc8151g71/-FJPG/242280-001_DET_4.jpg</t>
  </si>
  <si>
    <t>https://dd3ka9h4chfr8.cloudfront.net/image/725136000567/image_5ne24521bd111br6ur86h8461q/-FJPG/242280-001_DET_5.jpg</t>
  </si>
  <si>
    <t>https://dd3ka9h4chfr8.cloudfront.net/image/725136000567/image_82ttdkutjp6thbnr95fk5kk959/-FJPG/242280-001_DET_6.jpg</t>
  </si>
  <si>
    <t>https://dd3ka9h4chfr8.cloudfront.net/image/725136000567/image_0u6iiti3313r312os6iekame4l/-FJPG/242280-001_DET_7.jpg</t>
  </si>
  <si>
    <t>https://dd3ka9h4chfr8.cloudfront.net/image/725136000567/image_c9eot15fsd4uf0ao30khqbvv4v/-FJPG/242280-001_DET_8.jpg</t>
  </si>
  <si>
    <t>https://dd3ka9h4chfr8.cloudfront.net/image/725136000567/image_qto5mvhhgh4sr7h74d62v6gv7a/-FJPG/242280-001_DET_9.tif</t>
  </si>
  <si>
    <t>Marcela</t>
  </si>
  <si>
    <t>9.92"</t>
  </si>
  <si>
    <t>242319-001</t>
  </si>
  <si>
    <t>Saldana Swivel Chair - Lorento Cognac</t>
  </si>
  <si>
    <t>Lorento Cognac</t>
  </si>
  <si>
    <t>Vintage charm meets modern comfort in this elevated 360-degree swivel chair. Wrapped in soft, supple top-grain leather with a warm cognac finish. Exaggerated folds and expertly rouched details bring a tailored, handcrafted look unique to each piece. Spring suspension and a feather-wrapped cushion invite you to sit and stay a while.</t>
  </si>
  <si>
    <t>https://dd3ka9h4chfr8.cloudfront.net/image/725136000567/image_qtm63u1o4d0ajfk8gcqndv8b39/-S150x150-FJPG/242319-001_PRM_1.JPG</t>
  </si>
  <si>
    <t>https://dd3ka9h4chfr8.cloudfront.net/image/725136000567/image_1v3imgrr250p5eq6cikqms0f0j/-FJPG/242319-001_FRT_1.JPG</t>
  </si>
  <si>
    <t>https://dd3ka9h4chfr8.cloudfront.net/image/725136000567/image_qtm63u1o4d0ajfk8gcqndv8b39/-FJPG/242319-001_PRM_1.JPG</t>
  </si>
  <si>
    <t>https://dd3ka9h4chfr8.cloudfront.net/image/725136000567/image_395m3cr5i10upattovhm8gnn6l/-FJPG/242319-001_SID_1.JPG</t>
  </si>
  <si>
    <t>https://dd3ka9h4chfr8.cloudfront.net/image/725136000567/image_j8ppdi2id11nh6qqvf757p1p12/-FJPG/242319-001_ESS.tif</t>
  </si>
  <si>
    <t>https://dd3ka9h4chfr8.cloudfront.net/image/725136000567/image_tvibphro716rpfcdq1mnbl4u2g/-FJPG/242319-001_DET_2.JPG</t>
  </si>
  <si>
    <t>https://dd3ka9h4chfr8.cloudfront.net/image/725136000567/image_r16aaerdo156n52n040u66fk77/-FJPG/242319-001_BCK_1.JPG</t>
  </si>
  <si>
    <t>https://dd3ka9h4chfr8.cloudfront.net/image/725136000567/image_af9aiacdat6bpa0vfojr3vs85i/-FJPG/242319-001_DET_1.JPG</t>
  </si>
  <si>
    <t>https://dd3ka9h4chfr8.cloudfront.net/image/725136000567/image_ab8fon7ru51r53r59oru8v7e01/-FJPG/242319-001_DET_3.JPG</t>
  </si>
  <si>
    <t>https://dd3ka9h4chfr8.cloudfront.net/image/725136000567/image_1k4mj9ap2p5v94ni0rkuk6od7j/-FJPG/242319-001_DET_4.JPG</t>
  </si>
  <si>
    <t>https://dd3ka9h4chfr8.cloudfront.net/image/725136000567/image_q0tbkam9lt6997p593l1jlcd0t/-FJPG/242319-001_DET_5.JPG</t>
  </si>
  <si>
    <t>https://dd3ka9h4chfr8.cloudfront.net/image/725136000567/image_5hgl3ruf9d1odfch81inc2dv5l/-FJPG/242319-001_DET_6.JPG</t>
  </si>
  <si>
    <t>https://dd3ka9h4chfr8.cloudfront.net/image/725136000567/image_fkc2hlg0rt1m1405i1r09vv404/-FJPG/242319-001_DET_9.tif</t>
  </si>
  <si>
    <t>50% Polyurethane Foam Pad, 40% Waterfowl Feather, 10% Polyester Fiber Batting</t>
  </si>
  <si>
    <t>Saldana</t>
  </si>
  <si>
    <t>242354-005</t>
  </si>
  <si>
    <t>https://dd3ka9h4chfr8.cloudfront.net/image/725136000567/image_0dv3pj1v0p7up90bpigvra6a4i/-S150x150-FJPG/242354-005_PRM_1.jpg</t>
  </si>
  <si>
    <t>https://dd3ka9h4chfr8.cloudfront.net/image/725136000567/image_tsae8l9g8p18fampkkgn4skm61/-FJPG/242354-005_FRT_1.jpg</t>
  </si>
  <si>
    <t>https://dd3ka9h4chfr8.cloudfront.net/image/725136000567/image_0dv3pj1v0p7up90bpigvra6a4i/-FJPG/242354-005_PRM_1.jpg</t>
  </si>
  <si>
    <t>https://dd3ka9h4chfr8.cloudfront.net/image/725136000567/image_qmrrit3tgd3srev81cs8d0os3h/-FJPG/242354-005_SID_1.jpg</t>
  </si>
  <si>
    <t>https://dd3ka9h4chfr8.cloudfront.net/image/725136000567/image_65o591hpnl4kddi0lrbi2rho33/-FJPG/242354-005_DET_2.jpg</t>
  </si>
  <si>
    <t>https://dd3ka9h4chfr8.cloudfront.net/image/725136000567/image_5mtq539ir16fl4quf0lon21231/-FJPG/242354-005_DET_1.jpg</t>
  </si>
  <si>
    <t>https://dd3ka9h4chfr8.cloudfront.net/image/725136000567/image_v9lunhvg2l4p71qbuscedpdq2l/-FJPG/242354-005_DET_3.jpg</t>
  </si>
  <si>
    <t>https://dd3ka9h4chfr8.cloudfront.net/image/725136000567/image_fctgcmehr92676f2qka9sspt71/-FJPG/242354-005_TOP_1.jpg</t>
  </si>
  <si>
    <t>https://dd3ka9h4chfr8.cloudfront.net/image/725136000567/image_u78p8gp7b94a910j6tbg7mcf31/-FJPG/242354-005_DET_4.jpg</t>
  </si>
  <si>
    <t>https://dd3ka9h4chfr8.cloudfront.net/image/725136000567/image_biocl4g1od4nl0e8u531bpjt0r/-FJPG/242354-005_DET_5.jpg</t>
  </si>
  <si>
    <t>67.99"</t>
  </si>
  <si>
    <t>15.06"</t>
  </si>
  <si>
    <t>242354-006</t>
  </si>
  <si>
    <t>A study in shape. Sand-colored acacia forms crescent-shaped legs and a long oval tabletop, bringing grand, organic-infused presence to the dining room.</t>
  </si>
  <si>
    <t>https://dd3ka9h4chfr8.cloudfront.net/image/725136000567/image_i1vr63ql250ad4n9qnnckr7d4g/-S150x150-FJPG/242354-006_PRM_1.jpg</t>
  </si>
  <si>
    <t>https://dd3ka9h4chfr8.cloudfront.net/image/725136000567/image_7nkvv1mm2t7kjbqaggh8ou2m1d/-FJPG/242354-006_FRT_1.jpg</t>
  </si>
  <si>
    <t>https://dd3ka9h4chfr8.cloudfront.net/image/725136000567/image_i1vr63ql250ad4n9qnnckr7d4g/-FJPG/242354-006_PRM_1.jpg</t>
  </si>
  <si>
    <t>https://dd3ka9h4chfr8.cloudfront.net/image/725136000567/image_vtvcnfdet12sf88281ot463p2i/-FJPG/242354-006_SID_1.jpg</t>
  </si>
  <si>
    <t>https://dd3ka9h4chfr8.cloudfront.net/image/725136000567/image_5b7jp3g6vl65jbbi7mtajf7j6l/-FJPG/242354-006_DET_2.jpg</t>
  </si>
  <si>
    <t>https://dd3ka9h4chfr8.cloudfront.net/image/725136000567/image_n6g6v8d4qp37v3i8c1hnbe283u/-FJPG/242354-006_DET_1.jpg</t>
  </si>
  <si>
    <t>https://dd3ka9h4chfr8.cloudfront.net/image/725136000567/image_3509li89tt5vf2m362dno6ph0m/-FJPG/242354-006_DET_3.jpg</t>
  </si>
  <si>
    <t>https://dd3ka9h4chfr8.cloudfront.net/image/725136000567/image_drjv8d2rgd6bv4l0kaglao1e7r/-FJPG/242354-006_TOP_1.jpg</t>
  </si>
  <si>
    <t>https://dd3ka9h4chfr8.cloudfront.net/image/725136000567/image_bktlk9fhb54vleo0slrqckkm57/-FJPG/242354-006_DET_4.jpg</t>
  </si>
  <si>
    <t>https://dd3ka9h4chfr8.cloudfront.net/image/725136000567/image_qu7g24jaop35v2ju81ukhhae52/-FJPG/242354-006_DET_5.jpg</t>
  </si>
  <si>
    <t>https://dd3ka9h4chfr8.cloudfront.net/image/725136000567/image_env5qh1lel2652tdjbo0otfd5u/-FJPG/242354-006_DET_6.jpg</t>
  </si>
  <si>
    <t>242354-007</t>
  </si>
  <si>
    <t>A study in shape. Solid black acacia forms crescent legs and a sprawling oval-shaped tabletop, bringing organic presence to the dining room.</t>
  </si>
  <si>
    <t>https://dd3ka9h4chfr8.cloudfront.net/image/725136000567/image_ar1d8ipe292tf9hqg2jatgnv76/-S150x150-FJPG/242354-007_PRM_1.jpg</t>
  </si>
  <si>
    <t>https://dd3ka9h4chfr8.cloudfront.net/image/725136000567/image_uvp3gs0fd53ah4djrgnqpb3s33/-FJPG/242354-007_FRT_1.jpg</t>
  </si>
  <si>
    <t>https://dd3ka9h4chfr8.cloudfront.net/image/725136000567/image_ar1d8ipe292tf9hqg2jatgnv76/-FJPG/242354-007_PRM_1.jpg</t>
  </si>
  <si>
    <t>https://dd3ka9h4chfr8.cloudfront.net/image/725136000567/image_d5u23abold23t6a4u543s3047j/-FJPG/242354-007_SID_1.jpg</t>
  </si>
  <si>
    <t>https://dd3ka9h4chfr8.cloudfront.net/image/725136000567/image_5usp2d08hp6l511m4hn45tc036/-FJPG/242354-007_DET_2.jpg</t>
  </si>
  <si>
    <t>https://dd3ka9h4chfr8.cloudfront.net/image/725136000567/image_p8pll78t953h53lu94ukngi73e/-FJPG/242354-007_DET_1.jpg</t>
  </si>
  <si>
    <t>https://dd3ka9h4chfr8.cloudfront.net/image/725136000567/image_t75k0kj1v15mtd8ig021cabu60/-FJPG/242354-007_DET_3.jpg</t>
  </si>
  <si>
    <t>https://dd3ka9h4chfr8.cloudfront.net/image/725136000567/image_2g9fuu4ga15tjbnlskiiuic711/-FJPG/242354-007_TOP_1.jpg</t>
  </si>
  <si>
    <t>https://dd3ka9h4chfr8.cloudfront.net/image/725136000567/image_g6bthfscv548lerd289659bu6i/-FJPG/242354-007_DET_4.jpg</t>
  </si>
  <si>
    <t>https://dd3ka9h4chfr8.cloudfront.net/image/725136000567/image_tm6jmhqcgd2e12fv7bod08ic7k/-FJPG/242354-007_DET_5.jpg</t>
  </si>
  <si>
    <t>https://dd3ka9h4chfr8.cloudfront.net/image/725136000567/image_l22fdk68752e17f5moeomm5h42/-FJPG/242354-007_DET_6.jpg</t>
  </si>
  <si>
    <t>242452-001</t>
  </si>
  <si>
    <t>Kirby Accent Bench - Solema Cream</t>
  </si>
  <si>
    <t>Style this modern accent bench just about anywhere. A cradle base of wire-brushed parawood supports heavily textured upholstered seating.</t>
  </si>
  <si>
    <t>https://dd3ka9h4chfr8.cloudfront.net/image/725136000567/image_qpjjf10ukp3aneihaen24pk05f/-S150x150-FJPG/242452-001_PRM_1.JPG</t>
  </si>
  <si>
    <t>https://dd3ka9h4chfr8.cloudfront.net/image/725136000567/image_k596ro98jl2855vn4mdp8fj05p/-FJPG/242452-001_FRT_1.JPG</t>
  </si>
  <si>
    <t>https://dd3ka9h4chfr8.cloudfront.net/image/725136000567/image_qpjjf10ukp3aneihaen24pk05f/-FJPG/242452-001_PRM_1.JPG</t>
  </si>
  <si>
    <t>https://dd3ka9h4chfr8.cloudfront.net/image/725136000567/image_d3c577ob3p1e359i5ijqne1n3g/-FJPG/242452-001_SID_1.JPG</t>
  </si>
  <si>
    <t>https://dd3ka9h4chfr8.cloudfront.net/image/725136000567/image_vg03cq7nfl0vt8411ids1jet22/-FJPG/242452-001_ESS.tif</t>
  </si>
  <si>
    <t>https://dd3ka9h4chfr8.cloudfront.net/image/725136000567/image_a8n2cbdcd105t7meh4jud0t75u/-FJPG/242452-001_DET_2.JPG</t>
  </si>
  <si>
    <t>https://dd3ka9h4chfr8.cloudfront.net/image/725136000567/image_edqrqaecht4r1ar3287ghjt61o/-FJPG/242452-001_DET_1.JPG</t>
  </si>
  <si>
    <t>https://dd3ka9h4chfr8.cloudfront.net/image/725136000567/image_q4li6bcn757kf8r2fbklnbc405/-FJPG/242452-001_DET_3.JPG</t>
  </si>
  <si>
    <t>https://dd3ka9h4chfr8.cloudfront.net/image/725136000567/image_1hojh20lvp03326sal9n18284n/-FJPG/242452-001_DET_4.JPG</t>
  </si>
  <si>
    <t>https://dd3ka9h4chfr8.cloudfront.net/image/725136000567/image_ga64jjvoat5q1aef1j9edr2v1s/-FJPG/242452-001_DET_9.tif</t>
  </si>
  <si>
    <t>https://dd3ka9h4chfr8.cloudfront.net/image/725136000567/image_uqp86998dp1hp95nc1isnbob4j/-FJPG/242452-001_DET_10.tif</t>
  </si>
  <si>
    <t>Kirby</t>
  </si>
  <si>
    <t>242452-003</t>
  </si>
  <si>
    <t>Kirby Accent Bench - Sutton Olive</t>
  </si>
  <si>
    <t>Sutton Olive</t>
  </si>
  <si>
    <t>https://dd3ka9h4chfr8.cloudfront.net/image/725136000567/image_vnlur73gm548f7c5c56p94292o/-S150x150-FJPG/242452-003_PRM_1.jpg</t>
  </si>
  <si>
    <t>https://dd3ka9h4chfr8.cloudfront.net/image/725136000567/image_2cvfu91vk14l1bu3r46rm43t70/-FJPG/242452-003_FRT_1.jpg</t>
  </si>
  <si>
    <t>https://dd3ka9h4chfr8.cloudfront.net/image/725136000567/image_vnlur73gm548f7c5c56p94292o/-FJPG/242452-003_PRM_1.jpg</t>
  </si>
  <si>
    <t>https://dd3ka9h4chfr8.cloudfront.net/image/725136000567/image_fdl5rofntp7s19svdi84vqns6r/-FJPG/242452-003_SID_1.jpg</t>
  </si>
  <si>
    <t>https://dd3ka9h4chfr8.cloudfront.net/image/725136000567/image_6u4cal3bf91qv3au46mhq3kn62/-FJPG/242452-003_DET_2.jpg</t>
  </si>
  <si>
    <t>https://dd3ka9h4chfr8.cloudfront.net/image/725136000567/image_9tlepl90ft0913p580jo4ai00t/-FJPG/242452-003_DET_1.jpg</t>
  </si>
  <si>
    <t>https://dd3ka9h4chfr8.cloudfront.net/image/725136000567/image_lshihbaurt4sre843ct3gl0r02/-FJPG/242452-003_DET_3.jpg</t>
  </si>
  <si>
    <t>https://dd3ka9h4chfr8.cloudfront.net/image/725136000567/image_kqljf4hbkp3gt73kacdaoe6f62/-FJPG/242452-003_DET_4.jpg</t>
  </si>
  <si>
    <t>https://dd3ka9h4chfr8.cloudfront.net/image/725136000567/image_dsgn6dgve5757ahbk8q9s1rn2h/-FJPG/242452-003_DET_5.jpg</t>
  </si>
  <si>
    <t>242452-004</t>
  </si>
  <si>
    <t>Kirby Accent Bench - Alcala Cream</t>
  </si>
  <si>
    <t>Style this modern accent bench just about anywhere. A cradle base of wire-brushed parawood supports a linen-like upholstered seat. Performance fabrics are specially created to withstand spills, stains, high traffic and wear, ensuring long-term comfort and unmatched durability.</t>
  </si>
  <si>
    <t>https://dd3ka9h4chfr8.cloudfront.net/image/725136000567/image_t7v24q36op2mv3tokml4f5kn1l/-S150x150-FJPG/242452-004_PRM_1.JPG</t>
  </si>
  <si>
    <t>https://dd3ka9h4chfr8.cloudfront.net/image/725136000567/image_t2v1on3j3h3f77l4qdp9irua3e/-FJPG/242452-004_FRT_1.JPG</t>
  </si>
  <si>
    <t>https://dd3ka9h4chfr8.cloudfront.net/image/725136000567/image_t7v24q36op2mv3tokml4f5kn1l/-FJPG/242452-004_PRM_1.JPG</t>
  </si>
  <si>
    <t>https://dd3ka9h4chfr8.cloudfront.net/image/725136000567/image_plr1rlkerh3rv64bfiie8ll15n/-FJPG/242452-004_SID_1.JPG</t>
  </si>
  <si>
    <t>https://dd3ka9h4chfr8.cloudfront.net/image/725136000567/image_ep9aao7dj12ft7d19sek20r708/-FJPG/242452-004_DET_2.JPG</t>
  </si>
  <si>
    <t>https://dd3ka9h4chfr8.cloudfront.net/image/725136000567/image_scevks6srh6jtauhfdgf73di2c/-FJPG/242452-004_DET_1.JPG</t>
  </si>
  <si>
    <t>https://dd3ka9h4chfr8.cloudfront.net/image/725136000567/image_ue966aa7hd38v60bl91gj1511g/-FJPG/242452-004_DET_3.JPG</t>
  </si>
  <si>
    <t>https://dd3ka9h4chfr8.cloudfront.net/image/725136000567/image_ash3ie83m11h9digj7r0rlc569/-FJPG/242452-004_DET_4.JPG</t>
  </si>
  <si>
    <t>https://dd3ka9h4chfr8.cloudfront.net/image/725136000567/image_0flem3mnll0cp528r536rk5n6o/-FJPG/242452-004_DET_5.JPG</t>
  </si>
  <si>
    <t>https://dd3ka9h4chfr8.cloudfront.net/image/725136000567/image_6g35cg0f4p6ghcl1hkbf6eop76/-FJPG/242452-004_DET_6.JPG</t>
  </si>
  <si>
    <t>242725-005</t>
  </si>
  <si>
    <t>Noeline Sideboard - Cracked Smoked Black Veneer</t>
  </si>
  <si>
    <t>Made from resawn oak in a rustic black finish, a long, streamlined sideboard offers ample storage space behind four push-latch doors. Subtly rounded corners add softness to otherwise clean lines, while knots and graining offer a naturally rich look. Dual rear cutouts for seamless cord management.</t>
  </si>
  <si>
    <t>https://dd3ka9h4chfr8.cloudfront.net/image/725136000567/image_lhs77l1gjd7ir3p6ni67e16e4j/-S150x150-FJPG/242725-005_PRM_1.jpg</t>
  </si>
  <si>
    <t>https://dd3ka9h4chfr8.cloudfront.net/image/725136000567/image_0ak51nof3h5ql3pn262c23ti5j/-FJPG/242725-005_FRT_1.jpg</t>
  </si>
  <si>
    <t>https://dd3ka9h4chfr8.cloudfront.net/image/725136000567/image_lhs77l1gjd7ir3p6ni67e16e4j/-FJPG/242725-005_PRM_1.jpg</t>
  </si>
  <si>
    <t>https://dd3ka9h4chfr8.cloudfront.net/image/725136000567/image_t3h486e6el3ev8c2akcup66i5k/-FJPG/242725-005_SID_1.jpg</t>
  </si>
  <si>
    <t>https://dd3ka9h4chfr8.cloudfront.net/image/725136000567/image_2q3qka053p5lhafc1chvksor20/-FJPG/242725-005_DET_2.jpg</t>
  </si>
  <si>
    <t>https://dd3ka9h4chfr8.cloudfront.net/image/725136000567/image_nggdhbmm1174h5vfcaevtf6j7l/-FJPG/242725-005_BCK_1.jpg</t>
  </si>
  <si>
    <t>https://dd3ka9h4chfr8.cloudfront.net/image/725136000567/image_pp09cqq2p57k5dfs3891sgac3l/-FJPG/242725-005_DET_1.jpg</t>
  </si>
  <si>
    <t>https://dd3ka9h4chfr8.cloudfront.net/image/725136000567/image_1ubot4f7ad2grbnta2sol1dv6l/-FJPG/242725-005_DET_3.jpg</t>
  </si>
  <si>
    <t>https://dd3ka9h4chfr8.cloudfront.net/image/725136000567/image_pq9ek2la3h39fa5visg7slda2a/-FJPG/242725-005_OPN_1.jpg</t>
  </si>
  <si>
    <t>https://dd3ka9h4chfr8.cloudfront.net/image/725136000567/image_smiea2pkdd721fk0o9gmfpkg1i/-FJPG/242725-005_TOP_1.jpg</t>
  </si>
  <si>
    <t>https://dd3ka9h4chfr8.cloudfront.net/image/725136000567/image_usa3v122sp7134ml0bpqbk7928/-FJPG/242725-005_DET_4.jpg</t>
  </si>
  <si>
    <t>https://dd3ka9h4chfr8.cloudfront.net/image/725136000567/image_3rpcuibr4h7in0cq7159me993g/-FJPG/242725-005_DET_5.jpg</t>
  </si>
  <si>
    <t>https://dd3ka9h4chfr8.cloudfront.net/image/725136000567/image_i4bp81m4451rbaif0v9ih5e45a/-FJPG/242725-005_DET_6.jpg</t>
  </si>
  <si>
    <t>22.68"</t>
  </si>
  <si>
    <t>44.51"</t>
  </si>
  <si>
    <t>22.66"</t>
  </si>
  <si>
    <t>242780-001</t>
  </si>
  <si>
    <t>Reza Desk - Smoked Honey</t>
  </si>
  <si>
    <t>Midcentury meets Shaker. Made from solid acacia and finished in a light, smoked honey, with an arched cradle base. Vary-sized drawers bring generous storage space to the home office.</t>
  </si>
  <si>
    <t>https://dd3ka9h4chfr8.cloudfront.net/image/725136000567/image_4urb9b82nt7vj2o5jo388pmg3k/-S150x150-FJPG/242780-001_PRM_1.jpg</t>
  </si>
  <si>
    <t>https://dd3ka9h4chfr8.cloudfront.net/image/725136000567/image_iu7jib7c2l28t0i6eps247ol64/-FJPG/242780-001_FRT_1.jpg</t>
  </si>
  <si>
    <t>https://dd3ka9h4chfr8.cloudfront.net/image/725136000567/image_4urb9b82nt7vj2o5jo388pmg3k/-FJPG/242780-001_PRM_1.jpg</t>
  </si>
  <si>
    <t>https://dd3ka9h4chfr8.cloudfront.net/image/725136000567/image_jiguoig0hd3sr70mjuap9p4271/-FJPG/242780-001_SID_1.jpg</t>
  </si>
  <si>
    <t>https://dd3ka9h4chfr8.cloudfront.net/image/725136000567/image_n5hogogdml0cjca9bel6ri2k0n/-FJPG/242780-001_DET_2.jpg</t>
  </si>
  <si>
    <t>https://dd3ka9h4chfr8.cloudfront.net/image/725136000567/image_6psiese1sp30l1poh5nd82pp6d/-FJPG/242780-001_BCK_1.jpg</t>
  </si>
  <si>
    <t>https://dd3ka9h4chfr8.cloudfront.net/image/725136000567/image_23rk1v0dp14ch3496b2kj66b1s/-FJPG/242780-001_DET_1.jpg</t>
  </si>
  <si>
    <t>https://dd3ka9h4chfr8.cloudfront.net/image/725136000567/image_62676nrmn11kt697hvvsi4ef3i/-FJPG/242780-001_DET_3.jpg</t>
  </si>
  <si>
    <t>https://dd3ka9h4chfr8.cloudfront.net/image/725136000567/image_mnbnjhthc57kt6srndhg1ti157/-FJPG/242780-001_OPN_1.jpg</t>
  </si>
  <si>
    <t>https://dd3ka9h4chfr8.cloudfront.net/image/725136000567/image_5a09rs0nfd7317pou5n4btju0a/-FJPG/242780-001_TOP_1.jpg</t>
  </si>
  <si>
    <t>https://dd3ka9h4chfr8.cloudfront.net/image/725136000567/image_igl95dif393jp6md63i46v1a5k/-FJPG/242780-001_DET_4.jpg</t>
  </si>
  <si>
    <t>https://dd3ka9h4chfr8.cloudfront.net/image/725136000567/image_j5g85up2j11jdd0m9tb4pa211g/-FJPG/242780-001_DET_4.jpg</t>
  </si>
  <si>
    <t>https://dd3ka9h4chfr8.cloudfront.net/image/725136000567/image_eqake7676d6theddm9m7bpuu11/-FJPG/242780-001_DET_5.jpg</t>
  </si>
  <si>
    <t>https://dd3ka9h4chfr8.cloudfront.net/image/725136000567/image_5h4nilgauh52ta06dgr7pj8q6v/-FJPG/242780-001_DET_6.jpg</t>
  </si>
  <si>
    <t>https://dd3ka9h4chfr8.cloudfront.net/image/725136000567/image_1l5b1ilc6t2mb83qflchgr0i6k/-FJPG/242780-001_DET_7.jpg</t>
  </si>
  <si>
    <t>11.88"</t>
  </si>
  <si>
    <t>14.63"</t>
  </si>
  <si>
    <t>242780-002</t>
  </si>
  <si>
    <t>Reza Desk - Worn Black Parawood</t>
  </si>
  <si>
    <t>A storage-driven desk made from solid acacia and finished in a distressed black. Twist-lock metal hardware adds a clever finishing touch.</t>
  </si>
  <si>
    <t>https://dd3ka9h4chfr8.cloudfront.net/image/725136000567/image_d8r2jp4pu51qn97b8u6vt6ee6k/-S150x150-FJPG/242780-002_PRM_1.jpg</t>
  </si>
  <si>
    <t>https://dd3ka9h4chfr8.cloudfront.net/image/725136000567/image_hi1gagm7c12av4t5nmb9j80a7m/-FJPG/242780-002_FRT_1.jpg</t>
  </si>
  <si>
    <t>https://dd3ka9h4chfr8.cloudfront.net/image/725136000567/image_d8r2jp4pu51qn97b8u6vt6ee6k/-FJPG/242780-002_PRM_1.jpg</t>
  </si>
  <si>
    <t>https://dd3ka9h4chfr8.cloudfront.net/image/725136000567/image_kpn2soqiet7jt2vvabp2abif7a/-FJPG/242780-002_SID_1.jpg</t>
  </si>
  <si>
    <t>https://dd3ka9h4chfr8.cloudfront.net/image/725136000567/image_ik15ikrs8p6a52slvb19ug737o/-FJPG/242780-002_ESS.tif</t>
  </si>
  <si>
    <t>https://dd3ka9h4chfr8.cloudfront.net/image/725136000567/image_j0pd8k3o8l09pbqbaggl8d1a4u/-FJPG/242780-002_DET_2.jpg</t>
  </si>
  <si>
    <t>https://dd3ka9h4chfr8.cloudfront.net/image/725136000567/image_v4odhddj7553959mgq68dcun3o/-FJPG/242780-002_BCK_1.jpg</t>
  </si>
  <si>
    <t>https://dd3ka9h4chfr8.cloudfront.net/image/725136000567/image_m4c7p0il4p4pd40v3931298n18/-FJPG/242780-002_DET_1.jpg</t>
  </si>
  <si>
    <t>https://dd3ka9h4chfr8.cloudfront.net/image/725136000567/image_8qe98l8pvt1691k2knaphvo24j/-FJPG/242780-002_DET_3.jpg</t>
  </si>
  <si>
    <t>https://dd3ka9h4chfr8.cloudfront.net/image/725136000567/image_hsb6qmq0i549v3gbr2n9v7jc0r/-FJPG/242780-002_OPN_1.jpg</t>
  </si>
  <si>
    <t>https://dd3ka9h4chfr8.cloudfront.net/image/725136000567/image_4vqbi1sd394ojfcpkc0nl0tt5e/-FJPG/242780-002_TOP_1.jpg</t>
  </si>
  <si>
    <t>https://dd3ka9h4chfr8.cloudfront.net/image/725136000567/image_ie0krpei5p2ojbdt4urgmief0a/-FJPG/242780-002_DET_4.jpg</t>
  </si>
  <si>
    <t>https://dd3ka9h4chfr8.cloudfront.net/image/725136000567/image_ieuo94oku91o34jm8khopda827/-FJPG/242780-002_DET_5.jpg</t>
  </si>
  <si>
    <t>https://dd3ka9h4chfr8.cloudfront.net/image/725136000567/image_4mqj55mh6l1dvbks1m0jj1647k/-FJPG/242780-002_DET_6.jpg</t>
  </si>
  <si>
    <t>https://dd3ka9h4chfr8.cloudfront.net/image/725136000567/image_v9puh2g7l17tb13t9e23l6iv5o/-FJPG/242780-002_DET_9.tif</t>
  </si>
  <si>
    <t>242923-001</t>
  </si>
  <si>
    <t>Goetz Bar + Counter Table - Honed White Marble</t>
  </si>
  <si>
    <t>Brown Oak</t>
  </si>
  <si>
    <t>For this fresh take on traditional tulip shaping, a solid oak base pairs with a solid marble tabletop.  Perfectly sized for the bar.</t>
  </si>
  <si>
    <t>https://dd3ka9h4chfr8.cloudfront.net/image/725136000567/image_r3ugfghcth6pl5icdosg8ctd3b/-S150x150-FJPG/242923-001_PRM_1.JPG</t>
  </si>
  <si>
    <t>https://dd3ka9h4chfr8.cloudfront.net/image/725136000567/image_r3ugfghcth6pl5icdosg8ctd3b/-FJPG/242923-001_PRM_1.JPG</t>
  </si>
  <si>
    <t>https://dd3ka9h4chfr8.cloudfront.net/image/725136000567/image_k3nlmeso011gf20mjvavmkep6q/-FJPG/242923-002_ESS.tif</t>
  </si>
  <si>
    <t>https://dd3ka9h4chfr8.cloudfront.net/image/725136000567/image_5ita6lhn1d3k5fqpd7n5oop32v/-FJPG/242923-001_DET_2.JPG</t>
  </si>
  <si>
    <t>https://dd3ka9h4chfr8.cloudfront.net/image/725136000567/image_rt8s1nd8rh5r922f39499i464k/-FJPG/242923-001_DET_1.JPG</t>
  </si>
  <si>
    <t>https://dd3ka9h4chfr8.cloudfront.net/image/725136000567/image_pp8pebn3n15rb6rgngeq0bg60b/-FJPG/242923-001_DET_3.JPG</t>
  </si>
  <si>
    <t>https://dd3ka9h4chfr8.cloudfront.net/image/725136000567/image_5p55e0le9h6af8prs30on9r13c/-FJPG/242923-001_DET_4.JPG</t>
  </si>
  <si>
    <t>https://dd3ka9h4chfr8.cloudfront.net/image/725136000567/image_p3r6t358mt3e360i4g719sj931/-FJPG/242923-001_DET_5.JPG</t>
  </si>
  <si>
    <t>Goetz</t>
  </si>
  <si>
    <t>41.75"</t>
  </si>
  <si>
    <t>242923-002</t>
  </si>
  <si>
    <t>For this fresh take on traditional tulip shaping, a solid oak base pairs with a solid marble tabletop. Perfectly sized for the counter.</t>
  </si>
  <si>
    <t>https://dd3ka9h4chfr8.cloudfront.net/image/725136000567/image_el495b8obt7911litr4tnldp6i/-S150x150-FJPG/242923-002_PRM_1.JPG</t>
  </si>
  <si>
    <t>https://dd3ka9h4chfr8.cloudfront.net/image/725136000567/image_el495b8obt7911litr4tnldp6i/-FJPG/242923-002_PRM_1.JPG</t>
  </si>
  <si>
    <t>https://dd3ka9h4chfr8.cloudfront.net/image/725136000567/image_7t9ffdspj53ob72si7kbvdbu2m/-FJPG/242923-002_DET_2.JPG</t>
  </si>
  <si>
    <t>https://dd3ka9h4chfr8.cloudfront.net/image/725136000567/image_jls2g7jvgh6obdv682ukqdrc4n/-FJPG/242923-002_DET_1.JPG</t>
  </si>
  <si>
    <t>https://dd3ka9h4chfr8.cloudfront.net/image/725136000567/image_osd4ds6ba952hfj7avf13s9s6e/-FJPG/242923-002_DET_3.JPG</t>
  </si>
  <si>
    <t>https://dd3ka9h4chfr8.cloudfront.net/image/725136000567/image_u3rjp88lu51er5ttcg48aupl2i/-FJPG/242923-002_DET_4.JPG</t>
  </si>
  <si>
    <t>https://dd3ka9h4chfr8.cloudfront.net/image/725136000567/image_hs6l5hkb6t3bn2cfba652kuc5m/-FJPG/242923-002_DET_5.JPG</t>
  </si>
  <si>
    <t>35.75"</t>
  </si>
  <si>
    <t>242923-005</t>
  </si>
  <si>
    <t>Goetz Bar + Counter Table - Brown Oak Veneer</t>
  </si>
  <si>
    <t>Brown Oak Veneer</t>
  </si>
  <si>
    <t>For this fresh take on traditional tulip shaping, a solid oak base with ring detailing pairs with an oak veneer tabletop. Perfectly sized for the bar.</t>
  </si>
  <si>
    <t>https://dd3ka9h4chfr8.cloudfront.net/image/725136000567/image_cng33t4ek95gh98khhv7uebf1v/-S150x150-FJPG/242923-005_PRM_1.jpg</t>
  </si>
  <si>
    <t>https://dd3ka9h4chfr8.cloudfront.net/image/725136000567/image_cng33t4ek95gh98khhv7uebf1v/-FJPG/242923-005_PRM_1.jpg</t>
  </si>
  <si>
    <t>https://dd3ka9h4chfr8.cloudfront.net/image/725136000567/image_m7o7bv2pc1281059mt14p31p5a/-FJPG/242923-005_PRM_1.JPG</t>
  </si>
  <si>
    <t>https://dd3ka9h4chfr8.cloudfront.net/image/725136000567/image_tchmee4q7h2gp5db04t3oc0s1r/-FJPG/242923-006_ESS.tif</t>
  </si>
  <si>
    <t>https://dd3ka9h4chfr8.cloudfront.net/image/725136000567/image_si80r0ocdt0ddbmanl9kc9gq3k/-FJPG/242923-005_DET_2.jpg</t>
  </si>
  <si>
    <t>https://dd3ka9h4chfr8.cloudfront.net/image/725136000567/image_2r9v3h5hgt23191jc9c5349i3f/-FJPG/242923-005_DET_2.JPG</t>
  </si>
  <si>
    <t>https://dd3ka9h4chfr8.cloudfront.net/image/725136000567/image_t93mtgdocl5e364791majbal4r/-FJPG/242923-005_DET_1.JPG</t>
  </si>
  <si>
    <t>https://dd3ka9h4chfr8.cloudfront.net/image/725136000567/image_hukg4hhdhh0snfqgk0dhf8ie21/-FJPG/242923-005_DET_1.jpg</t>
  </si>
  <si>
    <t>https://dd3ka9h4chfr8.cloudfront.net/image/725136000567/image_qf548401713ed72pgui8s7406h/-FJPG/242923-005_DET_3.JPG</t>
  </si>
  <si>
    <t>https://dd3ka9h4chfr8.cloudfront.net/image/725136000567/image_1oi6qtkcqd2mn01rnrkqakvn18/-FJPG/242923-005_DET_3.jpg</t>
  </si>
  <si>
    <t>https://dd3ka9h4chfr8.cloudfront.net/image/725136000567/image_anda82jo4969d4ue347bdoqn41/-FJPG/242923-005_DET_4.jpg</t>
  </si>
  <si>
    <t>https://dd3ka9h4chfr8.cloudfront.net/image/725136000567/image_j6e024llrd1r78q6vhrol5u07d/-FJPG/242923-005_DET_4.JPG</t>
  </si>
  <si>
    <t>https://dd3ka9h4chfr8.cloudfront.net/image/725136000567/image_7au0jqdhed6crdlqu4uc18ca64/-FJPG/242923-005_DET_5.jpg</t>
  </si>
  <si>
    <t>https://dd3ka9h4chfr8.cloudfront.net/image/725136000567/image_4d9tl47mah7ar1ep4jcn4du544/-FJPG/242923-005_DET_5.JPG</t>
  </si>
  <si>
    <t>https://dd3ka9h4chfr8.cloudfront.net/image/725136000567/image_u99kapgett2ub08vge9r31tg6j/-FJPG/242923-005_DET_6.jpg</t>
  </si>
  <si>
    <t>242923-006</t>
  </si>
  <si>
    <t>For this fresh take on traditional tulip shaping, a solid oak base with ring detailing pairs with an oak veneer tabletop. Perfectly sized for the counter.</t>
  </si>
  <si>
    <t>https://dd3ka9h4chfr8.cloudfront.net/image/725136000567/image_eh8o3gn3r17idfhadtf13i9676/-S150x150-FJPG/242923-006_PRM_1.JPG</t>
  </si>
  <si>
    <t>https://dd3ka9h4chfr8.cloudfront.net/image/725136000567/image_eh8o3gn3r17idfhadtf13i9676/-FJPG/242923-006_PRM_1.JPG</t>
  </si>
  <si>
    <t>https://dd3ka9h4chfr8.cloudfront.net/image/725136000567/image_jrqsk6dus137f41379tu59jh1f/-FJPG/242923-006_DET_2.JPG</t>
  </si>
  <si>
    <t>https://dd3ka9h4chfr8.cloudfront.net/image/725136000567/image_kea0ju4p5p3en8ujtnv2ei8s6j/-FJPG/242923-006_DET_1.JPG</t>
  </si>
  <si>
    <t>https://dd3ka9h4chfr8.cloudfront.net/image/725136000567/image_bfh0e5vk3p5pte7ruf74r5g11c/-FJPG/242923-006_DET_3.JPG</t>
  </si>
  <si>
    <t>https://dd3ka9h4chfr8.cloudfront.net/image/725136000567/image_mvntnoa4op27d64os4cg16tj1j/-FJPG/242923-006_DET_4.JPG</t>
  </si>
  <si>
    <t>https://dd3ka9h4chfr8.cloudfront.net/image/725136000567/image_o92itojmt55dpfsnlotnmt0657/-FJPG/242923-006_DET_5.JPG</t>
  </si>
  <si>
    <t>242971-001</t>
  </si>
  <si>
    <t>Yann Sofa-96" - Palermo Drift</t>
  </si>
  <si>
    <t>Whitmore</t>
  </si>
  <si>
    <t>A wider, sleeker take on a modern sofa. Two thin wood slab sides support a tightly stitched midcentury frame and boxed arms, giving the piece a sculptural look. Oversized cushions in a two-over-two format are covered in a taupe top-grain leather.</t>
  </si>
  <si>
    <t>https://dd3ka9h4chfr8.cloudfront.net/image/725136000567/image_5f9e45rusd4vl1bgcbqpvnav0t/-S150x150-FJPG/242971-001_PRM_1.jpg</t>
  </si>
  <si>
    <t>https://dd3ka9h4chfr8.cloudfront.net/image/725136000567/image_jr0pfclgrd1v15vnor5bfo542s/-FJPG/242971-001_FRT_1.jpg</t>
  </si>
  <si>
    <t>https://dd3ka9h4chfr8.cloudfront.net/image/725136000567/image_5f9e45rusd4vl1bgcbqpvnav0t/-FJPG/242971-001_PRM_1.jpg</t>
  </si>
  <si>
    <t>https://dd3ka9h4chfr8.cloudfront.net/image/725136000567/image_2a639190bd5ctaanpjjtpeos0c/-FJPG/242971-001_SID_1.jpg</t>
  </si>
  <si>
    <t>https://dd3ka9h4chfr8.cloudfront.net/image/725136000567/image_ul62i8vomp6pdeq5kqqqputd59/-FJPG/242971-001_ESS.tif</t>
  </si>
  <si>
    <t>https://dd3ka9h4chfr8.cloudfront.net/image/725136000567/image_5flbnh9hp96of7bfgjp6bqhs0d/-FJPG/242971-001_DET_2.jpg</t>
  </si>
  <si>
    <t>https://dd3ka9h4chfr8.cloudfront.net/image/725136000567/image_gf9rivcm3h20fc2ltdvnbdjf5m/-FJPG/242971-001_BCK_1.jpg</t>
  </si>
  <si>
    <t>https://dd3ka9h4chfr8.cloudfront.net/image/725136000567/image_fm8h2fjv413st3fdugm4lo9c5l/-FJPG/242971-001_DET_1.jpg</t>
  </si>
  <si>
    <t>https://dd3ka9h4chfr8.cloudfront.net/image/725136000567/image_ia88j5s75t691e36t8btpk5a3m/-FJPG/242971-001_DET_3.jpg</t>
  </si>
  <si>
    <t>https://dd3ka9h4chfr8.cloudfront.net/image/725136000567/image_pjjp7g29l54u51o3uf0be97n3l/-FJPG/242971-001_DET_4.jpg</t>
  </si>
  <si>
    <t>https://dd3ka9h4chfr8.cloudfront.net/image/725136000567/image_jm3st7fjql5epdvcb7gk80q970/-FJPG/242971-001_DET_5.jpg</t>
  </si>
  <si>
    <t>https://dd3ka9h4chfr8.cloudfront.net/image/725136000567/image_j95so7astd2kdc0ov83qspa421/-FJPG/242971-001_DET_6.jpg</t>
  </si>
  <si>
    <t>https://dd3ka9h4chfr8.cloudfront.net/image/725136000567/image_isfioe445h1339i30bgg9o3a33/-FJPG/242971-001_DET_7.jpg</t>
  </si>
  <si>
    <t>https://dd3ka9h4chfr8.cloudfront.net/image/725136000567/image_9nbaoqg09d55f7vd6vfmg2na5a/-FJPG/242971-001_DET_8.jpg</t>
  </si>
  <si>
    <t>Sofa</t>
  </si>
  <si>
    <t>38.35"</t>
  </si>
  <si>
    <t>17.87"</t>
  </si>
  <si>
    <t>76.69"</t>
  </si>
  <si>
    <t>35% Foam, 65% Feather</t>
  </si>
  <si>
    <t>Yann</t>
  </si>
  <si>
    <t>40.47"</t>
  </si>
  <si>
    <t>74.09"</t>
  </si>
  <si>
    <t>243056-001</t>
  </si>
  <si>
    <t>Aniston Chaise - Andes Natural</t>
  </si>
  <si>
    <t>This versatile accent chair is upholstered in a faux Mongolian shearling with a textural high pile. A contrasting, chunky parawood frame hugs the seat and is wire-brushed for a warm, vintage feel.</t>
  </si>
  <si>
    <t>https://dd3ka9h4chfr8.cloudfront.net/image/725136000567/image_vemgu7c7ep0075b0scdgk63j2a/-S150x150-FJPG/243056-001_PRM_1.jpg</t>
  </si>
  <si>
    <t>https://dd3ka9h4chfr8.cloudfront.net/image/725136000567/image_9hoqj9ii9t7opa0drl8dov3d4q/-FJPG/243056-001_FRT_1.jpg</t>
  </si>
  <si>
    <t>https://dd3ka9h4chfr8.cloudfront.net/image/725136000567/image_vemgu7c7ep0075b0scdgk63j2a/-FJPG/243056-001_PRM_1.jpg</t>
  </si>
  <si>
    <t>https://dd3ka9h4chfr8.cloudfront.net/image/725136000567/image_8fb72ksgrh7jnbqch6cn1an35j/-FJPG/243056-001_SID_1.jpg</t>
  </si>
  <si>
    <t>https://dd3ka9h4chfr8.cloudfront.net/image/725136000567/image_j9eqp1tbe973r8kjb8qb8htv2i/-FJPG/243056-001_ESS.tif</t>
  </si>
  <si>
    <t>https://dd3ka9h4chfr8.cloudfront.net/image/725136000567/image_afatgb8udl00dc55gi7emog31e/-FJPG/243056-001_DET_2.jpg</t>
  </si>
  <si>
    <t>https://dd3ka9h4chfr8.cloudfront.net/image/725136000567/image_se1krbps1d1532bqadl3refj4t/-FJPG/243056-001_BCK_1.jpg</t>
  </si>
  <si>
    <t>https://dd3ka9h4chfr8.cloudfront.net/image/725136000567/image_ionpgmgqu56e33jbcnv7gr1t2v/-FJPG/243056-001_DET_1.jpg</t>
  </si>
  <si>
    <t>https://dd3ka9h4chfr8.cloudfront.net/image/725136000567/image_dftgicejfp08h0124e5s6q165o/-FJPG/243056-001_DET_3.jpg</t>
  </si>
  <si>
    <t>https://dd3ka9h4chfr8.cloudfront.net/image/725136000567/image_8uu6elpui13ct9otouea5mqq7m/-FJPG/243056-001_DET_4.jpg</t>
  </si>
  <si>
    <t>https://dd3ka9h4chfr8.cloudfront.net/image/725136000567/image_sv33viuve94un6oa1mkr23ht24/-FJPG/243056-001_DET_5.jpg</t>
  </si>
  <si>
    <t>https://dd3ka9h4chfr8.cloudfront.net/image/725136000567/image_0ge4bt9125629cpm7142v41v3h/-FJPG/243056-001_DET_6.jpg</t>
  </si>
  <si>
    <t>Complete Item, L Shape Box: H1=820mm, H2=530mm.</t>
  </si>
  <si>
    <t>243064-006</t>
  </si>
  <si>
    <t>Sandro Chair - Champagne Mongolian Fur</t>
  </si>
  <si>
    <t>Champagne Mongolian Fur</t>
  </si>
  <si>
    <t>100% Wool Fur</t>
  </si>
  <si>
    <t>https://dd3ka9h4chfr8.cloudfront.net/image/725136000567/image_r14sf3dddh69p1l8vr511jt648/-S150x150-FJPG/243064-006_PRM_1.jpg</t>
  </si>
  <si>
    <t>https://dd3ka9h4chfr8.cloudfront.net/image/725136000567/image_087c7b6n7d209dubvnv4mha21v/-FJPG/243064-006_FRT_1.jpg</t>
  </si>
  <si>
    <t>https://dd3ka9h4chfr8.cloudfront.net/image/725136000567/image_r14sf3dddh69p1l8vr511jt648/-FJPG/243064-006_PRM_1.jpg</t>
  </si>
  <si>
    <t>https://dd3ka9h4chfr8.cloudfront.net/image/725136000567/image_43ncrih3113lbad0vkeg61lo5n/-FJPG/243064-006_SID_1.jpg</t>
  </si>
  <si>
    <t>https://dd3ka9h4chfr8.cloudfront.net/image/725136000567/image_319jmcalsl4r54no5uejpibg5g/-FJPG/243064-006_ESS.tif</t>
  </si>
  <si>
    <t>https://dd3ka9h4chfr8.cloudfront.net/image/725136000567/image_nhud94gnj11ibdetjdt4gb0e46/-FJPG/243064-006_DET_2.jpg</t>
  </si>
  <si>
    <t>https://dd3ka9h4chfr8.cloudfront.net/image/725136000567/image_vrd55hk8mh6fn6c2m7saa8t34q/-FJPG/243064-006_BCK_1.jpg</t>
  </si>
  <si>
    <t>https://dd3ka9h4chfr8.cloudfront.net/image/725136000567/image_ba7rh91r015kb5si7q6hlsoa4b/-FJPG/243064-006_DET_1.jpg</t>
  </si>
  <si>
    <t>https://dd3ka9h4chfr8.cloudfront.net/image/725136000567/image_kugmui6aut3mbdmgdc9t6g6n1e/-FJPG/243064-006_DET_3.jpg</t>
  </si>
  <si>
    <t>https://dd3ka9h4chfr8.cloudfront.net/image/725136000567/image_3op9fp063d1kpbd31bf7l2d832/-FJPG/243064-006_DET_4.jpg</t>
  </si>
  <si>
    <t>https://dd3ka9h4chfr8.cloudfront.net/image/725136000567/image_ngg4e78qvt2at2vghqktb7sk08/-FJPG/243064-006_DET_5.jpg</t>
  </si>
  <si>
    <t>https://dd3ka9h4chfr8.cloudfront.net/image/725136000567/image_2s1pa19i013p978ugpslh6904k/-FJPG/243064-006_DET_6.jpg</t>
  </si>
  <si>
    <t>https://dd3ka9h4chfr8.cloudfront.net/image/725136000567/image_267o8m1q5t64hfs0qq0qki5k17/-FJPG/243064-006_DET_9.tif</t>
  </si>
  <si>
    <t>https://dd3ka9h4chfr8.cloudfront.net/image/725136000567/image_s02d3pr5ph3kd0c0i810cqh212/-FJPG/243064-006_DET_10.tif</t>
  </si>
  <si>
    <t>Sandro</t>
  </si>
  <si>
    <t>243117-001</t>
  </si>
  <si>
    <t>Bethan Chair - Antwerp Taupe</t>
  </si>
  <si>
    <t>Antwerp Taupe</t>
  </si>
  <si>
    <t>Distressed Sable</t>
  </si>
  <si>
    <t>Unique texture modernizes this vintage-inspired design. On its back, natural paper cord is woven into a geometric windowpane, for a truly unique touch. Paddle arms, eased edges and petite finials reflect the expert artisanship behind this versatile piece, while feather-blend box cushions invite you to sit and stay a while. Steam fabric regularly for a tailored look. Performance fabrics are specially created to withstand spills, stains, high traffic and wear, ensuring long-term comfort and unmatched durability.</t>
  </si>
  <si>
    <t>https://dd3ka9h4chfr8.cloudfront.net/image/725136000567/image_2is30onjj952teii8i7f44qv78/-S150x150-FJPG/243117-001_PRM_1.jpg</t>
  </si>
  <si>
    <t>https://dd3ka9h4chfr8.cloudfront.net/image/725136000567/image_s1e3o69bd50fbe4c78qt4etp4n/-FJPG/243117-001_FRT_1.jpg</t>
  </si>
  <si>
    <t>https://dd3ka9h4chfr8.cloudfront.net/image/725136000567/image_2is30onjj952teii8i7f44qv78/-FJPG/243117-001_PRM_1.jpg</t>
  </si>
  <si>
    <t>https://dd3ka9h4chfr8.cloudfront.net/image/725136000567/image_vfu3fpj8jt7fd7sb7j1ucm9v17/-FJPG/243117-001_SID_1.jpg</t>
  </si>
  <si>
    <t>https://dd3ka9h4chfr8.cloudfront.net/image/725136000567/image_imuja4d7od0cbbl66gi5tnu35a/-FJPG/243117-001_ESS.tif</t>
  </si>
  <si>
    <t>https://dd3ka9h4chfr8.cloudfront.net/image/725136000567/image_bnnrkgqesh1lp4i6ii442rtm2d/-FJPG/243117-001_DET_2.jpg</t>
  </si>
  <si>
    <t>https://dd3ka9h4chfr8.cloudfront.net/image/725136000567/image_709m55809147l4nredifpe3o48/-FJPG/243117-001_BCK_1.jpg</t>
  </si>
  <si>
    <t>https://dd3ka9h4chfr8.cloudfront.net/image/725136000567/image_oe0fjpe2fp57p8hukgb949pk7a/-FJPG/243117-001_DET_1.jpg</t>
  </si>
  <si>
    <t>https://dd3ka9h4chfr8.cloudfront.net/image/725136000567/image_gd39pjptbl4ur46o84gqgqij0g/-FJPG/243117-001_DET_3.jpg</t>
  </si>
  <si>
    <t>https://dd3ka9h4chfr8.cloudfront.net/image/725136000567/image_4mi2dh5spl3i9797ftbvjpfu4g/-FJPG/243117-001_DET_4.jpg</t>
  </si>
  <si>
    <t>https://dd3ka9h4chfr8.cloudfront.net/image/725136000567/image_rl2tiuvn9h7sn0vp1fke7jlp2r/-FJPG/243117-001_DET_5.jpg</t>
  </si>
  <si>
    <t>https://dd3ka9h4chfr8.cloudfront.net/image/725136000567/image_12758oeri53or438ak2ftv860j/-FJPG/243117-001_DET_9.tif</t>
  </si>
  <si>
    <t>https://dd3ka9h4chfr8.cloudfront.net/image/725136000567/image_ifmf00uac12ltegmvo2fngld1n/-FJPG/243117-001_DET_10.tif</t>
  </si>
  <si>
    <t>45% Polyurethane Foam Pad, 40% Polyester Fiber Batting, 15% Waterfowl Feather</t>
  </si>
  <si>
    <t>Bethan</t>
  </si>
  <si>
    <t>45% Polyester Fiber Batting, 30% Polyurethane Foam Pad, 25% Waterfowl Feather</t>
  </si>
  <si>
    <t>No swivel</t>
  </si>
  <si>
    <t>243216-003</t>
  </si>
  <si>
    <t>Dover Bed - Hockney Linen</t>
  </si>
  <si>
    <t>Hockney Linen</t>
  </si>
  <si>
    <t>A heritage-inspired bed features soft curves and intricate carving along a rustic oak frame. A light, linen-upholstered headboard brings a touch a warmth to bedroom styling. Performance fabrics are specially created to withstand spills, stains, high traffic and wear, ensuring long-term comfort and unmatched durability.</t>
  </si>
  <si>
    <t>https://dd3ka9h4chfr8.cloudfront.net/image/725136000567/image_olu8qvgdcd12v9h3aag86dlb1u/-S150x150-FJPG/243216-003_PRM_1.jpg</t>
  </si>
  <si>
    <t>https://dd3ka9h4chfr8.cloudfront.net/image/725136000567/image_78cc07o4714jh6s1qc11c0p517/-FJPG/243216-003_FRT_1.jpg</t>
  </si>
  <si>
    <t>https://dd3ka9h4chfr8.cloudfront.net/image/725136000567/image_olu8qvgdcd12v9h3aag86dlb1u/-FJPG/243216-003_PRM_1.jpg</t>
  </si>
  <si>
    <t>https://dd3ka9h4chfr8.cloudfront.net/image/725136000567/image_o906rmarth7d7238jvbtt67f0n/-FJPG/243216-003_SID_1.jpg</t>
  </si>
  <si>
    <t>https://dd3ka9h4chfr8.cloudfront.net/image/725136000567/image_laoul1s2u52sb89vrmmlrmrf2j/-FJPG/243216-003_ESS.tif</t>
  </si>
  <si>
    <t>https://dd3ka9h4chfr8.cloudfront.net/image/725136000567/image_n8gf5bq3b947v5lp3qhjdclh3i/-FJPG/243216-003_ESS_1.tif</t>
  </si>
  <si>
    <t>https://dd3ka9h4chfr8.cloudfront.net/image/725136000567/image_iidd88cgl117jcach4sjinbk07/-FJPG/243216-003_DET_2.jpg</t>
  </si>
  <si>
    <t>https://dd3ka9h4chfr8.cloudfront.net/image/725136000567/image_c3uq56pobd3on3fj3cv284u93b/-FJPG/243216-003_BCK_1.jpg</t>
  </si>
  <si>
    <t>https://dd3ka9h4chfr8.cloudfront.net/image/725136000567/image_r003bo312d7mfdes97pjo5n16j/-FJPG/243216-003_BCK_1.jpg</t>
  </si>
  <si>
    <t>https://dd3ka9h4chfr8.cloudfront.net/image/725136000567/image_u28e861e0d6sp1nt1cer0n7723/-FJPG/243216-003_DET_1.jpg</t>
  </si>
  <si>
    <t>https://dd3ka9h4chfr8.cloudfront.net/image/725136000567/image_mikj19n3nl75n151rv8b1j0s3e/-FJPG/243216-003_DET_3.jpg</t>
  </si>
  <si>
    <t>https://dd3ka9h4chfr8.cloudfront.net/image/725136000567/image_120b02vg8h43f659qcnfsvji32/-FJPG/243216-003_DET_4.jpg</t>
  </si>
  <si>
    <t>https://dd3ka9h4chfr8.cloudfront.net/image/725136000567/image_jt02lbidq95gj98u2uua13425u/-FJPG/243216-003_DET_5.jpg</t>
  </si>
  <si>
    <t>https://dd3ka9h4chfr8.cloudfront.net/image/725136000567/image_ip56deeofh3svc29at4iqg1n6a/-FJPG/243216-003_DET_6.jpg</t>
  </si>
  <si>
    <t>https://dd3ka9h4chfr8.cloudfront.net/image/725136000567/image_t014p99uuh5fbd380ktkr11p0l/-FJPG/243216-003_DET_7.jpg</t>
  </si>
  <si>
    <t>https://dd3ka9h4chfr8.cloudfront.net/image/725136000567/image_uqi0bpurbh1cbck4eiit0fn32f/-FJPG/243216-003_DET_9.tif</t>
  </si>
  <si>
    <t>https://dd3ka9h4chfr8.cloudfront.net/image/725136000567/image_64118e5ffh0k9040c6f7s28g5q/-FJPG/243216-003_DET_10.tif</t>
  </si>
  <si>
    <t>https://dd3ka9h4chfr8.cloudfront.net/image/725136000567/image_rb4j0vo6n11q11mf1p01uupq48/-FJPG/FHMPRJ-018_SCENE-9.tif</t>
  </si>
  <si>
    <t>Side Rails, Slats, Middle Support Slats</t>
  </si>
  <si>
    <t>Dover</t>
  </si>
  <si>
    <t>65.63"</t>
  </si>
  <si>
    <t>48.90"</t>
  </si>
  <si>
    <t>82.99"</t>
  </si>
  <si>
    <t>13.27"</t>
  </si>
  <si>
    <t>58.90"</t>
  </si>
  <si>
    <t>243216-004</t>
  </si>
  <si>
    <t>81.77"</t>
  </si>
  <si>
    <t>75.04"</t>
  </si>
  <si>
    <t>243272-001</t>
  </si>
  <si>
    <t>Nigel 6 Drawer Dresser - Rustic Brown Acacia</t>
  </si>
  <si>
    <t>Rustic Brown Acacia</t>
  </si>
  <si>
    <t>Made from solid acacia and finished in a rustic brown, a six-drawer, waterfall-shaped dresser features soft volume, mitered corners and a faux live edge.</t>
  </si>
  <si>
    <t>https://dd3ka9h4chfr8.cloudfront.net/image/725136000567/image_j2bsgp3a8p7jr26id3oh704g1q/-S150x150-FJPG/243272-001_PRM_1.jpg</t>
  </si>
  <si>
    <t>https://dd3ka9h4chfr8.cloudfront.net/image/725136000567/image_qreuvi69sd6o1c888m21f2q87n/-FJPG/243272-001_FRT_1.jpg</t>
  </si>
  <si>
    <t>https://dd3ka9h4chfr8.cloudfront.net/image/725136000567/image_j2bsgp3a8p7jr26id3oh704g1q/-FJPG/243272-001_PRM_1.jpg</t>
  </si>
  <si>
    <t>https://dd3ka9h4chfr8.cloudfront.net/image/725136000567/image_mb5fnruqod0711nnnn3q28ul5k/-FJPG/243272-001_SID_1.jpg</t>
  </si>
  <si>
    <t>https://dd3ka9h4chfr8.cloudfront.net/image/725136000567/image_17sr1tfejl56fcl9827ap9153c/-FJPG/243272-001_ESS.tif</t>
  </si>
  <si>
    <t>https://dd3ka9h4chfr8.cloudfront.net/image/725136000567/image_n3qtccqibd6h543csgghfakt3c/-FJPG/243272-001_DET_2.jpg</t>
  </si>
  <si>
    <t>https://dd3ka9h4chfr8.cloudfront.net/image/725136000567/image_15khmhnhjd27t8c7v6888nom2c/-FJPG/243272-001_BCK_1.jpg</t>
  </si>
  <si>
    <t>https://dd3ka9h4chfr8.cloudfront.net/image/725136000567/image_o5euu86vpp2rfbm9bf04ev3m0j/-FJPG/243272-001_DET_1.jpg</t>
  </si>
  <si>
    <t>https://dd3ka9h4chfr8.cloudfront.net/image/725136000567/image_9f5314ugcd4gf5h03onvl0rf67/-FJPG/243272-001_DET_3.jpg</t>
  </si>
  <si>
    <t>https://dd3ka9h4chfr8.cloudfront.net/image/725136000567/image_l4stsnudb178vaslmfv298pd4m/-FJPG/243272-001_OPN_1.jpg</t>
  </si>
  <si>
    <t>https://dd3ka9h4chfr8.cloudfront.net/image/725136000567/image_humvcbnag97s18f8vcdsl4qg6n/-FJPG/243272-001_DET_4.jpg</t>
  </si>
  <si>
    <t>https://dd3ka9h4chfr8.cloudfront.net/image/725136000567/image_e3ha4vihph7g99i1shir2as15b/-FJPG/243272-001_DET_5.jpg</t>
  </si>
  <si>
    <t>https://dd3ka9h4chfr8.cloudfront.net/image/725136000567/image_flfnp9m76541b924an31ca673k/-FJPG/243272-001_DET_6.jpg</t>
  </si>
  <si>
    <t>https://dd3ka9h4chfr8.cloudfront.net/image/725136000567/image_v5li8uo0u10pp5jhmbmpfru66j/-FJPG/243272-001_DET_9.tif</t>
  </si>
  <si>
    <t>Nigel</t>
  </si>
  <si>
    <t>28.88"</t>
  </si>
  <si>
    <t>243347-001</t>
  </si>
  <si>
    <t>Kipp Coffee Table - Burnt Bleached Oak Resawn</t>
  </si>
  <si>
    <t>Burnt Bleached Oak Resawn</t>
  </si>
  <si>
    <t>Rust Aluminum</t>
  </si>
  <si>
    <t>A drum-style table is wrapped in distressed aluminum with a rust finish, for a unique acid-wash effect. Topped with resawn oak which has been sun-bleached and torch-burned for both texture and character.</t>
  </si>
  <si>
    <t>https://dd3ka9h4chfr8.cloudfront.net/image/725136000567/image_9cff3sl1794gp1hk1j3gfd7u2k/-S150x150-FJPG/243347-001_PRM_1.jpg</t>
  </si>
  <si>
    <t>https://dd3ka9h4chfr8.cloudfront.net/image/725136000567/image_89po052lr12fn2foqtmpvmdh3l/-FJPG/243347-001_FRT_1.jpg</t>
  </si>
  <si>
    <t>https://dd3ka9h4chfr8.cloudfront.net/image/725136000567/image_9cff3sl1794gp1hk1j3gfd7u2k/-FJPG/243347-001_PRM_1.jpg</t>
  </si>
  <si>
    <t>https://dd3ka9h4chfr8.cloudfront.net/image/725136000567/image_f9ltdog1k10qndsq0ohupet46l/-FJPG/243347-001_SID_1.jpg</t>
  </si>
  <si>
    <t>https://dd3ka9h4chfr8.cloudfront.net/image/725136000567/image_kvspmmb5e14tp66m43qp85pl30/-FJPG/243347-001_ESS.tif</t>
  </si>
  <si>
    <t>https://dd3ka9h4chfr8.cloudfront.net/image/725136000567/image_4b3uk54je53o132csa3lb0kb0e/-FJPG/243347-001_DET_2.jpg</t>
  </si>
  <si>
    <t>https://dd3ka9h4chfr8.cloudfront.net/image/725136000567/image_e31fv20qj51ftcrobrq5l5r35b/-FJPG/243347-001_BCK_1.jpg</t>
  </si>
  <si>
    <t>https://dd3ka9h4chfr8.cloudfront.net/image/725136000567/image_q9qq2trvip1sfdovm82c5hu12i/-FJPG/243347-001_DET_1.jpg</t>
  </si>
  <si>
    <t>https://dd3ka9h4chfr8.cloudfront.net/image/725136000567/image_c4n66a9o954vt1epo5em50l01u/-FJPG/243347-001_DET_3.jpg</t>
  </si>
  <si>
    <t>https://dd3ka9h4chfr8.cloudfront.net/image/725136000567/image_orbgvcipl11rt2cf07m8npmp4g/-FJPG/243347-001_TOP_1.jpg</t>
  </si>
  <si>
    <t>https://dd3ka9h4chfr8.cloudfront.net/image/725136000567/image_6m6shue5511i15hmnd809vog5i/-FJPG/243347-001_DET_4.jpg</t>
  </si>
  <si>
    <t>https://dd3ka9h4chfr8.cloudfront.net/image/725136000567/image_cq6n6va18t4j590if543kajh1t/-FJPG/243347-001_DET_5.jpg</t>
  </si>
  <si>
    <t>https://dd3ka9h4chfr8.cloudfront.net/image/725136000567/image_7jltka9p8l4mbdq2mt45gpqv6j/-FJPG/243347-001_DET_6.jpg</t>
  </si>
  <si>
    <t>https://dd3ka9h4chfr8.cloudfront.net/image/725136000567/image_9ro0q60pg51d1ftavvn7o90n7b/-FJPG/FHMPRJ016_SCENE-8.jpg</t>
  </si>
  <si>
    <t>Kipp</t>
  </si>
  <si>
    <t>243351-001</t>
  </si>
  <si>
    <t>Esmi Console Table - Bleached Spalted Primavera</t>
  </si>
  <si>
    <t>Bleached Spalted Primavera</t>
  </si>
  <si>
    <t>Make a statement with this console table of spalted primavera with a clean, bleached finish. An exaggerated overhang top elevates otherwise simple shaping, for a dramatic look that can move between spaces with ease.</t>
  </si>
  <si>
    <t>https://dd3ka9h4chfr8.cloudfront.net/image/725136000567/image_fvu2ovrhm92n94n4826g6lh90i/-S150x150-FJPG/243351-001_PRM_1.jpg</t>
  </si>
  <si>
    <t>https://dd3ka9h4chfr8.cloudfront.net/image/725136000567/image_6j562u877p01vba8qess3l8j1u/-FJPG/243351-001_FRT_1.jpg</t>
  </si>
  <si>
    <t>https://dd3ka9h4chfr8.cloudfront.net/image/725136000567/image_fvu2ovrhm92n94n4826g6lh90i/-FJPG/243351-001_PRM_1.jpg</t>
  </si>
  <si>
    <t>https://dd3ka9h4chfr8.cloudfront.net/image/725136000567/image_86np44gf4p2ltcsv0534pt3v6q/-FJPG/243351-001_SID_1.jpg</t>
  </si>
  <si>
    <t>https://dd3ka9h4chfr8.cloudfront.net/image/725136000567/image_5pp03nsbhh5ff77jsfrso6ah54/-FJPG/243351-001_ESS.tif</t>
  </si>
  <si>
    <t>https://dd3ka9h4chfr8.cloudfront.net/image/725136000567/image_617u50ldlp3ptcuj0tmv0mta6q/-FJPG/243351-001_DET_2.jpg</t>
  </si>
  <si>
    <t>https://dd3ka9h4chfr8.cloudfront.net/image/725136000567/image_2v0p9ms43t2i1b88fi2e8t6c03/-FJPG/243351-001_BCK_1.jpg</t>
  </si>
  <si>
    <t>https://dd3ka9h4chfr8.cloudfront.net/image/725136000567/image_lvjhibassd26p53ejonuisj31b/-FJPG/243351-001_DET_1.jpg</t>
  </si>
  <si>
    <t>https://dd3ka9h4chfr8.cloudfront.net/image/725136000567/image_8rqncv85hd1gp39026nltj7v7p/-FJPG/243351-001_DET_3.jpg</t>
  </si>
  <si>
    <t>https://dd3ka9h4chfr8.cloudfront.net/image/725136000567/image_lhk6j6lan560j5h8tdenib3i3p/-FJPG/243351-001_TOP_1.jpg</t>
  </si>
  <si>
    <t>Top, Plate</t>
  </si>
  <si>
    <t>Base/ Ai/ Hardware</t>
  </si>
  <si>
    <t>Esmi</t>
  </si>
  <si>
    <t>243413-002</t>
  </si>
  <si>
    <t>Channing Chaise - Crypton Nomad Mushroom</t>
  </si>
  <si>
    <t>Crypton Nomad Mushroom</t>
  </si>
  <si>
    <t>Black Parawood</t>
  </si>
  <si>
    <t>Meet modern comfort. Clean curves, impeccable tailoring and specialized high-performance fabric bring an elevated, vintage European-inspired look to this chaise. CryptonÂ® performance fabric is specially engineered for protection against stains, moisture and odor.</t>
  </si>
  <si>
    <t>https://dd3ka9h4chfr8.cloudfront.net/image/725136000567/image_dtcbncsddp1190p23apeei5l2v/-S150x150-FJPG/243413-002_PRM_1.jpg</t>
  </si>
  <si>
    <t>https://dd3ka9h4chfr8.cloudfront.net/image/725136000567/image_bs8i1h1nqd39tf6tmuqn5t4m70/-FJPG/243413-002_FRT_1.jpg</t>
  </si>
  <si>
    <t>https://dd3ka9h4chfr8.cloudfront.net/image/725136000567/image_dtcbncsddp1190p23apeei5l2v/-FJPG/243413-002_PRM_1.jpg</t>
  </si>
  <si>
    <t>https://dd3ka9h4chfr8.cloudfront.net/image/725136000567/image_tivtqjlpch3vn065ovb4u2t556/-FJPG/243413-002_SID_1.jpg</t>
  </si>
  <si>
    <t>https://dd3ka9h4chfr8.cloudfront.net/image/725136000567/image_336ogipd4p0p1286r41e805f3j/-FJPG/243413-002_DET_2.jpg</t>
  </si>
  <si>
    <t>https://dd3ka9h4chfr8.cloudfront.net/image/725136000567/image_nnbjhqcoe53vr89d7kh6vrog3v/-FJPG/243413-002_BCK_1.jpg</t>
  </si>
  <si>
    <t>https://dd3ka9h4chfr8.cloudfront.net/image/725136000567/image_0eea6eo13l7mlf6j1ptpd5fv6s/-FJPG/243413-002_DET_1.jpg</t>
  </si>
  <si>
    <t>https://dd3ka9h4chfr8.cloudfront.net/image/725136000567/image_3ofita8a8p7jd634jlm0inag5j/-FJPG/243413-002_DET_3.jpg</t>
  </si>
  <si>
    <t>https://dd3ka9h4chfr8.cloudfront.net/image/725136000567/image_76cv9chuht5399n7fau9i08f15/-FJPG/243413-002_TOP_1.jpg</t>
  </si>
  <si>
    <t>https://dd3ka9h4chfr8.cloudfront.net/image/725136000567/image_qc6djamb254530bgmg2erf864b/-FJPG/243413-002_DET_4.jpg</t>
  </si>
  <si>
    <t>https://dd3ka9h4chfr8.cloudfront.net/image/725136000567/image_nnofr3id095fjc0es29kmgh10j/-FJPG/243413-002_DET_5.jpg</t>
  </si>
  <si>
    <t>https://dd3ka9h4chfr8.cloudfront.net/image/725136000567/image_d26d25app11dhf6i7ng9f3l828/-FJPG/243413-002_DET_6.jpg</t>
  </si>
  <si>
    <t>https://dd3ka9h4chfr8.cloudfront.net/image/725136000567/image_u9ic3n271h4a3d5lkodk4s4220/-FJPG/243413-002_DET_7.jpg</t>
  </si>
  <si>
    <t>49.21"</t>
  </si>
  <si>
    <t>Channing</t>
  </si>
  <si>
    <t>41.14"</t>
  </si>
  <si>
    <t>1.61"</t>
  </si>
  <si>
    <t>47.56"</t>
  </si>
  <si>
    <t>26.30"</t>
  </si>
  <si>
    <t>70% Polyester Fiber Batting, 30% Polyurethane Foam Pad</t>
  </si>
  <si>
    <t>36.61"</t>
  </si>
  <si>
    <t>243471-001</t>
  </si>
  <si>
    <t>Elio Accent Bench - Burnt Bleached Oak</t>
  </si>
  <si>
    <t>Burnt Bleached Oak</t>
  </si>
  <si>
    <t>This Wabi Sabi-inspired accent bench feels like a family heirloom, thanks to the timeless look of burnt bleached oak. A trellis base, wide planked top and natural cracks and graining reflect the artisanship behind this special found-feeling pieces.</t>
  </si>
  <si>
    <t>https://dd3ka9h4chfr8.cloudfront.net/image/725136000567/image_uasgk1h3313ahf9aekanit3k5n/-S150x150-FJPG/243471-001_PRM_1.jpg</t>
  </si>
  <si>
    <t>https://dd3ka9h4chfr8.cloudfront.net/image/725136000567/image_dgbab8hh1t28v7177uqc5nbv0v/-FJPG/243471-001_FRT_1.jpg</t>
  </si>
  <si>
    <t>https://dd3ka9h4chfr8.cloudfront.net/image/725136000567/image_uasgk1h3313ahf9aekanit3k5n/-FJPG/243471-001_PRM_1.jpg</t>
  </si>
  <si>
    <t>https://dd3ka9h4chfr8.cloudfront.net/image/725136000567/image_okjpggjd2p3mvd1h690ssi1l2j/-FJPG/243471-001_SID_1.jpg</t>
  </si>
  <si>
    <t>https://dd3ka9h4chfr8.cloudfront.net/image/725136000567/image_clhrrt89191anad6gfmg3c4f6g/-FJPG/243471-001_ESS.tif</t>
  </si>
  <si>
    <t>https://dd3ka9h4chfr8.cloudfront.net/image/725136000567/image_m91tmhb90l1cf8qc26nqlrg97g/-FJPG/011515 Burnt Bleached Oak 1.jpg</t>
  </si>
  <si>
    <t>https://dd3ka9h4chfr8.cloudfront.net/image/725136000567/image_ug14i08ho504f4r999o7g5o33t/-FJPG/243471-001_BCK_1.jpg</t>
  </si>
  <si>
    <t>https://dd3ka9h4chfr8.cloudfront.net/image/725136000567/image_n03nauugqp1frctsrsqatdqs0t/-FJPG/Color Variance Card_Burnt Bleached Oak.jpg</t>
  </si>
  <si>
    <t>https://dd3ka9h4chfr8.cloudfront.net/image/725136000567/image_88m2s6v8th5vd883gp22kj433c/-FJPG/243471-001_DET_1.jpg</t>
  </si>
  <si>
    <t>https://dd3ka9h4chfr8.cloudfront.net/image/725136000567/image_8tig1iaoph5v94fk9hh45vv42a/-FJPG/243471-001_DET_3.jpg</t>
  </si>
  <si>
    <t>https://dd3ka9h4chfr8.cloudfront.net/image/725136000567/image_94femd47u950b9k07p5b5fnh0r/-FJPG/243471-001_TOP_1.jpg</t>
  </si>
  <si>
    <t>https://dd3ka9h4chfr8.cloudfront.net/image/725136000567/image_b1tg349hdl0p949t6ggip1qi5h/-FJPG/243471-001_DET_4.jpg</t>
  </si>
  <si>
    <t>https://dd3ka9h4chfr8.cloudfront.net/image/725136000567/image_33v8ds0nkl2r39bo0l53p8ij5e/-FJPG/243471-001_DET_5.jpg</t>
  </si>
  <si>
    <t>https://dd3ka9h4chfr8.cloudfront.net/image/725136000567/image_h39o146vjh3jja6jsnjsdhsv1i/-FJPG/243471-001_DET_6.jpg</t>
  </si>
  <si>
    <t>https://dd3ka9h4chfr8.cloudfront.net/image/725136000567/image_5qolla4km14ub1nt75s0qc7g0b/-FJPG/243471-001_DET_7.jpg</t>
  </si>
  <si>
    <t>https://dd3ka9h4chfr8.cloudfront.net/image/725136000567/image_kun5ra79592jbf6cp3kekln76a/-FJPG/243471-001_DET_9.tif</t>
  </si>
  <si>
    <t>Elio</t>
  </si>
  <si>
    <t>243560-001</t>
  </si>
  <si>
    <t>Bergstrom Media Console - Warm Natural Oak Veneer</t>
  </si>
  <si>
    <t>Light, natural oak reflects the New American inspiration behind this storage-driven console of warm, natural oak. Elevated on tapered legs with corner relief accents, its asymmetrical design offers storage for your media needs and more.</t>
  </si>
  <si>
    <t>https://dd3ka9h4chfr8.cloudfront.net/image/725136000567/image_ekoftasnsd1u1715mn0ek5385e/-S150x150-FJPG/243560-001_PRM_1.jpg</t>
  </si>
  <si>
    <t>https://dd3ka9h4chfr8.cloudfront.net/image/725136000567/image_dagmnjfagt48pecctkhvm3217o/-FJPG/243560-001_FRT_1.jpg</t>
  </si>
  <si>
    <t>https://dd3ka9h4chfr8.cloudfront.net/image/725136000567/image_ekoftasnsd1u1715mn0ek5385e/-FJPG/243560-001_PRM_1.jpg</t>
  </si>
  <si>
    <t>https://dd3ka9h4chfr8.cloudfront.net/image/725136000567/image_f03uur0hmd369523koecmra94e/-FJPG/243560-001_SID_1.jpg</t>
  </si>
  <si>
    <t>https://dd3ka9h4chfr8.cloudfront.net/image/725136000567/image_pd9nkounr57af7jpa8np7dh50o/-FJPG/243560-001_ESS.tif</t>
  </si>
  <si>
    <t>https://dd3ka9h4chfr8.cloudfront.net/image/725136000567/image_apgl9d9t6h6apd2r14uqq50e2m/-FJPG/243560-001_DET_2.jpg</t>
  </si>
  <si>
    <t>https://dd3ka9h4chfr8.cloudfront.net/image/725136000567/image_rfa1lfl2et3nbfs0a170r90p69/-FJPG/243560-001_BCK_1.jpg</t>
  </si>
  <si>
    <t>https://dd3ka9h4chfr8.cloudfront.net/image/725136000567/image_8qgnlvqs0d4ul1ep2s6109o53k/-FJPG/243560-001_DET_1.jpg</t>
  </si>
  <si>
    <t>https://dd3ka9h4chfr8.cloudfront.net/image/725136000567/image_356b553nit7fhc7nh33rdcdb21/-FJPG/243560-001_DET_3.jpg</t>
  </si>
  <si>
    <t>https://dd3ka9h4chfr8.cloudfront.net/image/725136000567/image_2gk6vahbvp4bt9qpfsdlor4t2m/-FJPG/243560-001_OPN_1.jpg</t>
  </si>
  <si>
    <t>https://dd3ka9h4chfr8.cloudfront.net/image/725136000567/image_0qth58l75968te1bauhm3jh33v/-FJPG/243560-001_TOP_1.jpg</t>
  </si>
  <si>
    <t>https://dd3ka9h4chfr8.cloudfront.net/image/725136000567/image_ti85evb9r15175peoj8cekan5m/-FJPG/243560-001_DET_4.jpg</t>
  </si>
  <si>
    <t>https://dd3ka9h4chfr8.cloudfront.net/image/725136000567/image_ic47dpnooh4if9r7ct3tg1kg5p/-FJPG/243560-001_DET_5.jpg</t>
  </si>
  <si>
    <t>https://dd3ka9h4chfr8.cloudfront.net/image/725136000567/image_vne76umcrl05515qargj70dh53/-FJPG/243560-001_DET_6.jpg</t>
  </si>
  <si>
    <t>https://dd3ka9h4chfr8.cloudfront.net/image/725136000567/image_2mpub6b9pl4lvck3di34suv24n/-FJPG/243560-001_DET_7.jpg</t>
  </si>
  <si>
    <t>https://dd3ka9h4chfr8.cloudfront.net/image/725136000567/image_oj0vndf7hd6vledh64v2kg4e1m/-FJPG/243560-001_DET_8.jpg</t>
  </si>
  <si>
    <t>https://dd3ka9h4chfr8.cloudfront.net/image/725136000567/image_6qoqdbub9p1c5bmdi1pjrocg0s/-FJPG/243560-001_DET_9.tif</t>
  </si>
  <si>
    <t>Bergstrom</t>
  </si>
  <si>
    <t>17.93"</t>
  </si>
  <si>
    <t>243658-001</t>
  </si>
  <si>
    <t>Bergstrom Desk - Warm Natural Oak Veneer</t>
  </si>
  <si>
    <t>Warm up your workspace with this light-finished writing desk of rich character oak. Tapered legs and subtle corner relief details create a simplified look that complements a home office or flex space. Complete with thoughtful touches like built-in cord management, a flip-top outlet with USB charging and an inductive charger to keep your devices powered throughout your workday.</t>
  </si>
  <si>
    <t>https://dd3ka9h4chfr8.cloudfront.net/image/725136000567/image_bft6sbp04124d2dq9s7iqcqq7u/-S150x150-FJPG/243658-001_PRM_1.jpg</t>
  </si>
  <si>
    <t>https://dd3ka9h4chfr8.cloudfront.net/image/725136000567/image_6elqtc3qah5tv42af1nem3kq07/-FJPG/243658-001_FRT_1.jpg</t>
  </si>
  <si>
    <t>https://dd3ka9h4chfr8.cloudfront.net/image/725136000567/image_bft6sbp04124d2dq9s7iqcqq7u/-FJPG/243658-001_PRM_1.jpg</t>
  </si>
  <si>
    <t>https://dd3ka9h4chfr8.cloudfront.net/image/725136000567/image_550lp6f7615d96anhf7nd0aq08/-FJPG/243658-001_SID_1.jpg</t>
  </si>
  <si>
    <t>https://dd3ka9h4chfr8.cloudfront.net/image/725136000567/image_srd4rt8p596279oc6l1vdkge7d/-FJPG/243658-001_ESS.tif</t>
  </si>
  <si>
    <t>https://dd3ka9h4chfr8.cloudfront.net/image/725136000567/image_2lo1ejtr315aj30il7qjk31a1g/-FJPG/243658-001_DET_2.jpg</t>
  </si>
  <si>
    <t>https://dd3ka9h4chfr8.cloudfront.net/image/725136000567/image_i7lc9goiel0q720j1ndp734d78/-FJPG/243658-001_BCK_1.jpg</t>
  </si>
  <si>
    <t>https://dd3ka9h4chfr8.cloudfront.net/image/725136000567/image_esrlsnrruh68j7t6f07vnhlh5u/-FJPG/243658-001_DET_1.jpg</t>
  </si>
  <si>
    <t>https://dd3ka9h4chfr8.cloudfront.net/image/725136000567/image_sutb5ncs2h0gr5mmveapesq61l/-FJPG/243658-001_DET_3.jpg</t>
  </si>
  <si>
    <t>https://dd3ka9h4chfr8.cloudfront.net/image/725136000567/image_nn8cq54hrl66r5m0qi73e4db0p/-FJPG/243658-001_OPN_1.jpg</t>
  </si>
  <si>
    <t>https://dd3ka9h4chfr8.cloudfront.net/image/725136000567/image_7ns86hant11g1dna95dos30j68/-FJPG/243658-001_TOP_1.jpg</t>
  </si>
  <si>
    <t>https://dd3ka9h4chfr8.cloudfront.net/image/725136000567/image_u4shp2c0s93qb9kms78t57s13p/-FJPG/243658-001_DET_4.jpg</t>
  </si>
  <si>
    <t>https://dd3ka9h4chfr8.cloudfront.net/image/725136000567/image_4qfr4igo7970jcvl522e6g9c19/-FJPG/243658-001_DET_5.jpg</t>
  </si>
  <si>
    <t>https://dd3ka9h4chfr8.cloudfront.net/image/725136000567/image_l6tmrqtp4p2tnd4cdkpj3vj03a/-FJPG/243658-001_DET_6.jpg</t>
  </si>
  <si>
    <t>https://dd3ka9h4chfr8.cloudfront.net/image/725136000567/image_7pqd09u2cl6pnetd351mu90n18/-FJPG/243658-001_DET_7.jpg</t>
  </si>
  <si>
    <t>https://dd3ka9h4chfr8.cloudfront.net/image/725136000567/image_vij67leiup7srb5lr4tvph4l67/-FJPG/243658-001_DET_8.jpg</t>
  </si>
  <si>
    <t>https://dd3ka9h4chfr8.cloudfront.net/image/725136000567/image_tj3jnhcjs93it7ghrn89fl2v2b/-FJPG/243658-001_DET_9.tif</t>
  </si>
  <si>
    <t>67.40"</t>
  </si>
  <si>
    <t>15.67"</t>
  </si>
  <si>
    <t>243664-001</t>
  </si>
  <si>
    <t>Tamara Media Console - Worn Oak Veneer</t>
  </si>
  <si>
    <t>A spacious console of worn oak features paneled doors, lending texture to a clean-lined design.</t>
  </si>
  <si>
    <t>https://dd3ka9h4chfr8.cloudfront.net/image/725136000567/image_v6oucghhpt2075j4vcpgndan1j/-S150x150-FJPG/243664-001_PRM_1.jpg</t>
  </si>
  <si>
    <t>https://dd3ka9h4chfr8.cloudfront.net/image/725136000567/image_2qmkndvh6p311bmn7bn59no52r/-FJPG/243664-001_FRT_1.jpg</t>
  </si>
  <si>
    <t>https://dd3ka9h4chfr8.cloudfront.net/image/725136000567/image_v6oucghhpt2075j4vcpgndan1j/-FJPG/243664-001_PRM_1.jpg</t>
  </si>
  <si>
    <t>https://dd3ka9h4chfr8.cloudfront.net/image/725136000567/image_43a5pelkbl6nl94dgtd8djnr2m/-FJPG/243664-001_SID_1.jpg</t>
  </si>
  <si>
    <t>https://dd3ka9h4chfr8.cloudfront.net/image/725136000567/image_v0ea84is652mb1ah28nmt06443/-FJPG/243664-001_ESS.tif</t>
  </si>
  <si>
    <t>https://dd3ka9h4chfr8.cloudfront.net/image/725136000567/image_2o689v3sj94q52mtea3emrb94t/-FJPG/243664-001_DET_2.jpg</t>
  </si>
  <si>
    <t>https://dd3ka9h4chfr8.cloudfront.net/image/725136000567/image_mje4lr4hu93o7658u4tilsvv1i/-FJPG/243664-001_BCK_1.jpg</t>
  </si>
  <si>
    <t>https://dd3ka9h4chfr8.cloudfront.net/image/725136000567/image_d33acdvr1h6v79j0n7to0upi75/-FJPG/243664-001_DET_1.jpg</t>
  </si>
  <si>
    <t>https://dd3ka9h4chfr8.cloudfront.net/image/725136000567/image_1niorflsm547d01bb5ku1a4u33/-FJPG/243664-001_DET_3.jpg</t>
  </si>
  <si>
    <t>https://dd3ka9h4chfr8.cloudfront.net/image/725136000567/image_9evhahb5g56l51ba8eno64gq2b/-FJPG/243664-001_OPN_1.jpg</t>
  </si>
  <si>
    <t>https://dd3ka9h4chfr8.cloudfront.net/image/725136000567/image_bt2kfbcsi5725287fium3o7d6u/-FJPG/243664-001_DET_4.jpg</t>
  </si>
  <si>
    <t>https://dd3ka9h4chfr8.cloudfront.net/image/725136000567/image_fkm21jfuel1fv78j4qf153bv64/-FJPG/243664-001_DET_5.jpg</t>
  </si>
  <si>
    <t>https://dd3ka9h4chfr8.cloudfront.net/image/725136000567/image_jfihkuggf10r1c81ogop34ca5e/-FJPG/243664-001_DET_6.jpg</t>
  </si>
  <si>
    <t>https://dd3ka9h4chfr8.cloudfront.net/image/725136000567/image_9shp43v5ll0cr7t3biv1m2sv7n/-FJPG/243664-001_DET_7.jpg</t>
  </si>
  <si>
    <t>https://dd3ka9h4chfr8.cloudfront.net/image/725136000567/image_mjlo3il8rh33d2lv6ap4naiq31/-FJPG/243664-001_DET_8.jpg</t>
  </si>
  <si>
    <t>https://dd3ka9h4chfr8.cloudfront.net/image/725136000567/image_9rofvu862h6fr9k913sjhr4m23/-FJPG/243664-001_DET_9.jpg</t>
  </si>
  <si>
    <t>https://dd3ka9h4chfr8.cloudfront.net/image/725136000567/image_gfleo4f11l3u95hfpi6vta471u/-FJPG/243664-001_DET_9.tif</t>
  </si>
  <si>
    <t>https://dd3ka9h4chfr8.cloudfront.net/image/725136000567/image_4anqd2js2h209bgm50nh5ii63u/-FJPG/243664-001_OPN_2.jpg</t>
  </si>
  <si>
    <t>Tamara</t>
  </si>
  <si>
    <t>243772-001</t>
  </si>
  <si>
    <t>Adolfo Media Console - Modern Black Ash</t>
  </si>
  <si>
    <t>Delft</t>
  </si>
  <si>
    <t>Modern Black Ash</t>
  </si>
  <si>
    <t>Modern Black Ash Solid</t>
  </si>
  <si>
    <t>Beautifully minimalist. A storage-driven media console made from black-finished ash  features long, linear bronzed hardware for a smooth, clean look. Side cabinetry on both sides plus center drawers offer generous space for media storage and more. Rear cutouts for cord management.</t>
  </si>
  <si>
    <t>https://dd3ka9h4chfr8.cloudfront.net/image/725136000567/image_5pqmjk1uhh7fl0jo22ub62nt2p/-S150x150-FJPG/243772-001_PRM_1.jpg</t>
  </si>
  <si>
    <t>https://dd3ka9h4chfr8.cloudfront.net/image/725136000567/image_ua2jhurt15429av0a7uqfmdh62/-FJPG/243772-001_FRT_1.jpg</t>
  </si>
  <si>
    <t>https://dd3ka9h4chfr8.cloudfront.net/image/725136000567/image_5pqmjk1uhh7fl0jo22ub62nt2p/-FJPG/243772-001_PRM_1.jpg</t>
  </si>
  <si>
    <t>https://dd3ka9h4chfr8.cloudfront.net/image/725136000567/image_qt6lvvajrl6slf1ea06bn4n87n/-FJPG/243772-001_SID_1.jpg</t>
  </si>
  <si>
    <t>https://dd3ka9h4chfr8.cloudfront.net/image/725136000567/image_c8mfm1908d1c37qk3v6pscq363/-FJPG/243772-001_DET_2.jpg</t>
  </si>
  <si>
    <t>https://dd3ka9h4chfr8.cloudfront.net/image/725136000567/image_nie4no7m7t3otf07428kvptu6n/-FJPG/243772-001_BCK_1.jpg</t>
  </si>
  <si>
    <t>https://dd3ka9h4chfr8.cloudfront.net/image/725136000567/image_jd7iais04l5in1ldh8kbvli17v/-FJPG/243772-001_DET_1.jpg</t>
  </si>
  <si>
    <t>https://dd3ka9h4chfr8.cloudfront.net/image/725136000567/image_22etk7999147bdnn3bj2932k69/-FJPG/243772-001_DET_3.jpg</t>
  </si>
  <si>
    <t>https://dd3ka9h4chfr8.cloudfront.net/image/725136000567/image_i320idqd051n18e9au2ctnnh0j/-FJPG/243772-001_OPN_1.jpg</t>
  </si>
  <si>
    <t>https://dd3ka9h4chfr8.cloudfront.net/image/725136000567/image_go6fsi0mv570t65uf2m1s86i6t/-FJPG/243772-001_TOP_1.jpg</t>
  </si>
  <si>
    <t>https://dd3ka9h4chfr8.cloudfront.net/image/725136000567/image_icmfised7t1kve7383g4bhne6n/-FJPG/243772-001_DET_4.jpg</t>
  </si>
  <si>
    <t>https://dd3ka9h4chfr8.cloudfront.net/image/725136000567/image_fbkpohe44h7md8j1oqd2don34s/-FJPG/243772-001_DET_5.jpg</t>
  </si>
  <si>
    <t>https://dd3ka9h4chfr8.cloudfront.net/image/725136000567/image_hoct86etnh595bo1696d34nk20/-FJPG/243772-001_DET_6.jpg</t>
  </si>
  <si>
    <t>https://dd3ka9h4chfr8.cloudfront.net/image/725136000567/image_76gb6ienlt3nhfe80a3b66tj38/-FJPG/243772-001_DET_7.jpg</t>
  </si>
  <si>
    <t>https://dd3ka9h4chfr8.cloudfront.net/image/725136000567/image_qgio0t41hl5bv7n5mrjfv24c5r/-FJPG/FHMPRJ-018_SCENE-8.tif</t>
  </si>
  <si>
    <t>Adolfo</t>
  </si>
  <si>
    <t>243797-001</t>
  </si>
  <si>
    <t>Bergstrom Secretary Desk - Warm Natural Oak Veneer</t>
  </si>
  <si>
    <t>A fresh take on the traditional secretary desk, made from warm natural oak. A flip-down top creates a wide writing surface, offering the perfect place to pen a handwritten note.</t>
  </si>
  <si>
    <t>https://dd3ka9h4chfr8.cloudfront.net/image/725136000567/image_prtl4u2ki928faequctv52jv59/-S150x150-FJPG/243797-001_PRM_1.jpg</t>
  </si>
  <si>
    <t>https://dd3ka9h4chfr8.cloudfront.net/image/725136000567/image_ir1tmfcfat45teuv8r6jeu6m6k/-FJPG/243797-001_FRT_1.jpg</t>
  </si>
  <si>
    <t>https://dd3ka9h4chfr8.cloudfront.net/image/725136000567/image_prtl4u2ki928faequctv52jv59/-FJPG/243797-001_PRM_1.jpg</t>
  </si>
  <si>
    <t>https://dd3ka9h4chfr8.cloudfront.net/image/725136000567/image_k0ucqtdqmd2v10qfketqtm0i7m/-FJPG/243797-001_SID_1.jpg</t>
  </si>
  <si>
    <t>https://dd3ka9h4chfr8.cloudfront.net/image/725136000567/image_bo3c1kd6bh6qhe336jsbsl161g/-FJPG/243797-001_ESS.tif</t>
  </si>
  <si>
    <t>https://dd3ka9h4chfr8.cloudfront.net/image/725136000567/image_hsc1ehdihl10n4k34l2dn2dc6o/-FJPG/243797-001_DET_2.jpg</t>
  </si>
  <si>
    <t>https://dd3ka9h4chfr8.cloudfront.net/image/725136000567/image_e8mmcct7095613crf6945duq0b/-FJPG/243797-001_BCK_1.jpg</t>
  </si>
  <si>
    <t>https://dd3ka9h4chfr8.cloudfront.net/image/725136000567/image_ptqluiofbt607c3r0c0a9avp7j/-FJPG/243797-001_DET_1.jpg</t>
  </si>
  <si>
    <t>https://dd3ka9h4chfr8.cloudfront.net/image/725136000567/image_of6i1odpep4911qa0s95lj5v28/-FJPG/243797-001_DET_3.jpg</t>
  </si>
  <si>
    <t>https://dd3ka9h4chfr8.cloudfront.net/image/725136000567/image_c88pvj5qeh6s1e7n8tvcoi5i7o/-FJPG/243797-001_OPN_1.jpg</t>
  </si>
  <si>
    <t>https://dd3ka9h4chfr8.cloudfront.net/image/725136000567/image_rktr95p79d4r51n24jq3bf5p48/-FJPG/243797-001_TOP_1.jpg</t>
  </si>
  <si>
    <t>https://dd3ka9h4chfr8.cloudfront.net/image/725136000567/image_p1ii8chnm556f4aucgdvje5j4h/-FJPG/243797-001_DET_4.jpg</t>
  </si>
  <si>
    <t>https://dd3ka9h4chfr8.cloudfront.net/image/725136000567/image_ecdvcnf3d56jh60osqhraksc0j/-FJPG/243797-001_DET_5.jpg</t>
  </si>
  <si>
    <t>https://dd3ka9h4chfr8.cloudfront.net/image/725136000567/image_g5msc9l0td5evcd4tgtkjl7459/-FJPG/243797-001_DET_6.jpg</t>
  </si>
  <si>
    <t>https://dd3ka9h4chfr8.cloudfront.net/image/725136000567/image_3gqj5s46cd1rrctgp0ehtoon31/-FJPG/243797-001_DET_7.jpg</t>
  </si>
  <si>
    <t>https://dd3ka9h4chfr8.cloudfront.net/image/725136000567/image_cn7g4d66l53m91obgras2kmm3c/-FJPG/243797-001_DET_8.jpg</t>
  </si>
  <si>
    <t>https://dd3ka9h4chfr8.cloudfront.net/image/725136000567/image_cijodu7iih3np8tu4qsphsvq4a/-FJPG/243797-001_DET_9.tif</t>
  </si>
  <si>
    <t>Upper Section</t>
  </si>
  <si>
    <t>Lower Section (legs)</t>
  </si>
  <si>
    <t>33.03"</t>
  </si>
  <si>
    <t>Secretary</t>
  </si>
  <si>
    <t>15.39"</t>
  </si>
  <si>
    <t>14.19"</t>
  </si>
  <si>
    <t>243829-001</t>
  </si>
  <si>
    <t>Caya End Table - Caramel Burl</t>
  </si>
  <si>
    <t>Caramel Burl</t>
  </si>
  <si>
    <t>Poplar Burl Veneer</t>
  </si>
  <si>
    <t>A simple drum shape showcases the natural artistry of the richly grained caramel burl veneer. Its compact size is ideal for smaller spaces.</t>
  </si>
  <si>
    <t>https://dd3ka9h4chfr8.cloudfront.net/image/725136000567/image_ghlvu4su4p0tbabiiioauh2n6e/-S150x150-FJPG/243829-001_PRM_1.jpg</t>
  </si>
  <si>
    <t>https://dd3ka9h4chfr8.cloudfront.net/image/725136000567/image_qnkl4lja2t021drlnfsh3pfo1l/-FJPG/243829-001_FRT_1.jpg</t>
  </si>
  <si>
    <t>https://dd3ka9h4chfr8.cloudfront.net/image/725136000567/image_ghlvu4su4p0tbabiiioauh2n6e/-FJPG/243829-001_PRM_1.jpg</t>
  </si>
  <si>
    <t>https://dd3ka9h4chfr8.cloudfront.net/image/725136000567/image_ad8dcebv5l6bt8f9f8ndm6t525/-FJPG/243829-001_SID_1.jpg</t>
  </si>
  <si>
    <t>https://dd3ka9h4chfr8.cloudfront.net/image/725136000567/image_qjq6ae9sa56713btbbo4sjos07/-FJPG/243829-001_ESS.tif</t>
  </si>
  <si>
    <t>https://dd3ka9h4chfr8.cloudfront.net/image/725136000567/image_nte0v2d1ip0mvchui2csmhdb5t/-FJPG/243829-001_DET_2.jpg</t>
  </si>
  <si>
    <t>https://dd3ka9h4chfr8.cloudfront.net/image/725136000567/image_cqpclb4bjl3995j0t82nbg431h/-FJPG/243829-001_BCK_1.jpg</t>
  </si>
  <si>
    <t>https://dd3ka9h4chfr8.cloudfront.net/image/725136000567/image_2mqm6nrq6h6ehfsbhv10a46i0r/-FJPG/243829-001_DET_1.jpg</t>
  </si>
  <si>
    <t>https://dd3ka9h4chfr8.cloudfront.net/image/725136000567/image_3pqh9b6mi57tbfiphsf4fm8668/-FJPG/243829-001_DET_3.jpg</t>
  </si>
  <si>
    <t>https://dd3ka9h4chfr8.cloudfront.net/image/725136000567/image_ibg9thhq4l6qh4iv51if5o6f11/-FJPG/243829-001_DET_4.jpg</t>
  </si>
  <si>
    <t>https://dd3ka9h4chfr8.cloudfront.net/image/725136000567/image_grvoulhs3l1hn7ksop5v9uvf39/-FJPG/243829-001_DET_5.jpg</t>
  </si>
  <si>
    <t>https://dd3ka9h4chfr8.cloudfront.net/image/725136000567/image_77t5desurl6jh4ht1ssi42rd7p/-FJPG/243829-001_DET_10.tif</t>
  </si>
  <si>
    <t>Caya</t>
  </si>
  <si>
    <t>243911-001</t>
  </si>
  <si>
    <t>Adolfo 6 Drawer Dresser - Modern Black Ash</t>
  </si>
  <si>
    <t>Beautifully minimalist. A six-drawer dresser made from black-finished ash  features long, linear bronzed hardware for a smooth, clean look.</t>
  </si>
  <si>
    <t>https://dd3ka9h4chfr8.cloudfront.net/image/725136000567/image_hvisln44fp22lcvqi6h33ckt5u/-S150x150-FJPG/243911-001_PRM_1.jpg</t>
  </si>
  <si>
    <t>https://dd3ka9h4chfr8.cloudfront.net/image/725136000567/image_l2avacnhg12tp4tgnup1anjs4m/-FJPG/243911-001_FRT_1.jpg</t>
  </si>
  <si>
    <t>https://dd3ka9h4chfr8.cloudfront.net/image/725136000567/image_hvisln44fp22lcvqi6h33ckt5u/-FJPG/243911-001_PRM_1.jpg</t>
  </si>
  <si>
    <t>https://dd3ka9h4chfr8.cloudfront.net/image/725136000567/image_rflp8qor0d6k57ar1o86ggvq1h/-FJPG/243911-001_SID_1.jpg</t>
  </si>
  <si>
    <t>https://dd3ka9h4chfr8.cloudfront.net/image/725136000567/image_h58m6h6l496v5ec1ilqc4to225/-FJPG/243911-001_ESS.tif</t>
  </si>
  <si>
    <t>https://dd3ka9h4chfr8.cloudfront.net/image/725136000567/image_b17cpdgdc90390n883h287cp7e/-FJPG/243911-001_DET_2.jpg</t>
  </si>
  <si>
    <t>https://dd3ka9h4chfr8.cloudfront.net/image/725136000567/image_i3u5rmttlh0t588adf4n69i472/-FJPG/243911-001_BCK_1.jpg</t>
  </si>
  <si>
    <t>https://dd3ka9h4chfr8.cloudfront.net/image/725136000567/image_0b7je019st11l7i0nrtfm3687a/-FJPG/243911-001_DET_1.jpg</t>
  </si>
  <si>
    <t>https://dd3ka9h4chfr8.cloudfront.net/image/725136000567/image_lm8tppv50p7ibful8elgeq8t10/-FJPG/243911-001_DET_3.jpg</t>
  </si>
  <si>
    <t>https://dd3ka9h4chfr8.cloudfront.net/image/725136000567/image_90gu3cf5p12hbadsmal5jmfq7k/-FJPG/243911-001_OPN_1.jpg</t>
  </si>
  <si>
    <t>https://dd3ka9h4chfr8.cloudfront.net/image/725136000567/image_p1uk5284rd16p3a4gc3um7bh2m/-FJPG/243911-001_TOP_1.jpg</t>
  </si>
  <si>
    <t>https://dd3ka9h4chfr8.cloudfront.net/image/725136000567/image_mmt3mr08s13t77t4bqplqvsm64/-FJPG/243911-001_DET_4.jpg</t>
  </si>
  <si>
    <t>https://dd3ka9h4chfr8.cloudfront.net/image/725136000567/image_8oas56u77160r0k0ktcmf5up0f/-FJPG/243911-001_DET_5.jpg</t>
  </si>
  <si>
    <t>https://dd3ka9h4chfr8.cloudfront.net/image/725136000567/image_nfnierqend2u7a2ofh8981004f/-FJPG/243911-001_DET_6.jpg</t>
  </si>
  <si>
    <t>https://dd3ka9h4chfr8.cloudfront.net/image/725136000567/image_n6p3fuff5p7c926lkf3gt3n673/-FJPG/243911-001_DET_9.tif</t>
  </si>
  <si>
    <t>https://dd3ka9h4chfr8.cloudfront.net/image/725136000567/image_cdcgj1aui95s9bvrqsnnkfqi59/-FJPG/FHMPRJ-018_SCENE-7.tif</t>
  </si>
  <si>
    <t>32.80"</t>
  </si>
  <si>
    <t>244202-001</t>
  </si>
  <si>
    <t>Adolfo Sideboard - Modern Black Ash</t>
  </si>
  <si>
    <t>Made from black-finished ash with bronzed hardware, a clean-lined sideaboard is rich with natural presence. Step detailing adds an architectural touch to this streamlined shape.</t>
  </si>
  <si>
    <t>https://dd3ka9h4chfr8.cloudfront.net/image/725136000567/image_sncoon8s6d4hn5v2os54fl816d/-S150x150-FJPG/244202-001_PRM_1.jpg</t>
  </si>
  <si>
    <t>https://dd3ka9h4chfr8.cloudfront.net/image/725136000567/image_u9ksmbepjl1p13bgv4ss9bvp27/-FJPG/244202-001_FRT_1.jpg</t>
  </si>
  <si>
    <t>https://dd3ka9h4chfr8.cloudfront.net/image/725136000567/image_sncoon8s6d4hn5v2os54fl816d/-FJPG/244202-001_PRM_1.jpg</t>
  </si>
  <si>
    <t>https://dd3ka9h4chfr8.cloudfront.net/image/725136000567/image_cq5d3emm5p25t6321kr10q331e/-FJPG/244202-001_SID_1.jpg</t>
  </si>
  <si>
    <t>https://dd3ka9h4chfr8.cloudfront.net/image/725136000567/image_a4nj3q4jld4h1ej34p58o4p94h/-FJPG/244202-001_ESS.tif</t>
  </si>
  <si>
    <t>https://dd3ka9h4chfr8.cloudfront.net/image/725136000567/image_a8k4s4hh457656i45jn9ov8d6o/-FJPG/244202-001_DET_2.jpg</t>
  </si>
  <si>
    <t>https://dd3ka9h4chfr8.cloudfront.net/image/725136000567/image_h14gu762tl1al5r9j8u747be03/-FJPG/244202-001_BCK_1.jpg</t>
  </si>
  <si>
    <t>https://dd3ka9h4chfr8.cloudfront.net/image/725136000567/image_n5kuju0svt07faqk3c242v3l72/-FJPG/244202-001_DET_1.jpg</t>
  </si>
  <si>
    <t>https://dd3ka9h4chfr8.cloudfront.net/image/725136000567/image_5lq0ogupm949p8evcr57peaq5o/-FJPG/244202-001_DET_3.jpg</t>
  </si>
  <si>
    <t>https://dd3ka9h4chfr8.cloudfront.net/image/725136000567/image_uak1chmn2h4vl6917hlfuicc2a/-FJPG/244202-001_OPN_1.jpg</t>
  </si>
  <si>
    <t>https://dd3ka9h4chfr8.cloudfront.net/image/725136000567/image_ohot2ppfhh2rnd4ibf5h72j65a/-FJPG/244202-001_TOP_1.jpg</t>
  </si>
  <si>
    <t>https://dd3ka9h4chfr8.cloudfront.net/image/725136000567/image_ugpvemtitt3lbdnt4di8lulg6t/-FJPG/244202-001_DET_4.jpg</t>
  </si>
  <si>
    <t>https://dd3ka9h4chfr8.cloudfront.net/image/725136000567/image_bq84ll2j6526f1ai830r8ean66/-FJPG/244202-001_DET_5.jpg</t>
  </si>
  <si>
    <t>https://dd3ka9h4chfr8.cloudfront.net/image/725136000567/image_lpndkuo0i10j7blovchu6j8j35/-FJPG/244202-001_DET_6.jpg</t>
  </si>
  <si>
    <t>https://dd3ka9h4chfr8.cloudfront.net/image/725136000567/image_9252udfsm53vl0hskfuj00346s/-FJPG/244202-001_DET_9.tif</t>
  </si>
  <si>
    <t>https://dd3ka9h4chfr8.cloudfront.net/image/725136000567/image_8ktjt5eocl50j7dbuo8ic5mg2r/-FJPG/244202-001_DET_9.tif</t>
  </si>
  <si>
    <t>https://dd3ka9h4chfr8.cloudfront.net/image/725136000567/image_f2ao59kspt46d7ruvv8jj0sc6r/-FJPG/244202-001_DET_10.tif</t>
  </si>
  <si>
    <t>45.87"</t>
  </si>
  <si>
    <t>26.81"</t>
  </si>
  <si>
    <t>22.48"</t>
  </si>
  <si>
    <t>244497-001</t>
  </si>
  <si>
    <t>Valen Sideboard - Rustic Brown Oak Veneer</t>
  </si>
  <si>
    <t>Rustic Brown Oak Veneer</t>
  </si>
  <si>
    <t>Rustic Brown Oak Solid</t>
  </si>
  <si>
    <t>Made from rustic brown oak, a spacious sideboard is streamlined while not short on presence, with its thick top, plinth base and oversized hardware.</t>
  </si>
  <si>
    <t>https://dd3ka9h4chfr8.cloudfront.net/image/725136000567/image_nopnkj4g2t0af49g26noucum43/-S150x150-FJPG/244497-001_PRM_1.jpg</t>
  </si>
  <si>
    <t>https://dd3ka9h4chfr8.cloudfront.net/image/725136000567/image_mi7kq4gmgl71reafe8c26sr74u/-FJPG/244497-001_FRT_1.jpg</t>
  </si>
  <si>
    <t>https://dd3ka9h4chfr8.cloudfront.net/image/725136000567/image_nopnkj4g2t0af49g26noucum43/-FJPG/244497-001_PRM_1.jpg</t>
  </si>
  <si>
    <t>https://dd3ka9h4chfr8.cloudfront.net/image/725136000567/image_9qqnq6rumt03b63tdklmbpl42i/-FJPG/244497-001_SID_1.jpg</t>
  </si>
  <si>
    <t>https://dd3ka9h4chfr8.cloudfront.net/image/725136000567/image_dc96qjmdqd5rb1sdtit7lq3e3v/-FJPG/244497-001_ESS.tif</t>
  </si>
  <si>
    <t>https://dd3ka9h4chfr8.cloudfront.net/image/725136000567/image_a9tiufafht2at6vsvuo4ccgr6e/-FJPG/244497-001_DET_2.jpg</t>
  </si>
  <si>
    <t>https://dd3ka9h4chfr8.cloudfront.net/image/725136000567/image_1fh1jmi31h6oh413ch6pmumo18/-FJPG/244497-001_BCK_1.jpg</t>
  </si>
  <si>
    <t>https://dd3ka9h4chfr8.cloudfront.net/image/725136000567/image_gs8kqd0ru936h24sv8v84oln50/-FJPG/244497-001_DET_1.jpg</t>
  </si>
  <si>
    <t>https://dd3ka9h4chfr8.cloudfront.net/image/725136000567/image_4k0dgbkra95vh6knvfs6a6p249/-FJPG/244497-001_DET_3.jpg</t>
  </si>
  <si>
    <t>https://dd3ka9h4chfr8.cloudfront.net/image/725136000567/image_rnbatflhc950rfdbk0pc9rv80g/-FJPG/244497-001_OPN_1.jpg</t>
  </si>
  <si>
    <t>https://dd3ka9h4chfr8.cloudfront.net/image/725136000567/image_e76ls0dtml7el1kdbfn037gd1e/-FJPG/244497-001_TOP_1.jpg</t>
  </si>
  <si>
    <t>https://dd3ka9h4chfr8.cloudfront.net/image/725136000567/image_4ptc78ftup7on86jhjijf5ef47/-FJPG/244497-001_DET_4.jpg</t>
  </si>
  <si>
    <t>https://dd3ka9h4chfr8.cloudfront.net/image/725136000567/image_1v9u2dvi7l1s132ut50b78sq0g/-FJPG/244497-001_DET_5.jpg</t>
  </si>
  <si>
    <t>https://dd3ka9h4chfr8.cloudfront.net/image/725136000567/image_kkb1d6ci2l3fh0b1k3vo4fnb71/-FJPG/244497-001_DET_6.jpg</t>
  </si>
  <si>
    <t>https://dd3ka9h4chfr8.cloudfront.net/image/725136000567/image_b2t7uqpkc17h94mj6dq22p0c6c/-FJPG/244497-001_DET_9.tif</t>
  </si>
  <si>
    <t>https://dd3ka9h4chfr8.cloudfront.net/image/725136000567/image_k4tvetbpad54d1uen7rqtf8m4c/-FJPG/FHMPRJ-018_SCENE_1.tif</t>
  </si>
  <si>
    <t>44.88"</t>
  </si>
  <si>
    <t>Valen</t>
  </si>
  <si>
    <t>21.57"</t>
  </si>
  <si>
    <t>244501-001</t>
  </si>
  <si>
    <t>Oman Console Table - Rustic Black Veneer</t>
  </si>
  <si>
    <t>Rustic Black Veneer</t>
  </si>
  <si>
    <t>The traditional console table gets elevated with accent stretchers that bring a float-like look to simple shaping. Made from ash and oak, with a rustic black oak finish.</t>
  </si>
  <si>
    <t>https://dd3ka9h4chfr8.cloudfront.net/image/725136000567/image_lnau7p131t08p7gcpanq0v4i14/-S150x150-FJPG/244501-001_PRM_1.jpg</t>
  </si>
  <si>
    <t>https://dd3ka9h4chfr8.cloudfront.net/image/725136000567/image_oo26skkeu146tfnaf63t0k4o57/-FJPG/244501-001_FRT_1.jpg</t>
  </si>
  <si>
    <t>https://dd3ka9h4chfr8.cloudfront.net/image/725136000567/image_lnau7p131t08p7gcpanq0v4i14/-FJPG/244501-001_PRM_1.jpg</t>
  </si>
  <si>
    <t>https://dd3ka9h4chfr8.cloudfront.net/image/725136000567/image_l5r3lhsmb50jpc64omb4qhh801/-FJPG/244501-001_SID_1.jpg</t>
  </si>
  <si>
    <t>https://dd3ka9h4chfr8.cloudfront.net/image/725136000567/image_rgoj6c2ej11hl43hgfeppdm07h/-FJPG/244501-001_ESS.tif</t>
  </si>
  <si>
    <t>https://dd3ka9h4chfr8.cloudfront.net/image/725136000567/image_lsijtqouqp40f6d378brdub67g/-FJPG/244501-001_DET_2.jpg</t>
  </si>
  <si>
    <t>https://dd3ka9h4chfr8.cloudfront.net/image/725136000567/image_mlh9hh7g8d4n3a6c6flq155k4g/-FJPG/244501-001_DET_1.jpg</t>
  </si>
  <si>
    <t>https://dd3ka9h4chfr8.cloudfront.net/image/725136000567/image_j6avah4ob975j0icoauhbk072i/-FJPG/244501-001_DET_3.jpg</t>
  </si>
  <si>
    <t>https://dd3ka9h4chfr8.cloudfront.net/image/725136000567/image_apd1fm11g95k58gjluc100ki68/-FJPG/244501-001_TOP_1.jpg</t>
  </si>
  <si>
    <t>https://dd3ka9h4chfr8.cloudfront.net/image/725136000567/image_f3u3t7k5ft2in6lgfvjlphro62/-FJPG/244501-001_DET_4.jpg</t>
  </si>
  <si>
    <t>Oman</t>
  </si>
  <si>
    <t>11.14"</t>
  </si>
  <si>
    <t>71.14"</t>
  </si>
  <si>
    <t>3.05"</t>
  </si>
  <si>
    <t>244505-001</t>
  </si>
  <si>
    <t>Valen Console Table - Rustic Brown Oak Veneer</t>
  </si>
  <si>
    <t>Made from rustic brown oak, an open-style console table is streamlined while not short on presence, with its exaggerated cylinder legs and polished pill-shaped top.</t>
  </si>
  <si>
    <t>https://dd3ka9h4chfr8.cloudfront.net/image/725136000567/image_jo9hs0nmkt4hl18aohhu3mn60d/-S150x150-FJPG/244505-001_PRM_1.jpg</t>
  </si>
  <si>
    <t>https://dd3ka9h4chfr8.cloudfront.net/image/725136000567/image_pbrqbi94bt4i3afopkoehs5i7m/-FJPG/244505-001_FRT_1.jpg</t>
  </si>
  <si>
    <t>https://dd3ka9h4chfr8.cloudfront.net/image/725136000567/image_jo9hs0nmkt4hl18aohhu3mn60d/-FJPG/244505-001_PRM_1.jpg</t>
  </si>
  <si>
    <t>https://dd3ka9h4chfr8.cloudfront.net/image/725136000567/image_so2ju531s1255430hd5f02552n/-FJPG/244505-001_SID_1.jpg</t>
  </si>
  <si>
    <t>https://dd3ka9h4chfr8.cloudfront.net/image/725136000567/image_ictatavphd26r4jr6cie38rh58/-FJPG/244505-001_ESS.tif</t>
  </si>
  <si>
    <t>https://dd3ka9h4chfr8.cloudfront.net/image/725136000567/image_bs1jpodvuh62p44vsq4mqtqs2h/-FJPG/244505-001_DET_2.jpg</t>
  </si>
  <si>
    <t>https://dd3ka9h4chfr8.cloudfront.net/image/725136000567/image_gnjukmak891vt26j4aga9o0u1v/-FJPG/244505-001_DET_1.jpg</t>
  </si>
  <si>
    <t>https://dd3ka9h4chfr8.cloudfront.net/image/725136000567/image_qoumuu3flt5rf13u1e9skuer66/-FJPG/244505-001_DET_3.jpg</t>
  </si>
  <si>
    <t>https://dd3ka9h4chfr8.cloudfront.net/image/725136000567/image_f35f6arlf90oteu6l9v8p0me2a/-FJPG/244505-001_TOP_1.jpg</t>
  </si>
  <si>
    <t>https://dd3ka9h4chfr8.cloudfront.net/image/725136000567/image_a1ofa5sgg103haull0ikte8m33/-FJPG/244505-001_DET_4.jpg</t>
  </si>
  <si>
    <t>https://dd3ka9h4chfr8.cloudfront.net/image/725136000567/image_enuoulukkt5glcu48mun08167f/-FJPG/244505-001_DET_5.jpg</t>
  </si>
  <si>
    <t>https://dd3ka9h4chfr8.cloudfront.net/image/725136000567/image_2fs47gs9gt49dcrhcjk68c264b/-FJPG/244505-001_DET_9.tif</t>
  </si>
  <si>
    <t>https://dd3ka9h4chfr8.cloudfront.net/image/725136000567/image_e6ln4j7uol3bv5g5limcr62r7p/-FJPG/FHMPRJ-018_SCENE-10.tif</t>
  </si>
  <si>
    <t>29.57"</t>
  </si>
  <si>
    <t>32.83"</t>
  </si>
  <si>
    <t>12.17"</t>
  </si>
  <si>
    <t>10.39"</t>
  </si>
  <si>
    <t>244511-002</t>
  </si>
  <si>
    <t>Valen 6 Drawer Dresser - Rustic Brown Oak Veneer</t>
  </si>
  <si>
    <t>Made from solid oak with a rustic brown finish, a six-drawer dresser brings generous storage space to your bedroom collection, while mixing into a wide range of styles.</t>
  </si>
  <si>
    <t>https://dd3ka9h4chfr8.cloudfront.net/image/725136000567/image_6apao1lt512ln5p2rodv3h6g7r/-S150x150-FJPG/244511-002_PRM_1.jpg</t>
  </si>
  <si>
    <t>https://dd3ka9h4chfr8.cloudfront.net/image/725136000567/image_plgaqme81d7gv7cqlfsceeqm0m/-FJPG/244511-002_FRT_1.jpg</t>
  </si>
  <si>
    <t>https://dd3ka9h4chfr8.cloudfront.net/image/725136000567/image_6apao1lt512ln5p2rodv3h6g7r/-FJPG/244511-002_PRM_1.jpg</t>
  </si>
  <si>
    <t>https://dd3ka9h4chfr8.cloudfront.net/image/725136000567/image_dsif1le91p2ef80aibt98h5t3u/-FJPG/244511-002_SID_1.jpg</t>
  </si>
  <si>
    <t>https://dd3ka9h4chfr8.cloudfront.net/image/725136000567/image_bvkkrlel0d6rj64le8vh53o23u/-FJPG/244511-002_DET_2.jpg</t>
  </si>
  <si>
    <t>https://dd3ka9h4chfr8.cloudfront.net/image/725136000567/image_edjl855hf50s7aume992f1sn7d/-FJPG/244511-002_BCK_1.jpg</t>
  </si>
  <si>
    <t>https://dd3ka9h4chfr8.cloudfront.net/image/725136000567/image_0egdn3svql2qv2a91eakiq9c0r/-FJPG/244511-002_DET_1.jpg</t>
  </si>
  <si>
    <t>https://dd3ka9h4chfr8.cloudfront.net/image/725136000567/image_9g8mvp1a6t72lasgcf99em077e/-FJPG/244511-002_DET_3.jpg</t>
  </si>
  <si>
    <t>https://dd3ka9h4chfr8.cloudfront.net/image/725136000567/image_d6j4a6vb0p4t10353cq2b31v74/-FJPG/244511-002_OPN_1.jpg</t>
  </si>
  <si>
    <t>https://dd3ka9h4chfr8.cloudfront.net/image/725136000567/image_r1f4e6uupl2st17tu411k2m27f/-FJPG/244511-002_TOP_1.jpg</t>
  </si>
  <si>
    <t>https://dd3ka9h4chfr8.cloudfront.net/image/725136000567/image_q9ioivqpu12a1btq9fb74hvc70/-FJPG/244511-002_DET_4.jpg</t>
  </si>
  <si>
    <t>https://dd3ka9h4chfr8.cloudfront.net/image/725136000567/image_1jap0lahfp48pavt8m04hnru5m/-FJPG/244511-002_DET_5.jpg</t>
  </si>
  <si>
    <t>https://dd3ka9h4chfr8.cloudfront.net/image/725136000567/image_pqs24kicg919v2l73b9920tt68/-FJPG/244511-002_DET_6.jpg</t>
  </si>
  <si>
    <t>30.20"</t>
  </si>
  <si>
    <t>244662-001</t>
  </si>
  <si>
    <t>Brimley Sideboard - Aged Light Pine</t>
  </si>
  <si>
    <t>Inspired by clean Scandinavian design, a light finish pairs with the simple lines of this classic sideboard. Interior shelving behind dual cabinet door pairings create bonus storage options in your dining space and beyond.</t>
  </si>
  <si>
    <t>https://dd3ka9h4chfr8.cloudfront.net/image/725136000567/image_42ed5670n112d9uu9tn9bfdv34/-S150x150-FJPG/244662-001_PRM_1.jpg</t>
  </si>
  <si>
    <t>https://dd3ka9h4chfr8.cloudfront.net/image/725136000567/image_ponus4g4392c523rrae13nc02c/-FJPG/244662-001_FRT_1.jpg</t>
  </si>
  <si>
    <t>https://dd3ka9h4chfr8.cloudfront.net/image/725136000567/image_42ed5670n112d9uu9tn9bfdv34/-FJPG/244662-001_PRM_1.jpg</t>
  </si>
  <si>
    <t>https://dd3ka9h4chfr8.cloudfront.net/image/725136000567/image_9dhktf9fht2grd3t712lgd3a2c/-FJPG/244662-001_SID_1.jpg</t>
  </si>
  <si>
    <t>https://dd3ka9h4chfr8.cloudfront.net/image/725136000567/image_c4d69mbbvd2tv9q5ila1nq6510/-FJPG/244662-001_ESS.tif</t>
  </si>
  <si>
    <t>https://dd3ka9h4chfr8.cloudfront.net/image/725136000567/image_n2b3vbv3996gjej5fefop18e60/-FJPG/244662-001_DET_2.jpg</t>
  </si>
  <si>
    <t>https://dd3ka9h4chfr8.cloudfront.net/image/725136000567/image_7iqh8ukojd4rf0b7fbp8jubi2s/-FJPG/244662-001_BCK_1.jpg</t>
  </si>
  <si>
    <t>https://dd3ka9h4chfr8.cloudfront.net/image/725136000567/image_7qha135i8h4152k5s1m3g6613o/-FJPG/244662-001_DET_1.jpg</t>
  </si>
  <si>
    <t>https://dd3ka9h4chfr8.cloudfront.net/image/725136000567/image_auufv47jfl7e5cauiengbb094f/-FJPG/244662-001_DET_3.jpg</t>
  </si>
  <si>
    <t>https://dd3ka9h4chfr8.cloudfront.net/image/725136000567/image_00fjtil7e51lbf4rb96hgpke0l/-FJPG/244662-001_OPN_1.jpg</t>
  </si>
  <si>
    <t>https://dd3ka9h4chfr8.cloudfront.net/image/725136000567/image_vvciono4f1363cln455shhjm0j/-FJPG/244662-001_DET_4.jpg</t>
  </si>
  <si>
    <t>https://dd3ka9h4chfr8.cloudfront.net/image/725136000567/image_qqi5rvktll7rn9jkj2g6nlil01/-FJPG/244662-001_DET_5.jpg</t>
  </si>
  <si>
    <t>https://dd3ka9h4chfr8.cloudfront.net/image/725136000567/image_t64ita42ih3p79o3doe4m2r73k/-FJPG/244662-001_DET_6.jpg</t>
  </si>
  <si>
    <t>https://dd3ka9h4chfr8.cloudfront.net/image/725136000567/image_gbks21u1il40h1ge1vrdlr6v6e/-FJPG/244662-001_DET_7.jpg</t>
  </si>
  <si>
    <t>https://dd3ka9h4chfr8.cloudfront.net/image/725136000567/image_povctaq2ph4r566t055oed740m/-FJPG/244662-001_DET_9.tif</t>
  </si>
  <si>
    <t>https://dd3ka9h4chfr8.cloudfront.net/image/725136000567/image_23onum70gl4dn7v9k7ki288r7j/-FJPG/244662-001_OPN_2.jpg</t>
  </si>
  <si>
    <t>38.94"</t>
  </si>
  <si>
    <t>Brimley</t>
  </si>
  <si>
    <t>19.47"</t>
  </si>
  <si>
    <t>39.57"</t>
  </si>
  <si>
    <t>245262-008</t>
  </si>
  <si>
    <t>Sinclair Outdoor Ottoman - Alessi Fawn</t>
  </si>
  <si>
    <t>Garwood</t>
  </si>
  <si>
    <t>Outdoor Sofas &amp; Chaises</t>
  </si>
  <si>
    <t>Outdoor Ottomans</t>
  </si>
  <si>
    <t>Alessi Fawn</t>
  </si>
  <si>
    <t>Stained Saddle Brown-FSC</t>
  </si>
  <si>
    <t>Solid FSCÂ®-Certified Teak</t>
  </si>
  <si>
    <t>An indoor favorite makes its way outside. This rounded outdoor ottoman can be placed just about anywhere for maximum flexibility. Cover or store inside during inclement weather and when not in use.</t>
  </si>
  <si>
    <t>https://dd3ka9h4chfr8.cloudfront.net/image/725136000567/image_pv7erfbc0d6t5bpkh2ai9gcd0g/-S150x150-FJPG/245262-008_PRM_1.jpg</t>
  </si>
  <si>
    <t>https://dd3ka9h4chfr8.cloudfront.net/image/725136000567/image_pv7erfbc0d6t5bpkh2ai9gcd0g/-FJPG/245262-008_PRM_1.jpg</t>
  </si>
  <si>
    <t>https://dd3ka9h4chfr8.cloudfront.net/image/725136000567/image_5a1vncqjdd21pb33g7ec2dcv7i/-FJPG/245262-008_ESS.tif</t>
  </si>
  <si>
    <t>https://dd3ka9h4chfr8.cloudfront.net/image/725136000567/image_1dbs8piej12ft2s94ab2rpnp4l/-FJPG/245262-008_BCK_1.jpg</t>
  </si>
  <si>
    <t>https://dd3ka9h4chfr8.cloudfront.net/image/725136000567/image_9c0o2iko0p7un6circttl9073o/-FJPG/245262-008_DET_5.jpg</t>
  </si>
  <si>
    <t>https://dd3ka9h4chfr8.cloudfront.net/image/725136000567/image_oh7692eijl6dp2quj1q5tteq41/-FJPG/245262-008_DET_6.jpg</t>
  </si>
  <si>
    <t>https://dd3ka9h4chfr8.cloudfront.net/image/725136000567/image_d5fnpm0jkd5j7784f0qgltv70s/-FJPG/245262-008_DET_7.jpg</t>
  </si>
  <si>
    <t>18.48"</t>
  </si>
  <si>
    <t>245262-010</t>
  </si>
  <si>
    <t>Sinclair Outdoor Ottoman - Alessi Linen</t>
  </si>
  <si>
    <t>Alessi Linen</t>
  </si>
  <si>
    <t>Bronze</t>
  </si>
  <si>
    <t>https://dd3ka9h4chfr8.cloudfront.net/image/725136000567/image_8ugu265vtl5qh4v9qvt4k1f97g/-S150x150-FJPG/245262-010_PRM_1.jpg</t>
  </si>
  <si>
    <t>https://dd3ka9h4chfr8.cloudfront.net/image/725136000567/image_9ef0sv048l06n5rvoa8henth4u/-FJPG/245262-010_FRT_1.jpg</t>
  </si>
  <si>
    <t>https://dd3ka9h4chfr8.cloudfront.net/image/725136000567/image_8ugu265vtl5qh4v9qvt4k1f97g/-FJPG/245262-010_PRM_1.jpg</t>
  </si>
  <si>
    <t>https://dd3ka9h4chfr8.cloudfront.net/image/725136000567/image_kn7ooqigch19h9kras22vcak5n/-FJPG/245262-010_SID_1.jpg</t>
  </si>
  <si>
    <t>https://dd3ka9h4chfr8.cloudfront.net/image/725136000567/image_cljfvrsgml6gd3anjg2tnsji4b/-FJPG/245262-010_ESS.tif</t>
  </si>
  <si>
    <t>https://dd3ka9h4chfr8.cloudfront.net/image/725136000567/image_bicvtobnfl7vtc6ipkvi3bgm5l/-FJPG/245262-010_DET_2.jpg</t>
  </si>
  <si>
    <t>https://dd3ka9h4chfr8.cloudfront.net/image/725136000567/image_ne0q6nd1u92693u1onigvmnt0u/-FJPG/245262-010_BCK_1.jpg</t>
  </si>
  <si>
    <t>https://dd3ka9h4chfr8.cloudfront.net/image/725136000567/image_hoodnhfckd5kj69lgoktqk716l/-FJPG/245262-010_DET_1.jpg</t>
  </si>
  <si>
    <t>https://dd3ka9h4chfr8.cloudfront.net/image/725136000567/image_0cqh884ibh75r8s8scn72au44b/-FJPG/245262-010_DET_3.jpg</t>
  </si>
  <si>
    <t>https://dd3ka9h4chfr8.cloudfront.net/image/725136000567/image_6ovp8uli254ttfhgkpnl881m02/-FJPG/245262-010_TOP_1.jpg</t>
  </si>
  <si>
    <t>https://dd3ka9h4chfr8.cloudfront.net/image/725136000567/image_h71i4eo0u93lfc57npnqik3h4e/-FJPG/245262-010_DET_5.jpg</t>
  </si>
  <si>
    <t>245262-011</t>
  </si>
  <si>
    <t>Sinclair Outdoor Ottoman - Hayes Smoke</t>
  </si>
  <si>
    <t>Hayes Smoke</t>
  </si>
  <si>
    <t>100% Olefin</t>
  </si>
  <si>
    <t>https://dd3ka9h4chfr8.cloudfront.net/image/725136000567/image_6hkpocavo13r97bsg05o8u8n2s/-S150x150-FJPG/245262-011_PRM_1.jpg</t>
  </si>
  <si>
    <t>https://dd3ka9h4chfr8.cloudfront.net/image/725136000567/image_gr8fufd6et33t854omrkevoa7d/-FJPG/245262-011_FRT_1.jpg</t>
  </si>
  <si>
    <t>https://dd3ka9h4chfr8.cloudfront.net/image/725136000567/image_6hkpocavo13r97bsg05o8u8n2s/-FJPG/245262-011_PRM_1.jpg</t>
  </si>
  <si>
    <t>https://dd3ka9h4chfr8.cloudfront.net/image/725136000567/image_7qmj0bdop940j59amj9p3glr0b/-FJPG/245262-011_SID_1.jpg</t>
  </si>
  <si>
    <t>https://dd3ka9h4chfr8.cloudfront.net/image/725136000567/image_prioqoknrh2n941sn0347s7e6b/-FJPG/245262-011_ESS.tif</t>
  </si>
  <si>
    <t>https://dd3ka9h4chfr8.cloudfront.net/image/725136000567/image_b4f2on0io14015n0it3m8grm0q/-FJPG/245262-011_DET_2.jpg</t>
  </si>
  <si>
    <t>https://dd3ka9h4chfr8.cloudfront.net/image/725136000567/image_o2im3b5bqp5p1a15j15ml9dm4q/-FJPG/245262-011_BCK_1.jpg</t>
  </si>
  <si>
    <t>https://dd3ka9h4chfr8.cloudfront.net/image/725136000567/image_un39cuei110cp7f5ausj4j1c4g/-FJPG/245262-011_DET_1.jpg</t>
  </si>
  <si>
    <t>https://dd3ka9h4chfr8.cloudfront.net/image/725136000567/image_201n39uqod67t8uip17cgqbe26/-FJPG/245262-011_TOP_1.jpg</t>
  </si>
  <si>
    <t>https://dd3ka9h4chfr8.cloudfront.net/image/725136000567/image_seujfdb0ad0bteb5g9k6jtci3f/-FJPG/245262-011_DET_4.jpg</t>
  </si>
  <si>
    <t>https://dd3ka9h4chfr8.cloudfront.net/image/725136000567/image_mkflc2f4c14ile4epsjpp04k20/-FJPG/245262-011_DET_5.jpg</t>
  </si>
  <si>
    <t>245262-012</t>
  </si>
  <si>
    <t>Sinclair Outdoor Ottoman - Hayes Cream</t>
  </si>
  <si>
    <t>Hayes Cream</t>
  </si>
  <si>
    <t>Stained Toasted Brown-FSC</t>
  </si>
  <si>
    <t>https://dd3ka9h4chfr8.cloudfront.net/image/725136000567/image_3bi59rfj0961b54bf33quio71g/-S150x150-FJPG/245262-012_PRM_1.jpg</t>
  </si>
  <si>
    <t>https://dd3ka9h4chfr8.cloudfront.net/image/725136000567/image_2q54d21oj94p7e2ic5f06vt353/-FJPG/245262-012_FRT_1.jpg</t>
  </si>
  <si>
    <t>https://dd3ka9h4chfr8.cloudfront.net/image/725136000567/image_3bi59rfj0961b54bf33quio71g/-FJPG/245262-012_PRM_1.jpg</t>
  </si>
  <si>
    <t>https://dd3ka9h4chfr8.cloudfront.net/image/725136000567/image_dr782prnt91ld7vkofhq7a1c0t/-FJPG/245262-012_SID_1.jpg</t>
  </si>
  <si>
    <t>https://dd3ka9h4chfr8.cloudfront.net/image/725136000567/image_jgucp1pish0id4cup6tg6cob7r/-FJPG/245262-012_ESS.tif</t>
  </si>
  <si>
    <t>https://dd3ka9h4chfr8.cloudfront.net/image/725136000567/image_0aok0573op3ktc5earktcgtm4h/-FJPG/245262-012_DET_2.jpg</t>
  </si>
  <si>
    <t>https://dd3ka9h4chfr8.cloudfront.net/image/725136000567/image_2imkuji4pd78b2cairljkojb2n/-FJPG/245262-012_BCK_1.jpg</t>
  </si>
  <si>
    <t>https://dd3ka9h4chfr8.cloudfront.net/image/725136000567/image_q8qmot5o195flceaersbigqa6h/-FJPG/245262-012_DET_1.jpg</t>
  </si>
  <si>
    <t>https://dd3ka9h4chfr8.cloudfront.net/image/725136000567/image_t9it1gdvl91a7daedtqlgh1g3h/-FJPG/245262-012_DET_3.jpg</t>
  </si>
  <si>
    <t>https://dd3ka9h4chfr8.cloudfront.net/image/725136000567/image_0qd34hviot6hb28pko41kppp07/-FJPG/245262-012_TOP_1.jpg</t>
  </si>
  <si>
    <t>https://dd3ka9h4chfr8.cloudfront.net/image/725136000567/image_lrp945eduh2fdduvipjr250m1j/-FJPG/245262-012_DET_4.jpg</t>
  </si>
  <si>
    <t>https://dd3ka9h4chfr8.cloudfront.net/image/725136000567/image_ebnfmsghc16f96i2s6anrvhh7n/-FJPG/245262-012_DET_5.jpg</t>
  </si>
  <si>
    <t>245273-001</t>
  </si>
  <si>
    <t>Theodore Bookcase - Rustic Amber Oak Veneer</t>
  </si>
  <si>
    <t>Wide and stately, with plenty of space for storage and display. A bookcase made from rustic amber-finished oak shapes a wide floating shelf design, with layered cross supports bringing an architectural feel to the office or living room.</t>
  </si>
  <si>
    <t>https://dd3ka9h4chfr8.cloudfront.net/image/725136000567/image_5u6j0unoa94rjal74lqp045e5a/-S150x150-FJPG/245273-001_PRM_1.jpg</t>
  </si>
  <si>
    <t>https://dd3ka9h4chfr8.cloudfront.net/image/725136000567/image_eia2hmn8j14dd997aq75bhns1t/-FJPG/245273-001_FRT_1.jpg</t>
  </si>
  <si>
    <t>https://dd3ka9h4chfr8.cloudfront.net/image/725136000567/image_5u6j0unoa94rjal74lqp045e5a/-FJPG/245273-001_PRM_1.jpg</t>
  </si>
  <si>
    <t>https://dd3ka9h4chfr8.cloudfront.net/image/725136000567/image_q6tm6i5kcd503d89kpi2kgrj0s/-FJPG/245273-001_SID_1.jpg</t>
  </si>
  <si>
    <t>https://dd3ka9h4chfr8.cloudfront.net/image/725136000567/image_u5h0d21ts57vba2ktf7sisu17a/-FJPG/245273-001_ESS.tif</t>
  </si>
  <si>
    <t>https://dd3ka9h4chfr8.cloudfront.net/image/725136000567/image_otgpafv9vh74f97t2vqgt97e2d/-FJPG/245273-001_DET_2.jpg</t>
  </si>
  <si>
    <t>https://dd3ka9h4chfr8.cloudfront.net/image/725136000567/image_8u4kfatsit7ot3tbcokq9och0i/-FJPG/245273-001_DET_1.jpg</t>
  </si>
  <si>
    <t>https://dd3ka9h4chfr8.cloudfront.net/image/725136000567/image_n2e2a5rrvt31n7f0qbfa651u57/-FJPG/245273-001_DET_3.jpg</t>
  </si>
  <si>
    <t>https://dd3ka9h4chfr8.cloudfront.net/image/725136000567/image_d5k9atpdhl3tf25tcn9h4erk5l/-FJPG/245273-001_DET_4.jpg</t>
  </si>
  <si>
    <t>https://dd3ka9h4chfr8.cloudfront.net/image/725136000567/image_4e2mt8evel7t5725pc54bfrp0q/-FJPG/245273-001_DET_5.jpg</t>
  </si>
  <si>
    <t>https://dd3ka9h4chfr8.cloudfront.net/image/725136000567/image_9p4gn2adol2gv3p5olanacf233/-FJPG/245273-001_DET_9.tif</t>
  </si>
  <si>
    <t>https://dd3ka9h4chfr8.cloudfront.net/image/725136000567/image_88013kjlnt6rrc987ts9t1bk5m/-FJPG/245273-001_DET_10.tif</t>
  </si>
  <si>
    <t>52.05"</t>
  </si>
  <si>
    <t>16.26"</t>
  </si>
  <si>
    <t>Theodore</t>
  </si>
  <si>
    <t>245348-005</t>
  </si>
  <si>
    <t>Alessio Sideboard - Aged Natural Oak Veneer</t>
  </si>
  <si>
    <t>A transitional piece that works into your collection with ease. This solid oak sideboard features a light finish that highlights natural wood cracks and graining inherent to rich character woods. Grid-like patterned doors bring dimension to clean, simple shaping, while interior shelving awaits storage of serveware, table linens and more. Pieces vary; knots and cracks are common and reflect the beautifully natural character of oak.</t>
  </si>
  <si>
    <t>https://dd3ka9h4chfr8.cloudfront.net/image/725136000567/image_vf6mcqd25l03nf4d2c69napa7m/-S150x150-FJPG/245348-005_PRM_1.jpg</t>
  </si>
  <si>
    <t>https://dd3ka9h4chfr8.cloudfront.net/image/725136000567/image_l42ashbvt10gj3bno2r92dj21h/-FJPG/245348-005_FRT_1.jpg</t>
  </si>
  <si>
    <t>https://dd3ka9h4chfr8.cloudfront.net/image/725136000567/image_vf6mcqd25l03nf4d2c69napa7m/-FJPG/245348-005_PRM_1.jpg</t>
  </si>
  <si>
    <t>https://dd3ka9h4chfr8.cloudfront.net/image/725136000567/image_6d4clib2ep0up1gev4d1hvus13/-FJPG/245348-005_SID_1.jpg</t>
  </si>
  <si>
    <t>https://dd3ka9h4chfr8.cloudfront.net/image/725136000567/image_f1nqukskn16rrbd9coginqne7a/-FJPG/245348-005_ESS.tif</t>
  </si>
  <si>
    <t>https://dd3ka9h4chfr8.cloudfront.net/image/725136000567/image_pcftsa2as10898kh5v5te8lj6d/-FJPG/245348-005_DET_2.jpg</t>
  </si>
  <si>
    <t>https://dd3ka9h4chfr8.cloudfront.net/image/725136000567/image_3v5p66bkud30vde9emsrnul57u/-FJPG/245348-005_BCK_1.jpg</t>
  </si>
  <si>
    <t>https://dd3ka9h4chfr8.cloudfront.net/image/725136000567/image_6u3ns5llnl025a5glr1srut73t/-FJPG/245348-005_DET_1.jpg</t>
  </si>
  <si>
    <t>https://dd3ka9h4chfr8.cloudfront.net/image/725136000567/image_p6gb97nh3l4l5diie5ejb7es4a/-FJPG/245348-005_DET_3.jpg</t>
  </si>
  <si>
    <t>https://dd3ka9h4chfr8.cloudfront.net/image/725136000567/image_pmudpghaah56v0r61dmau3nc3r/-FJPG/245348-005_OPN_1.jpg</t>
  </si>
  <si>
    <t>https://dd3ka9h4chfr8.cloudfront.net/image/725136000567/image_bm4p2l5mtp36rbbrhk3lukqi0i/-FJPG/245348-005_TOP_1.jpg</t>
  </si>
  <si>
    <t>https://dd3ka9h4chfr8.cloudfront.net/image/725136000567/image_0ar9uvkl0t4ij7jpmccv1dun6a/-FJPG/245348-005_DET_4.jpg</t>
  </si>
  <si>
    <t>https://dd3ka9h4chfr8.cloudfront.net/image/725136000567/image_sjoarc4cd10hd1k14nbuod0m2b/-FJPG/245348-005_DET_5.jpg</t>
  </si>
  <si>
    <t>https://dd3ka9h4chfr8.cloudfront.net/image/725136000567/image_3apllsiait2ardv7e54v90g53b/-FJPG/245348-005_DET_6.jpg</t>
  </si>
  <si>
    <t>https://dd3ka9h4chfr8.cloudfront.net/image/725136000567/image_4tfubqg5l531bbe1higdlfm26k/-FJPG/245348-005_DET_7.jpg</t>
  </si>
  <si>
    <t>https://dd3ka9h4chfr8.cloudfront.net/image/725136000567/image_jc11k1ln453vhdaqdhqcusoa58/-FJPG/245348-005_DET_9.tif</t>
  </si>
  <si>
    <t>https://dd3ka9h4chfr8.cloudfront.net/image/725136000567/image_bn0lf1ubvt7rf2m5hrbeu8kn6a/-FJPG/FHMPRJ-018_SCENE-11.tif</t>
  </si>
  <si>
    <t>24.65"</t>
  </si>
  <si>
    <t>Alessio</t>
  </si>
  <si>
    <t>19.27"</t>
  </si>
  <si>
    <t>245350-001</t>
  </si>
  <si>
    <t>Bindi Sideboard - Umber Brown Veneer</t>
  </si>
  <si>
    <t>Umber Brown Veneer</t>
  </si>
  <si>
    <t>Black Stainless Steel</t>
  </si>
  <si>
    <t>A spacious, storage-driven sideboard inspired by New American design. Clean lines are softened by subtle curves on the front corners, adding character to a streamlined silhouette. Behind four doors, four hidden drawers, offer smart storage for everything for table linens and dinnerware. Finished in a beautifully rich brown sure to complement your collection.</t>
  </si>
  <si>
    <t>https://dd3ka9h4chfr8.cloudfront.net/image/725136000567/image_hh9oa064sl2v96uv12dgog562n/-S150x150-FJPG/245350-001_PRM_1.jpg</t>
  </si>
  <si>
    <t>https://dd3ka9h4chfr8.cloudfront.net/image/725136000567/image_m2npk7houp6v36s5pj296hbj74/-FJPG/245350-001_FRT_1.jpg</t>
  </si>
  <si>
    <t>https://dd3ka9h4chfr8.cloudfront.net/image/725136000567/image_hh9oa064sl2v96uv12dgog562n/-FJPG/245350-001_PRM_1.jpg</t>
  </si>
  <si>
    <t>https://dd3ka9h4chfr8.cloudfront.net/image/725136000567/image_2i682p73m94freaobrtn4qej5t/-FJPG/245350-001_SID_1.jpg</t>
  </si>
  <si>
    <t>https://dd3ka9h4chfr8.cloudfront.net/image/725136000567/image_os4nhjdchd0hrc52jr3muapj2v/-FJPG/245350-001_ESS.tif</t>
  </si>
  <si>
    <t>https://dd3ka9h4chfr8.cloudfront.net/image/725136000567/image_ivg6ntpdd175t9bc4asjq4786c/-FJPG/245350-001_DET_2.jpg</t>
  </si>
  <si>
    <t>https://dd3ka9h4chfr8.cloudfront.net/image/725136000567/image_09dt0bttr57bhfb2kdt4qvs66u/-FJPG/245350-001_BCK_1.jpg</t>
  </si>
  <si>
    <t>https://dd3ka9h4chfr8.cloudfront.net/image/725136000567/image_f5a5nuuf0d0jhbm3snkgrn182u/-FJPG/245350-001_DET_1.jpg</t>
  </si>
  <si>
    <t>https://dd3ka9h4chfr8.cloudfront.net/image/725136000567/image_il202n6nrh6b74qvsgvpqddt3i/-FJPG/245350-001_DET_3.jpg</t>
  </si>
  <si>
    <t>https://dd3ka9h4chfr8.cloudfront.net/image/725136000567/image_d91loqo9j90vd6euo568t5fa62/-FJPG/245350-001_OPN_1.jpg</t>
  </si>
  <si>
    <t>https://dd3ka9h4chfr8.cloudfront.net/image/725136000567/image_2o7tnpvehd0e5fja1afroc1p37/-FJPG/245350-001_TOP_1.jpg</t>
  </si>
  <si>
    <t>https://dd3ka9h4chfr8.cloudfront.net/image/725136000567/image_26f987sjl513p9mu8928qnd74k/-FJPG/245350-001_DET_4.jpg</t>
  </si>
  <si>
    <t>https://dd3ka9h4chfr8.cloudfront.net/image/725136000567/image_lamvurvr111879csaq740tab7v/-FJPG/245350-001_DET_5.jpg</t>
  </si>
  <si>
    <t>https://dd3ka9h4chfr8.cloudfront.net/image/725136000567/image_htige494112l1cng1hsc81sk48/-FJPG/245350-001_DET_6.jpg</t>
  </si>
  <si>
    <t>https://dd3ka9h4chfr8.cloudfront.net/image/725136000567/image_maoqcfhl6d6fh7e5hd7gk3mj0t/-FJPG/245350-001_DET_7.jpg</t>
  </si>
  <si>
    <t>https://dd3ka9h4chfr8.cloudfront.net/image/725136000567/image_1ojpodd8vh47n3rqlguu25n25m/-FJPG/245350-001_DET_9.tif</t>
  </si>
  <si>
    <t>13.62"</t>
  </si>
  <si>
    <t>20.71"</t>
  </si>
  <si>
    <t>39.76"</t>
  </si>
  <si>
    <t>Bindi</t>
  </si>
  <si>
    <t>13.05"</t>
  </si>
  <si>
    <t>245422-002</t>
  </si>
  <si>
    <t>Perot 6 Drawer Dresser - Light Blonde Pine</t>
  </si>
  <si>
    <t>Light Blonde Pine</t>
  </si>
  <si>
    <t>Beauty in simplicity. A clean, spacious six-drawer dresser of blonde-finished pine can be styled into a wide range of styles thanks to its neutral versatility.</t>
  </si>
  <si>
    <t>https://dd3ka9h4chfr8.cloudfront.net/image/725136000567/image_4jl5mbr3hp7bpact7u7f86pm4l/-S150x150-FJPG/245422-002_PRM_1.jpg</t>
  </si>
  <si>
    <t>https://dd3ka9h4chfr8.cloudfront.net/image/725136000567/image_ol85dp1cgl09v1gjdrccapbr1p/-FJPG/245422-002_FRT_1.jpg</t>
  </si>
  <si>
    <t>https://dd3ka9h4chfr8.cloudfront.net/image/725136000567/image_4jl5mbr3hp7bpact7u7f86pm4l/-FJPG/245422-002_PRM_1.jpg</t>
  </si>
  <si>
    <t>https://dd3ka9h4chfr8.cloudfront.net/image/725136000567/image_ngg1lhg3vt30nbhhubf4mr990o/-FJPG/245422-002_SID_1.jpg</t>
  </si>
  <si>
    <t>https://dd3ka9h4chfr8.cloudfront.net/image/725136000567/image_vcjpo38mn521fd8512jto49h5e/-FJPG/245422-002_ESS.tif</t>
  </si>
  <si>
    <t>https://dd3ka9h4chfr8.cloudfront.net/image/725136000567/image_sbhkgpn4q93kn2u27p2l9him6h/-FJPG/245422-002_DET_2.jpg</t>
  </si>
  <si>
    <t>https://dd3ka9h4chfr8.cloudfront.net/image/725136000567/image_fgo5v7l2l97pbdq2o8tfrc6a6a/-FJPG/245422-002_BCK_1.jpg</t>
  </si>
  <si>
    <t>https://dd3ka9h4chfr8.cloudfront.net/image/725136000567/image_g9vgho6ped715a6aq0b79g6d4s/-FJPG/245422-002_DET_1.jpg</t>
  </si>
  <si>
    <t>https://dd3ka9h4chfr8.cloudfront.net/image/725136000567/image_50n0auu39h5rr7450hkb29er7a/-FJPG/245422-002_DET_3.jpg</t>
  </si>
  <si>
    <t>https://dd3ka9h4chfr8.cloudfront.net/image/725136000567/image_40gfsa7h651unb3amsga313i4t/-FJPG/245422-002_OPN_1.jpg</t>
  </si>
  <si>
    <t>https://dd3ka9h4chfr8.cloudfront.net/image/725136000567/image_u3d0bp71pp347407ub7shd4h4p/-FJPG/245422-002_TOP_1.jpg</t>
  </si>
  <si>
    <t>https://dd3ka9h4chfr8.cloudfront.net/image/725136000567/image_kjgdvsmp713k522h19kosboe53/-FJPG/245422-002_DET_4.jpg</t>
  </si>
  <si>
    <t>https://dd3ka9h4chfr8.cloudfront.net/image/725136000567/image_c9lnbhltm17n382r5h6dgkq50u/-FJPG/245422-002_DET_5.jpg</t>
  </si>
  <si>
    <t>https://dd3ka9h4chfr8.cloudfront.net/image/725136000567/image_ccud6t19bh4orde46ob3bbkn1j/-FJPG/245422-002_DET_9.tif</t>
  </si>
  <si>
    <t>https://dd3ka9h4chfr8.cloudfront.net/image/725136000567/image_3j24h8dddt2c10nn4v9rhc182r/-FJPG/245422-002_DET_10.tif</t>
  </si>
  <si>
    <t>Perot</t>
  </si>
  <si>
    <t>29.31"</t>
  </si>
  <si>
    <t>White</t>
  </si>
  <si>
    <t>245424-002</t>
  </si>
  <si>
    <t>Perot Nightstand - Light Blonde Pine</t>
  </si>
  <si>
    <t>Beauty in simplicity. A clean cube of blonde-finished pine can be styled into a wide range of styles thanks to its neutral versatility.</t>
  </si>
  <si>
    <t>https://dd3ka9h4chfr8.cloudfront.net/image/725136000567/image_pbg72r05gp0kb9jhqvt7bru61l/-S150x150-FJPG/245424-002_PRM_1.jpg</t>
  </si>
  <si>
    <t>https://dd3ka9h4chfr8.cloudfront.net/image/725136000567/image_6ur09sm1d95ip27p00bvumif0t/-FJPG/245424-002_FRT_1.jpg</t>
  </si>
  <si>
    <t>https://dd3ka9h4chfr8.cloudfront.net/image/725136000567/image_pbg72r05gp0kb9jhqvt7bru61l/-FJPG/245424-002_PRM_1.jpg</t>
  </si>
  <si>
    <t>https://dd3ka9h4chfr8.cloudfront.net/image/725136000567/image_2v17ibjbch5b53ivtqld29o618/-FJPG/245424-002_SID_1.jpg</t>
  </si>
  <si>
    <t>https://dd3ka9h4chfr8.cloudfront.net/image/725136000567/image_2acrf3jepl7al10ahfem0r2i3c/-FJPG/245424-002_ESS.tif</t>
  </si>
  <si>
    <t>https://dd3ka9h4chfr8.cloudfront.net/image/725136000567/image_uhf33p67et7nndrqsge9r17559/-FJPG/245424-002_DET_2.jpg</t>
  </si>
  <si>
    <t>https://dd3ka9h4chfr8.cloudfront.net/image/725136000567/image_eea2strs9p4rr75bc3thrvv509/-FJPG/245424-002_BCK_1.jpg</t>
  </si>
  <si>
    <t>https://dd3ka9h4chfr8.cloudfront.net/image/725136000567/image_ni2f18tshh7i3bqt7ometgvj49/-FJPG/245424-002_DET_1.jpg</t>
  </si>
  <si>
    <t>https://dd3ka9h4chfr8.cloudfront.net/image/725136000567/image_4del3b2lop1sn8ki5ro4q30q3n/-FJPG/245424-002_DET_3.jpg</t>
  </si>
  <si>
    <t>https://dd3ka9h4chfr8.cloudfront.net/image/725136000567/image_fpb1u76qrl35h14ld42oh42f0f/-FJPG/245424-002_OPN_1.jpg</t>
  </si>
  <si>
    <t>https://dd3ka9h4chfr8.cloudfront.net/image/725136000567/image_ure20dhuj10d58oas09hapqi69/-FJPG/245424-002_TOP_1.jpg</t>
  </si>
  <si>
    <t>https://dd3ka9h4chfr8.cloudfront.net/image/725136000567/image_80vccuesel5ql1oer2ictmt14m/-FJPG/245424-002_DET_4.jpg</t>
  </si>
  <si>
    <t>https://dd3ka9h4chfr8.cloudfront.net/image/725136000567/image_o8kfnl7is93hr1a50m1bf5tl7l/-FJPG/245424-002_DET_5.jpg</t>
  </si>
  <si>
    <t>https://dd3ka9h4chfr8.cloudfront.net/image/725136000567/image_tiek4aafdh1nlb0eks4l1g5n23/-FJPG/245424-002_DET_9.tif</t>
  </si>
  <si>
    <t>5.45"</t>
  </si>
  <si>
    <t>20.31"</t>
  </si>
  <si>
    <t>245453-001</t>
  </si>
  <si>
    <t>Orwin Wide Bookshelf - Smoked Black Oak</t>
  </si>
  <si>
    <t>A stunner from every angle. Crafted from a mix of solid oak and thick oak veneer, this overscale bookcase features chamfered edges along the shelves and angled outer legs for lots of movement. Finished in a smoked black oak.</t>
  </si>
  <si>
    <t>https://dd3ka9h4chfr8.cloudfront.net/image/725136000567/image_an8qkupen946d2jogdrvje8e0k/-S150x150-FJPG/245453-001_PRM_1.jpg</t>
  </si>
  <si>
    <t>https://dd3ka9h4chfr8.cloudfront.net/image/725136000567/image_77sm9l6vq131teb2a6q9o2of6l/-FJPG/245453-001_FRT_1.jpg</t>
  </si>
  <si>
    <t>https://dd3ka9h4chfr8.cloudfront.net/image/725136000567/image_an8qkupen946d2jogdrvje8e0k/-FJPG/245453-001_PRM_1.jpg</t>
  </si>
  <si>
    <t>https://dd3ka9h4chfr8.cloudfront.net/image/725136000567/image_t8tsoja1g50a3cr3v3v46dss59/-FJPG/245453-001_SID_1.jpg</t>
  </si>
  <si>
    <t>https://dd3ka9h4chfr8.cloudfront.net/image/725136000567/image_lru1egqmm131naen19l8819e58/-FJPG/245543-001_ESS.tif</t>
  </si>
  <si>
    <t>https://dd3ka9h4chfr8.cloudfront.net/image/725136000567/image_2hvbkhoubd1gj5kpresutc1v0p/-FJPG/245453-001_DET_2.jpg</t>
  </si>
  <si>
    <t>https://dd3ka9h4chfr8.cloudfront.net/image/725136000567/image_oc0fntlvg96p97t3v5hasp272j/-FJPG/245453-001_DET_1.jpg</t>
  </si>
  <si>
    <t>https://dd3ka9h4chfr8.cloudfront.net/image/725136000567/image_88dug5kmj11ad320hi6bb36i5n/-FJPG/245453-001_DET_3.jpg</t>
  </si>
  <si>
    <t>https://dd3ka9h4chfr8.cloudfront.net/image/725136000567/image_6hfudhvpdp35refuqvth7oj25s/-FJPG/245453-001_OPN_1.jpg</t>
  </si>
  <si>
    <t>https://dd3ka9h4chfr8.cloudfront.net/image/725136000567/image_5td56t2t5l2a700n9kl9d4k95v/-FJPG/245453-001_DET_4.jpg</t>
  </si>
  <si>
    <t>https://dd3ka9h4chfr8.cloudfront.net/image/725136000567/image_mlv3tgb41d56t0at0tdpcl7u26/-FJPG/245453-001_DET_5.jpg</t>
  </si>
  <si>
    <t>https://dd3ka9h4chfr8.cloudfront.net/image/725136000567/image_ft3amhjrod53j161vp5n6b8k07/-FJPG/245453-001_DET_6.jpg</t>
  </si>
  <si>
    <t>Orwin</t>
  </si>
  <si>
    <t>19.84"</t>
  </si>
  <si>
    <t>15.47"</t>
  </si>
  <si>
    <t>245453-002</t>
  </si>
  <si>
    <t>Orwin Wide Bookshelf - Worn Oak</t>
  </si>
  <si>
    <t>A stunner from every angle. Crafted from a mix of natural solid oak and thick oak veneer, this overscale bookcase features chamfered edges along the shelves and angled outer legs for lots of movement.</t>
  </si>
  <si>
    <t>https://dd3ka9h4chfr8.cloudfront.net/image/725136000567/image_7r5p5ocu457o39cpg0edqtrv10/-S150x150-FJPG/245453-002_PRM_1.jpg</t>
  </si>
  <si>
    <t>https://dd3ka9h4chfr8.cloudfront.net/image/725136000567/image_0j6abu72sp01742435ecitc02p/-FJPG/245453-002_FRT_1.jpg</t>
  </si>
  <si>
    <t>https://dd3ka9h4chfr8.cloudfront.net/image/725136000567/image_7r5p5ocu457o39cpg0edqtrv10/-FJPG/245453-002_PRM_1.jpg</t>
  </si>
  <si>
    <t>https://dd3ka9h4chfr8.cloudfront.net/image/725136000567/image_q500eunlpt1vddmb33hmfv4q35/-FJPG/245453-002_SID_1.jpg</t>
  </si>
  <si>
    <t>https://dd3ka9h4chfr8.cloudfront.net/image/725136000567/image_b3kcc90o1h40ncckm2tl69bc14/-FJPG/245453-002_ESS.tif</t>
  </si>
  <si>
    <t>https://dd3ka9h4chfr8.cloudfront.net/image/725136000567/image_fa5hfanq61711878ni9dqoal4d/-FJPG/245453-002_DET_2.jpg</t>
  </si>
  <si>
    <t>https://dd3ka9h4chfr8.cloudfront.net/image/725136000567/image_ddf0angrbd6sp9jtel0kthj476/-FJPG/245453-002_BCK_1.jpg</t>
  </si>
  <si>
    <t>https://dd3ka9h4chfr8.cloudfront.net/image/725136000567/image_ee10q4uhe56mr2gu188tl1384r/-FJPG/245453-002_DET_1.jpg</t>
  </si>
  <si>
    <t>https://dd3ka9h4chfr8.cloudfront.net/image/725136000567/image_pv28a1djht351apc06ef6jm75g/-FJPG/245453-002_DET_3.jpg</t>
  </si>
  <si>
    <t>https://dd3ka9h4chfr8.cloudfront.net/image/725136000567/image_mkmer4o43l43r9era4i36b8n5p/-FJPG/245453-002_OPN_1.jpg</t>
  </si>
  <si>
    <t>https://dd3ka9h4chfr8.cloudfront.net/image/725136000567/image_kuegpcbuhl5jh9frsstp187l4k/-FJPG/245453-002_DET_4.jpg</t>
  </si>
  <si>
    <t>https://dd3ka9h4chfr8.cloudfront.net/image/725136000567/image_nvgqdgjqv56hjcasd4mppu4m6h/-FJPG/245453-002_DET_9.tif</t>
  </si>
  <si>
    <t>https://dd3ka9h4chfr8.cloudfront.net/image/725136000567/image_82mqj3g8216qrdr2lih9vepe63/-FJPG/245453-002_OPN_2.jpg</t>
  </si>
  <si>
    <t>245636-002</t>
  </si>
  <si>
    <t>Perot Console Table - Light Blonde Pine</t>
  </si>
  <si>
    <t>Beauty in simplicity. A light, blonde-finished base supports an inset beam-style top which appears to intersect for extra intrigue.</t>
  </si>
  <si>
    <t>https://dd3ka9h4chfr8.cloudfront.net/image/725136000567/image_j6ck7eukj5457899g73emtia60/-S150x150-FJPG/245636-002_PRM_1.jpg</t>
  </si>
  <si>
    <t>https://dd3ka9h4chfr8.cloudfront.net/image/725136000567/image_jkc6bt94al6id32dgu28p22l5f/-FJPG/245636-002_FRT_1.jpg</t>
  </si>
  <si>
    <t>https://dd3ka9h4chfr8.cloudfront.net/image/725136000567/image_j6ck7eukj5457899g73emtia60/-FJPG/245636-002_PRM_1.jpg</t>
  </si>
  <si>
    <t>https://dd3ka9h4chfr8.cloudfront.net/image/725136000567/image_9oj7o9pt795fh4h025bv6c2g23/-FJPG/245636-002_SID_1.jpg</t>
  </si>
  <si>
    <t>https://dd3ka9h4chfr8.cloudfront.net/image/725136000567/image_62up7nuvud35h1pa0trvetgi3o/-FJPG/245636-002_ESS.tif</t>
  </si>
  <si>
    <t>https://dd3ka9h4chfr8.cloudfront.net/image/725136000567/image_s0mvo5dmat42l4m4ghvl3cvb4o/-FJPG/245636-002_DET_2.jpg</t>
  </si>
  <si>
    <t>https://dd3ka9h4chfr8.cloudfront.net/image/725136000567/image_g3ror7m4et5ujbhrm5r0nsgh3l/-FJPG/245636-002_DET_1.jpg</t>
  </si>
  <si>
    <t>https://dd3ka9h4chfr8.cloudfront.net/image/725136000567/image_6rcfjlq1g16up0jckf1pp2607k/-FJPG/245636-002_DET_3.jpg</t>
  </si>
  <si>
    <t>https://dd3ka9h4chfr8.cloudfront.net/image/725136000567/image_83v1l66mf15vf85ckhelpj5230/-FJPG/245636-002_TOP_1.jpg</t>
  </si>
  <si>
    <t>https://dd3ka9h4chfr8.cloudfront.net/image/725136000567/image_pe95jucpvd57p03nioltaelc2d/-FJPG/245636-002_DET_4.jpg</t>
  </si>
  <si>
    <t>https://dd3ka9h4chfr8.cloudfront.net/image/725136000567/image_tquuvi632d1g321tbh7mo14510/-FJPG/245636-002_DET_9.tif</t>
  </si>
  <si>
    <t>245738-001</t>
  </si>
  <si>
    <t>Leya Sideboard - Weathered Oak Veneer</t>
  </si>
  <si>
    <t>A break-front sideboard of weathered oak shapes a rounded profile for a natural and polished look. Simple aged bronzed hardware adds an understated touch to the wide cabinet doors, while a simple plinth emphasizes the dramatic scale of the stacked storage space.</t>
  </si>
  <si>
    <t>https://dd3ka9h4chfr8.cloudfront.net/image/725136000567/image_9qo9tho0et3336m93h90eia86e/-S150x150-FJPG/245738-001_PRM_1.jpg</t>
  </si>
  <si>
    <t>https://dd3ka9h4chfr8.cloudfront.net/image/725136000567/image_t18v55avi93n1eqn6vo8388v2e/-FJPG/245738-001_FRT_1.jpg</t>
  </si>
  <si>
    <t>https://dd3ka9h4chfr8.cloudfront.net/image/725136000567/image_9qo9tho0et3336m93h90eia86e/-FJPG/245738-001_PRM_1.jpg</t>
  </si>
  <si>
    <t>https://dd3ka9h4chfr8.cloudfront.net/image/725136000567/image_d20019m0g94ute2cit6d38d44h/-FJPG/245738-001_SID_1.jpg</t>
  </si>
  <si>
    <t>https://dd3ka9h4chfr8.cloudfront.net/image/725136000567/image_5btmgk92ft4kn6rsdcmsqt6438/-FJPG/245738-001_ESS_1.tif</t>
  </si>
  <si>
    <t>https://dd3ka9h4chfr8.cloudfront.net/image/725136000567/image_tb93h202t947f7k7g8912g0j2i/-FJPG/245738-001_DET_2.jpg</t>
  </si>
  <si>
    <t>https://dd3ka9h4chfr8.cloudfront.net/image/725136000567/image_itdocfnft177ra7ng2sji81n3s/-FJPG/245738-001_BCK_1.jpg</t>
  </si>
  <si>
    <t>https://dd3ka9h4chfr8.cloudfront.net/image/725136000567/image_dkc52s7cll1nnes6tsr23l6u2s/-FJPG/245738-001_DET_1.jpg</t>
  </si>
  <si>
    <t>https://dd3ka9h4chfr8.cloudfront.net/image/725136000567/image_edm5kj85kh1a79ck2p1pms8c2f/-FJPG/245738-001_DET_3.jpg</t>
  </si>
  <si>
    <t>https://dd3ka9h4chfr8.cloudfront.net/image/725136000567/image_skf87mbfid5pb3ge1kgbfcji4k/-FJPG/245738-001_OPN_1.jpg</t>
  </si>
  <si>
    <t>https://dd3ka9h4chfr8.cloudfront.net/image/725136000567/image_micrl4dc215jf8d5hr95gut61r/-FJPG/245738-001_TOP_1.jpg</t>
  </si>
  <si>
    <t>https://dd3ka9h4chfr8.cloudfront.net/image/725136000567/image_vns6381nph73v28tc6pndtkv0k/-FJPG/245738-001_DET_4.jpg</t>
  </si>
  <si>
    <t>https://dd3ka9h4chfr8.cloudfront.net/image/725136000567/image_2g5nci53tl5d158b5oromoj91i/-FJPG/245738-001_DET_5.jpg</t>
  </si>
  <si>
    <t>https://dd3ka9h4chfr8.cloudfront.net/image/725136000567/image_ck4d6k7gip03v9q3leeoh6e96q/-FJPG/245738-001_DET_6.jpg</t>
  </si>
  <si>
    <t>Leya</t>
  </si>
  <si>
    <t>12.28"</t>
  </si>
  <si>
    <t>245832-002</t>
  </si>
  <si>
    <t>Perot Sideboard - Light Blonde Pine</t>
  </si>
  <si>
    <t>Beauty in simplicity. A clean, spacious sideboard of blonde-finished pine can be styled in a wide range of spaces thanks to its neutral versatility. Plenty of interior shelving space for serving platters, table linens and more.</t>
  </si>
  <si>
    <t>https://dd3ka9h4chfr8.cloudfront.net/image/725136000567/image_q0llt10jo52s179n2ro34geh6q/-S150x150-FJPG/245832-002_PRM_1.jpg</t>
  </si>
  <si>
    <t>https://dd3ka9h4chfr8.cloudfront.net/image/725136000567/image_he2f7funnp7cd8dbps7133hh7n/-FJPG/245832-002_FRT_1.jpg</t>
  </si>
  <si>
    <t>https://dd3ka9h4chfr8.cloudfront.net/image/725136000567/image_q0llt10jo52s179n2ro34geh6q/-FJPG/245832-002_PRM_1.jpg</t>
  </si>
  <si>
    <t>https://dd3ka9h4chfr8.cloudfront.net/image/725136000567/image_a4uf2l62jp2h533coqsuvm8d38/-FJPG/245832-002_SID_1.jpg</t>
  </si>
  <si>
    <t>https://dd3ka9h4chfr8.cloudfront.net/image/725136000567/image_b3cefcdmil67na1nb7cm0drd76/-FJPG/245832-002_ESS.tif</t>
  </si>
  <si>
    <t>https://dd3ka9h4chfr8.cloudfront.net/image/725136000567/image_tifcm2eelt1dhctqefbo4p1b4f/-FJPG/245832-002_DET_2.jpg</t>
  </si>
  <si>
    <t>https://dd3ka9h4chfr8.cloudfront.net/image/725136000567/image_k27gjhr6250rjdgasvmci7l62b/-FJPG/245832-002_BCK_1.jpg</t>
  </si>
  <si>
    <t>https://dd3ka9h4chfr8.cloudfront.net/image/725136000567/image_0rvv4khl113bf00t0q5672jq2b/-FJPG/245832-002_DET_1.jpg</t>
  </si>
  <si>
    <t>https://dd3ka9h4chfr8.cloudfront.net/image/725136000567/image_raui2ib6tp0ff22sjqprdr3462/-FJPG/245832-002_DET_3.jpg</t>
  </si>
  <si>
    <t>https://dd3ka9h4chfr8.cloudfront.net/image/725136000567/image_r0eu1g1rtt7nt8u6i8clc5kd3f/-FJPG/245832-002_OPN_1.jpg</t>
  </si>
  <si>
    <t>https://dd3ka9h4chfr8.cloudfront.net/image/725136000567/image_8158opmd6h7u13pfp93uil0s49/-FJPG/245832-002_TOP_1.jpg</t>
  </si>
  <si>
    <t>https://dd3ka9h4chfr8.cloudfront.net/image/725136000567/image_45crqitcpp5nl7tj3sorva5p3p/-FJPG/245832-002_DET_4.jpg</t>
  </si>
  <si>
    <t>https://dd3ka9h4chfr8.cloudfront.net/image/725136000567/image_vjqu16ci3d04rbikdk4g0u3r7b/-FJPG/245832-002_DET_5.jpg</t>
  </si>
  <si>
    <t>https://dd3ka9h4chfr8.cloudfront.net/image/725136000567/image_a95tt679gh34n0g2t2qt2gvs7n/-FJPG/245832-002_DET_9.tif</t>
  </si>
  <si>
    <t>39.72"</t>
  </si>
  <si>
    <t>20.37"</t>
  </si>
  <si>
    <t>245880-001</t>
  </si>
  <si>
    <t>Garland Swivel Chair - Saxon Sand</t>
  </si>
  <si>
    <t>Saxon Sand</t>
  </si>
  <si>
    <t>58% Polyester</t>
  </si>
  <si>
    <t>Perfectly oversized for lounging, this reimagined wingback invites you to sink in and unwind, with its exaggerated arms, comfortable pitch and chunky basket weave. A 360-degree swivel base makes it easy to turn toward conversation or take in the view.</t>
  </si>
  <si>
    <t>https://dd3ka9h4chfr8.cloudfront.net/image/725136000567/image_uddpaml7st5il1okesna8am63q/-S150x150-FJPG/245880-001_PRM_1.jpg</t>
  </si>
  <si>
    <t>https://dd3ka9h4chfr8.cloudfront.net/image/725136000567/image_4nlrl7p0i13hj53p08m7kqep65/-FJPG/245880-001_FRT_1.jpg</t>
  </si>
  <si>
    <t>https://dd3ka9h4chfr8.cloudfront.net/image/725136000567/image_uddpaml7st5il1okesna8am63q/-FJPG/245880-001_PRM_1.jpg</t>
  </si>
  <si>
    <t>https://dd3ka9h4chfr8.cloudfront.net/image/725136000567/image_ir6tit0evl6q1drod1obfinu54/-FJPG/245880-001_SID_1.jpg</t>
  </si>
  <si>
    <t>https://dd3ka9h4chfr8.cloudfront.net/image/725136000567/image_i3ke8ei6np4o1e7no4lh13r921/-FJPG/245880-001_ESS.tif</t>
  </si>
  <si>
    <t>https://dd3ka9h4chfr8.cloudfront.net/image/725136000567/image_pcb4iclvlp1fh41cmapp36ho46/-FJPG/245880-001_DET_2.jpg</t>
  </si>
  <si>
    <t>https://dd3ka9h4chfr8.cloudfront.net/image/725136000567/image_o8p0frc0sp2jv9lc407sv5q87u/-FJPG/245880-001_BCK_1.jpg</t>
  </si>
  <si>
    <t>https://dd3ka9h4chfr8.cloudfront.net/image/725136000567/image_v6dgee786d7uhaqf7pscq82l6q/-FJPG/245880-001_DET_1.jpg</t>
  </si>
  <si>
    <t>https://dd3ka9h4chfr8.cloudfront.net/image/725136000567/image_qd8nf1dos10f14abhc4lcj2p18/-FJPG/245880-001_DET_3.jpg</t>
  </si>
  <si>
    <t>https://dd3ka9h4chfr8.cloudfront.net/image/725136000567/image_087ofrfk5p68r64ak78ppntj14/-FJPG/245880-001_DET_4.jpg</t>
  </si>
  <si>
    <t>https://dd3ka9h4chfr8.cloudfront.net/image/725136000567/image_koi2um6js56if8ueldpb2jom08/-FJPG/245880-001_DET_5.jpg</t>
  </si>
  <si>
    <t>https://dd3ka9h4chfr8.cloudfront.net/image/725136000567/image_57k2bdla3d011912n0oh9fta4g/-FJPG/245880-001_DET_6.jpg</t>
  </si>
  <si>
    <t>Garland</t>
  </si>
  <si>
    <t>245880-002</t>
  </si>
  <si>
    <t>Garland Swivel Chair - Monte Olive</t>
  </si>
  <si>
    <t>Monte Olive</t>
  </si>
  <si>
    <t>Perfectly oversized for lounging, this reimagined wingback invites you to sink in and unwind, with its exaggerated arms, comfortable pitch and velvety olive fabric. A 360-degree swivel base makes it easy to turn toward conversation or take in the view.</t>
  </si>
  <si>
    <t>https://dd3ka9h4chfr8.cloudfront.net/image/725136000567/image_8jnhhp6j1t3d3ceskm7pqvnd6f/-S150x150-FJPG/245880-002_PRM_1.jpg</t>
  </si>
  <si>
    <t>https://dd3ka9h4chfr8.cloudfront.net/image/725136000567/image_gtesf9u2c96bv77git3g7f0868/-FJPG/245880-002_FRT_1.jpg</t>
  </si>
  <si>
    <t>https://dd3ka9h4chfr8.cloudfront.net/image/725136000567/image_8jnhhp6j1t3d3ceskm7pqvnd6f/-FJPG/245880-002_PRM_1.jpg</t>
  </si>
  <si>
    <t>https://dd3ka9h4chfr8.cloudfront.net/image/725136000567/image_gchiicflv12958219ghh8tq551/-FJPG/245880-002_SID_1.jpg</t>
  </si>
  <si>
    <t>https://dd3ka9h4chfr8.cloudfront.net/image/725136000567/image_ghvu4aphqp6orejbkva0m6hs7q/-FJPG/245880-002_ESS.tif</t>
  </si>
  <si>
    <t>https://dd3ka9h4chfr8.cloudfront.net/image/725136000567/image_f26oo11s2h6on6d978l2gdvg3g/-FJPG/245880-002_DET_2.jpg</t>
  </si>
  <si>
    <t>https://dd3ka9h4chfr8.cloudfront.net/image/725136000567/image_87fsflcohh0enacl14p1db160g/-FJPG/245880-002_BCK_1.jpg</t>
  </si>
  <si>
    <t>https://dd3ka9h4chfr8.cloudfront.net/image/725136000567/image_faa5basbph3a7d86elak7qse2s/-FJPG/245880-002_DET_1.jpg</t>
  </si>
  <si>
    <t>https://dd3ka9h4chfr8.cloudfront.net/image/725136000567/image_2hn41k663l4ur0tp0cl93t8121/-FJPG/245880-002_DET_3.jpg</t>
  </si>
  <si>
    <t>https://dd3ka9h4chfr8.cloudfront.net/image/725136000567/image_q5m6u3ehld461fmg8mu0n6gm0r/-FJPG/245880-002_DET_4.jpg</t>
  </si>
  <si>
    <t>https://dd3ka9h4chfr8.cloudfront.net/image/725136000567/image_pgdco5oeut5bfed4ssh7d8gb46/-FJPG/245880-002_DET_5.jpg</t>
  </si>
  <si>
    <t>https://dd3ka9h4chfr8.cloudfront.net/image/725136000567/image_phssua4a3h1cvefhll39qqct0m/-FJPG/245880-002_DET_6.jpg</t>
  </si>
  <si>
    <t>https://dd3ka9h4chfr8.cloudfront.net/image/725136000567/image_oeb8bd3jr544fanap508no3p0b/-FJPG/245880-002_DET_9.tif</t>
  </si>
  <si>
    <t>https://dd3ka9h4chfr8.cloudfront.net/image/725136000567/image_o7b6n53fm17jn3kbk147pmut4d/-FJPG/FHMPRJ-018_SCENE-4.tif</t>
  </si>
  <si>
    <t>245887-001</t>
  </si>
  <si>
    <t>Celine Chair - Monte Olive</t>
  </si>
  <si>
    <t>This perfect accent chair, designed for unwinding. Upholstered in a velvety olive chenille made from recycled materials, with wide proportions and cozy curves and cushioning. Slim, tapered wooden legs balance the look.</t>
  </si>
  <si>
    <t>https://dd3ka9h4chfr8.cloudfront.net/image/725136000567/image_8qfn2jeald2hbfuichiiubph3b/-S150x150-FJPG/245887-001_PRM_1.jpg</t>
  </si>
  <si>
    <t>https://dd3ka9h4chfr8.cloudfront.net/image/725136000567/image_h05pbendf146d79upp5uvppe43/-FJPG/245887-001_FRT_1.jpg</t>
  </si>
  <si>
    <t>https://dd3ka9h4chfr8.cloudfront.net/image/725136000567/image_8qfn2jeald2hbfuichiiubph3b/-FJPG/245887-001_PRM_1.jpg</t>
  </si>
  <si>
    <t>https://dd3ka9h4chfr8.cloudfront.net/image/725136000567/image_h1phvhoubd6vt2ljs34so6bd67/-FJPG/245887-001_SID_1.jpg</t>
  </si>
  <si>
    <t>https://dd3ka9h4chfr8.cloudfront.net/image/725136000567/image_96mbfven952nh3olapim72i374/-FJPG/245887-001_ESS.tif</t>
  </si>
  <si>
    <t>https://dd3ka9h4chfr8.cloudfront.net/image/725136000567/image_8f81mj7p157klersk4f0h3vj05/-FJPG/245887-001_DET_2.jpg</t>
  </si>
  <si>
    <t>https://dd3ka9h4chfr8.cloudfront.net/image/725136000567/image_skge2f0k6h5m39a3qd3l44kr7o/-FJPG/245887-001_BCK_1.jpg</t>
  </si>
  <si>
    <t>https://dd3ka9h4chfr8.cloudfront.net/image/725136000567/image_9b0h5bhr5h37396m7gurbeln5f/-FJPG/245887-001_DET_1.jpg</t>
  </si>
  <si>
    <t>https://dd3ka9h4chfr8.cloudfront.net/image/725136000567/image_f0bi312bcd5ar9upi12nbiit66/-FJPG/245887-001_DET_3.jpg</t>
  </si>
  <si>
    <t>https://dd3ka9h4chfr8.cloudfront.net/image/725136000567/image_5s31pgb5m56pv1pjauj28p7v6u/-FJPG/245887-001_DET_4.jpg</t>
  </si>
  <si>
    <t>https://dd3ka9h4chfr8.cloudfront.net/image/725136000567/image_25bfflbhcp3of9pcfl5nk68r79/-FJPG/245887-001_DET_5.jpg</t>
  </si>
  <si>
    <t>https://dd3ka9h4chfr8.cloudfront.net/image/725136000567/image_vcq4284m3h019f3p28pmmhql77/-FJPG/245887-001_DET_6.jpg</t>
  </si>
  <si>
    <t>https://dd3ka9h4chfr8.cloudfront.net/image/725136000567/image_s1ooenuikt1th9vr3efvb5980d/-FJPG/245887-001_DET_9.tif</t>
  </si>
  <si>
    <t>https://dd3ka9h4chfr8.cloudfront.net/image/725136000567/image_cvarudf1kl2dt0v4sl97qgg219/-FJPG/FHMPRJ-018_SCENE_2.tif</t>
  </si>
  <si>
    <t>Celine</t>
  </si>
  <si>
    <t>245941-001</t>
  </si>
  <si>
    <t>Amelia Oval Nightstand - Ivory Painted Linen</t>
  </si>
  <si>
    <t>Ivory Painted Linen</t>
  </si>
  <si>
    <t>Uniquely made from ivory-painted linen, a beautifully curved nightstand shapes four drawers for generous bedside storage.</t>
  </si>
  <si>
    <t>https://dd3ka9h4chfr8.cloudfront.net/image/725136000567/image_u2dvrmj2hd7k1d9ksti9t02v0s/-S150x150-FJPG/245941-001_PRM_1.jpg</t>
  </si>
  <si>
    <t>https://dd3ka9h4chfr8.cloudfront.net/image/725136000567/image_56ip9pfba55ov8bvs43b3mce4q/-FJPG/245941-001_FRT_1.jpg</t>
  </si>
  <si>
    <t>https://dd3ka9h4chfr8.cloudfront.net/image/725136000567/image_u2dvrmj2hd7k1d9ksti9t02v0s/-FJPG/245941-001_PRM_1.jpg</t>
  </si>
  <si>
    <t>https://dd3ka9h4chfr8.cloudfront.net/image/725136000567/image_71tdbq15ul4rhat5tn1ee9lc0e/-FJPG/245941-001_SID_1.jpg</t>
  </si>
  <si>
    <t>https://dd3ka9h4chfr8.cloudfront.net/image/725136000567/image_uce2c2ivh166l2kphsgtjtbs3f/-FJPG/245941-001_ESS.tif</t>
  </si>
  <si>
    <t>https://dd3ka9h4chfr8.cloudfront.net/image/725136000567/image_vio8fcdimd0qd1khuhcovvsc3j/-FJPG/245941-001_DET_2.jpg</t>
  </si>
  <si>
    <t>https://dd3ka9h4chfr8.cloudfront.net/image/725136000567/image_78is43j4ph22r0r7cc6lem575c/-FJPG/245941-001_BCK_1.jpg</t>
  </si>
  <si>
    <t>https://dd3ka9h4chfr8.cloudfront.net/image/725136000567/image_5tp2aej81h1k7e7iieibphfd5h/-FJPG/245941-001_DET_1.jpg</t>
  </si>
  <si>
    <t>https://dd3ka9h4chfr8.cloudfront.net/image/725136000567/image_ee3088mmel0lrdm2p8ua0uc93j/-FJPG/245941-001_DET_3.jpg</t>
  </si>
  <si>
    <t>https://dd3ka9h4chfr8.cloudfront.net/image/725136000567/image_17ir6ok4t17g9fk5kio9b0ns5g/-FJPG/245941-001_OPN_1.jpg</t>
  </si>
  <si>
    <t>https://dd3ka9h4chfr8.cloudfront.net/image/725136000567/image_uipj4q8akd4gn68i9oru3aqi2d/-FJPG/245941-001_TOP_1.jpg</t>
  </si>
  <si>
    <t>https://dd3ka9h4chfr8.cloudfront.net/image/725136000567/image_qv8pb4trul7jfdgtqq2t0s6658/-FJPG/245941-001_DET_4.jpg</t>
  </si>
  <si>
    <t>https://dd3ka9h4chfr8.cloudfront.net/image/725136000567/image_ap4hklk58137bcmd1gav5bfh16/-FJPG/245941-001_DET_5.jpg</t>
  </si>
  <si>
    <t>https://dd3ka9h4chfr8.cloudfront.net/image/725136000567/image_i62p3vm1ld76d0blvbqcj13o64/-FJPG/245941-001_DET_6.jpg</t>
  </si>
  <si>
    <t>https://dd3ka9h4chfr8.cloudfront.net/image/725136000567/image_ec4oum1nf548vb4a7r5r3fne4b/-FJPG/245941-001_DET_7.jpg</t>
  </si>
  <si>
    <t>Amelia</t>
  </si>
  <si>
    <t>14.34"</t>
  </si>
  <si>
    <t>245941-002</t>
  </si>
  <si>
    <t>Amelia Oval Nightstand - Black Linen</t>
  </si>
  <si>
    <t>Black Linen</t>
  </si>
  <si>
    <t>Uniquely made from black-painted linen, a beautifully curved nightstand shapes four drawers for generous bedside storage.</t>
  </si>
  <si>
    <t>https://dd3ka9h4chfr8.cloudfront.net/image/725136000567/image_7pm6c4jmr55plchr3kck21hh4g/-S150x150-FJPG/245941-002_PRM_1.jpg</t>
  </si>
  <si>
    <t>https://dd3ka9h4chfr8.cloudfront.net/image/725136000567/image_sjvf5l6fat4v5cssuhtodfpj3h/-FJPG/245941-002_FRT_1.jpg</t>
  </si>
  <si>
    <t>https://dd3ka9h4chfr8.cloudfront.net/image/725136000567/image_7pm6c4jmr55plchr3kck21hh4g/-FJPG/245941-002_PRM_1.jpg</t>
  </si>
  <si>
    <t>https://dd3ka9h4chfr8.cloudfront.net/image/725136000567/image_9dcuuen7id4kncuksc14r5293r/-FJPG/245941-002_SID_1.jpg</t>
  </si>
  <si>
    <t>https://dd3ka9h4chfr8.cloudfront.net/image/725136000567/image_74vh8m60qt09j3spqb8aleod56/-FJPG/245941-002_DET_2.jpg</t>
  </si>
  <si>
    <t>https://dd3ka9h4chfr8.cloudfront.net/image/725136000567/image_8hl3ar6s4p6559s1h9h61a237m/-FJPG/245941-002_BCK_1.jpg</t>
  </si>
  <si>
    <t>https://dd3ka9h4chfr8.cloudfront.net/image/725136000567/image_7ge8rdh1f11a5cf17irtf0482n/-FJPG/245941-002_DET_1.jpg</t>
  </si>
  <si>
    <t>https://dd3ka9h4chfr8.cloudfront.net/image/725136000567/image_t5b61cvi4d641c561njmr6ap6q/-FJPG/245941-002_DET_3.jpg</t>
  </si>
  <si>
    <t>https://dd3ka9h4chfr8.cloudfront.net/image/725136000567/image_a84jdekt3t4kpafvc73uv3ui41/-FJPG/245941-002_OPN_1.jpg</t>
  </si>
  <si>
    <t>https://dd3ka9h4chfr8.cloudfront.net/image/725136000567/image_0v974ugli556h2mdhn7fgjv40a/-FJPG/245941-002_DET_4.jpg</t>
  </si>
  <si>
    <t>https://dd3ka9h4chfr8.cloudfront.net/image/725136000567/image_e1jvkcnj1l34f39or0birett4i/-FJPG/245941-002_DET_5.jpg</t>
  </si>
  <si>
    <t>245943-001</t>
  </si>
  <si>
    <t>Ashton Nightstand - Cream Marble</t>
  </si>
  <si>
    <t>Bring a unique look to your bedroom with a demilune nightstand. An oak veneer base opens to generous storage space with removable shelving, while a single drawer keeps your items within reach. A crescent tray-style top of cream marble elevates the whole look. Rear cutout for cord management.</t>
  </si>
  <si>
    <t>https://dd3ka9h4chfr8.cloudfront.net/image/725136000567/image_nls3p7s5ip6bbfi6m72fra8963/-S150x150-FJPG/245943-001_PRM_1.jpg</t>
  </si>
  <si>
    <t>https://dd3ka9h4chfr8.cloudfront.net/image/725136000567/image_vkrfhemhoh47p7jie6ua7lk167/-FJPG/245943-001_FRT_1.jpg</t>
  </si>
  <si>
    <t>https://dd3ka9h4chfr8.cloudfront.net/image/725136000567/image_nls3p7s5ip6bbfi6m72fra8963/-FJPG/245943-001_PRM_1.jpg</t>
  </si>
  <si>
    <t>https://dd3ka9h4chfr8.cloudfront.net/image/725136000567/image_6takk2daqp1h35djuh6gbd6b0b/-FJPG/245943-001_SID_1.jpg</t>
  </si>
  <si>
    <t>https://dd3ka9h4chfr8.cloudfront.net/image/725136000567/image_s1dshcm7rt6cb3lg8e0ice1r2p/-FJPG/245943-001_ESS.tif</t>
  </si>
  <si>
    <t>https://dd3ka9h4chfr8.cloudfront.net/image/725136000567/image_upqi0och8d23jbir37qpahj621/-FJPG/245943-001_DET_2.jpg</t>
  </si>
  <si>
    <t>https://dd3ka9h4chfr8.cloudfront.net/image/725136000567/image_6mgu78dm6p6gdc1uiduiluba7j/-FJPG/245943-001_BCK_1.jpg</t>
  </si>
  <si>
    <t>https://dd3ka9h4chfr8.cloudfront.net/image/725136000567/image_0f79vjt3qt1a16i4uu2v3jji2f/-FJPG/245943-001_DET_1.jpg</t>
  </si>
  <si>
    <t>https://dd3ka9h4chfr8.cloudfront.net/image/725136000567/image_hjunpmiaql03fb3kar5kq0um5q/-FJPG/245943-001_DET_3.jpg</t>
  </si>
  <si>
    <t>https://dd3ka9h4chfr8.cloudfront.net/image/725136000567/image_58acsvvjt53ibdsjd2mkcenn1q/-FJPG/245943-001_OPN_1.jpg</t>
  </si>
  <si>
    <t>https://dd3ka9h4chfr8.cloudfront.net/image/725136000567/image_hdgdv44b3t3bj2iguja8cad459/-FJPG/245943-001_TOP_1.jpg</t>
  </si>
  <si>
    <t>https://dd3ka9h4chfr8.cloudfront.net/image/725136000567/image_shll9mjnu97st17v7imcb3mh3d/-FJPG/245943-001_DET_4.jpg</t>
  </si>
  <si>
    <t>https://dd3ka9h4chfr8.cloudfront.net/image/725136000567/image_l96lmrf76h1d52pc7ne2jld26v/-FJPG/245943-001_DET_5.jpg</t>
  </si>
  <si>
    <t>https://dd3ka9h4chfr8.cloudfront.net/image/725136000567/image_tkil1b1f8161lfv16lp5ugn21l/-FJPG/245943-001_DET_6.jpg</t>
  </si>
  <si>
    <t>https://dd3ka9h4chfr8.cloudfront.net/image/725136000567/image_ggc306d5dh6r10ehdvdfvq1v20/-FJPG/245943-001_DET_7.jpg</t>
  </si>
  <si>
    <t>https://dd3ka9h4chfr8.cloudfront.net/image/725136000567/image_pd2f5cg7gh5jv2hn9amnfltv52/-FJPG/245943-001_DET_9.tif</t>
  </si>
  <si>
    <t>https://dd3ka9h4chfr8.cloudfront.net/image/725136000567/image_ub652sltp97e1cu522i5foie7f/-FJPG/245943-001_DET_10.tif</t>
  </si>
  <si>
    <t>Ashton</t>
  </si>
  <si>
    <t>14.61"</t>
  </si>
  <si>
    <t>12.46"</t>
  </si>
  <si>
    <t>2.68"</t>
  </si>
  <si>
    <t>245943-002</t>
  </si>
  <si>
    <t>Ashton Nightstand - Natural Poplar Burl</t>
  </si>
  <si>
    <t>Natural Poplar Burl</t>
  </si>
  <si>
    <t>A demilune-shaped nightstand of natural poplar burl brings storage to your bedside, with spacious cabinetry with removable shelving plus a top drawer. Topped off with a tray-style surface, this nightstands will be a beautiful, organic look to your bedroom collection.</t>
  </si>
  <si>
    <t>https://dd3ka9h4chfr8.cloudfront.net/image/725136000567/image_2n0t44e6q97ct34fghg6se7s4c/-S150x150-FJPG/245943-002_PRM_1.jpg</t>
  </si>
  <si>
    <t>https://dd3ka9h4chfr8.cloudfront.net/image/725136000567/image_2n0t44e6q97ct34fghg6se7s4c/-FJPG/245943-002_PRM_1.jpg</t>
  </si>
  <si>
    <t>https://dd3ka9h4chfr8.cloudfront.net/image/725136000567/image_7p6gra1cu14uha5tpneq2i8121/-FJPG/245943-002_SID_1.jpg</t>
  </si>
  <si>
    <t>https://dd3ka9h4chfr8.cloudfront.net/image/725136000567/image_73hmnrl05l5vhae02fuuqe904a/-FJPG/245943_002_ESS.tif</t>
  </si>
  <si>
    <t>https://dd3ka9h4chfr8.cloudfront.net/image/725136000567/image_6clra544dl1b79q5b8d68mfk3e/-FJPG/245943-002_BCK_1.jpg</t>
  </si>
  <si>
    <t>https://dd3ka9h4chfr8.cloudfront.net/image/725136000567/image_7f0iuhh7qt6dp327dcq2pf3007/-FJPG/245943-002_DET_4.jpg</t>
  </si>
  <si>
    <t>https://dd3ka9h4chfr8.cloudfront.net/image/725136000567/image_fh3rr6ommd6u37uecaru3e2j72/-FJPG/245943-002_DET_7.jpg</t>
  </si>
  <si>
    <t>https://dd3ka9h4chfr8.cloudfront.net/image/725136000567/image_qsp20o5vrd19t432agabrvs939/-FJPG/245943_002_DET_9.tif</t>
  </si>
  <si>
    <t>245969-001</t>
  </si>
  <si>
    <t>Miko Media Console - Fawn Oak Veneer</t>
  </si>
  <si>
    <t>Bring Americana vibes to your space with a large, storage-driven bookcase made from warm oak and oak veneer. Plenty of interior space for media storage, with a slide door-front center compartment. Rear cutouts for cord management.</t>
  </si>
  <si>
    <t>https://dd3ka9h4chfr8.cloudfront.net/image/725136000567/image_8p2v1ijopl7bd3v3v6vc47tn6j/-S150x150-FJPG/245969-001_PRM_1.jpg</t>
  </si>
  <si>
    <t>https://dd3ka9h4chfr8.cloudfront.net/image/725136000567/image_qrdmt0rpk118h2t1ciuot7h42s/-FJPG/245969-001_FRT_1.jpg</t>
  </si>
  <si>
    <t>https://dd3ka9h4chfr8.cloudfront.net/image/725136000567/image_8p2v1ijopl7bd3v3v6vc47tn6j/-FJPG/245969-001_PRM_1.jpg</t>
  </si>
  <si>
    <t>https://dd3ka9h4chfr8.cloudfront.net/image/725136000567/image_nq107e09dt7q365tgsn8qnv53c/-FJPG/245969-001_SID_1.jpg</t>
  </si>
  <si>
    <t>https://dd3ka9h4chfr8.cloudfront.net/image/725136000567/image_g6vpaabt297rr75als9r11k85h/-FJPG/245969-001_ESS.tif</t>
  </si>
  <si>
    <t>https://dd3ka9h4chfr8.cloudfront.net/image/725136000567/image_4qnb18hcjt3ud9oannrim6ug19/-FJPG/245969-001_DET_2.jpg</t>
  </si>
  <si>
    <t>https://dd3ka9h4chfr8.cloudfront.net/image/725136000567/image_fnsdfibqu97rd5cu5bmu7pbr2m/-FJPG/245969-001_BCK_1.jpg</t>
  </si>
  <si>
    <t>https://dd3ka9h4chfr8.cloudfront.net/image/725136000567/image_374u4c0bvd6u5cjm6v2fb5j777/-FJPG/245969-001_DET_1.jpg</t>
  </si>
  <si>
    <t>https://dd3ka9h4chfr8.cloudfront.net/image/725136000567/image_v2jsau3qgt7rlfntpcpu6qiu79/-FJPG/245969-001_DET_3.jpg</t>
  </si>
  <si>
    <t>https://dd3ka9h4chfr8.cloudfront.net/image/725136000567/image_bjs341u9g547f8i0rmsibp663n/-FJPG/245969-001_OPN_1.jpg</t>
  </si>
  <si>
    <t>https://dd3ka9h4chfr8.cloudfront.net/image/725136000567/image_tgqfkq2n7p7375is6lmm604g3r/-FJPG/245969-001_TOP_1.jpg</t>
  </si>
  <si>
    <t>https://dd3ka9h4chfr8.cloudfront.net/image/725136000567/image_bf86i2hogt74be19l02enedr0l/-FJPG/245969-001_DET_4.jpg</t>
  </si>
  <si>
    <t>https://dd3ka9h4chfr8.cloudfront.net/image/725136000567/image_5jvt6q62k53ipd4jtt8kaare70/-FJPG/245969-001_DET_5.jpg</t>
  </si>
  <si>
    <t>https://dd3ka9h4chfr8.cloudfront.net/image/725136000567/image_vm071114i10cb809p66s3jb30v/-FJPG/245969-001_DET_6.jpg</t>
  </si>
  <si>
    <t>https://dd3ka9h4chfr8.cloudfront.net/image/725136000567/image_ikr9bmqbfd4spfqk7opfdvut0m/-FJPG/245969-001_DET_9.tif</t>
  </si>
  <si>
    <t>https://dd3ka9h4chfr8.cloudfront.net/image/725136000567/image_096s2uc61t5qn5kcl1cc3vah5c/-FJPG/245969-001_OPN_2.jpg</t>
  </si>
  <si>
    <t>36.10"</t>
  </si>
  <si>
    <t>Miko</t>
  </si>
  <si>
    <t>0.83"</t>
  </si>
  <si>
    <t>20.83"</t>
  </si>
  <si>
    <t>18.78"</t>
  </si>
  <si>
    <t>246028-001</t>
  </si>
  <si>
    <t>Marquez Sleeper Chair - Alameda Snow</t>
  </si>
  <si>
    <t>Cocoa Brown</t>
  </si>
  <si>
    <t>A sleek occasional chair that doubles as a twin sleeper. Oversized with clean, straight lines, this piece feels comfortable and modern. Padded track arms cradle removable foam and fiber seat and back cushions that can be removed to access the sleeper mechanism. Paired with classic ski legs in cocoa brown and covered in light fabric upholstery, this chair easily blends form and function.</t>
  </si>
  <si>
    <t>https://dd3ka9h4chfr8.cloudfront.net/image/725136000567/image_aa7r5j7hnh591fr1idha7jsa2m/-S150x150-FJPG/246028-001_PRM_1.jpg</t>
  </si>
  <si>
    <t>https://dd3ka9h4chfr8.cloudfront.net/image/725136000567/image_7ofljlfag54ifdp15h5r7b2t08/-FJPG/246028-001_FRT_1.jpg</t>
  </si>
  <si>
    <t>https://dd3ka9h4chfr8.cloudfront.net/image/725136000567/image_aa7r5j7hnh591fr1idha7jsa2m/-FJPG/246028-001_PRM_1.jpg</t>
  </si>
  <si>
    <t>https://dd3ka9h4chfr8.cloudfront.net/image/725136000567/image_29g6tn6vhl0nd3b68acodt5t1k/-FJPG/246028-001_SID_1.jpg</t>
  </si>
  <si>
    <t>https://dd3ka9h4chfr8.cloudfront.net/image/725136000567/image_3ruv7ho5ll6sn629p22n3jrj4m/-FJPG/246028-001_ESS.tif</t>
  </si>
  <si>
    <t>https://dd3ka9h4chfr8.cloudfront.net/image/725136000567/image_01fcs5uc3h6bf7ncthj5lk0q39/-FJPG/246028-001_DET_2.jpg</t>
  </si>
  <si>
    <t>https://dd3ka9h4chfr8.cloudfront.net/image/725136000567/image_tsllr4qaq14u35inqvp933vb7c/-FJPG/246028-001_BCK_1.jpg</t>
  </si>
  <si>
    <t>https://dd3ka9h4chfr8.cloudfront.net/image/725136000567/image_mp5u7fp5od30f0p5jt9ke9fa4d/-FJPG/246028-001_DET_3.jpg</t>
  </si>
  <si>
    <t>https://dd3ka9h4chfr8.cloudfront.net/image/725136000567/image_qnini03kbp7arb2upb47gfod5d/-FJPG/246028-001_OPN_1.jpg</t>
  </si>
  <si>
    <t>https://dd3ka9h4chfr8.cloudfront.net/image/725136000567/image_0db8aar2nh33pfm2a9md7d855j/-FJPG/246028-001_DET_4.jpg</t>
  </si>
  <si>
    <t>https://dd3ka9h4chfr8.cloudfront.net/image/725136000567/image_kfjgknr3j13op9u8o9vb813e21/-FJPG/246028-001_DET_5.jpg</t>
  </si>
  <si>
    <t>https://dd3ka9h4chfr8.cloudfront.net/image/725136000567/image_e3kho06k7p35n0k49ol56jbg5n/-FJPG/246028-001_DET_6.jpg</t>
  </si>
  <si>
    <t>Marquez</t>
  </si>
  <si>
    <t>88.00"</t>
  </si>
  <si>
    <t>246035-001</t>
  </si>
  <si>
    <t>Marquez Sleeper Sofa-76" - Alameda Snow</t>
  </si>
  <si>
    <t>A sleek sofa that doubles as a queen sleeper. Oversized with clean, straight lines, this piece feels comfortable and modern. Padded track arms cradle removable foam and fiber seat and back cushions that can be removed to access the sleeper mechanism. Paired with classic ski legs in cocoa brown and covered in light fabric upholstery, this chair easily blends form and function.</t>
  </si>
  <si>
    <t>https://dd3ka9h4chfr8.cloudfront.net/image/725136000567/image_ait66q44852mpapos8p9ff6f2q/-S150x150-FJPG/246035-001_PRM_1.jpg</t>
  </si>
  <si>
    <t>https://dd3ka9h4chfr8.cloudfront.net/image/725136000567/image_gpiuu841f50kdcom3qsth1635q/-FJPG/246035-001_FRT_1.jpg</t>
  </si>
  <si>
    <t>https://dd3ka9h4chfr8.cloudfront.net/image/725136000567/image_ait66q44852mpapos8p9ff6f2q/-FJPG/246035-001_PRM_1.jpg</t>
  </si>
  <si>
    <t>https://dd3ka9h4chfr8.cloudfront.net/image/725136000567/image_rejjv0rfod4h57s6u0uckfdj4b/-FJPG/246035-001_SID_1.jpg</t>
  </si>
  <si>
    <t>https://dd3ka9h4chfr8.cloudfront.net/image/725136000567/image_bhlktcg08h37r670bkre0e3p3o/-FJPG/246035-001_ESS.tif</t>
  </si>
  <si>
    <t>https://dd3ka9h4chfr8.cloudfront.net/image/725136000567/image_n0s99h4a8l0fh6oghnrrvs7670/-FJPG/246035-001_DET_2.jpg</t>
  </si>
  <si>
    <t>https://dd3ka9h4chfr8.cloudfront.net/image/725136000567/image_em5q5c3lj56pjfeqb1b8m3kk79/-FJPG/246035-001_BCK_1.jpg</t>
  </si>
  <si>
    <t>https://dd3ka9h4chfr8.cloudfront.net/image/725136000567/image_vabbo5p60l6634i68nkbdhd06e/-FJPG/246035-001_DET_1.jpg</t>
  </si>
  <si>
    <t>https://dd3ka9h4chfr8.cloudfront.net/image/725136000567/image_7vo0o5irq50ptclhojdsmiha2v/-FJPG/246035-001_DET_3.jpg</t>
  </si>
  <si>
    <t>https://dd3ka9h4chfr8.cloudfront.net/image/725136000567/image_um2d9me6jl4qna65jhr3hqbj5t/-FJPG/246035-001_DET_4.jpg</t>
  </si>
  <si>
    <t>https://dd3ka9h4chfr8.cloudfront.net/image/725136000567/image_vklvhcamjt5qb5eq7s2bpg7367/-FJPG/246035-001_DET_5.jpg</t>
  </si>
  <si>
    <t>https://dd3ka9h4chfr8.cloudfront.net/image/725136000567/image_340qfvg1511t93nv2smjdibh7c/-FJPG/246035-001_DET_6.jpg</t>
  </si>
  <si>
    <t>https://dd3ka9h4chfr8.cloudfront.net/image/725136000567/image_gvqg0qd2d17jl7paa4irbpni58/-FJPG/246035-001_DET_7.jpg</t>
  </si>
  <si>
    <t>https://dd3ka9h4chfr8.cloudfront.net/image/725136000567/image_r19pr511l15p1crhh9hui7l85r/-FJPG/246035-001_DET_8.jpg</t>
  </si>
  <si>
    <t>https://dd3ka9h4chfr8.cloudfront.net/image/725136000567/image_upq4ilqidl0nd71f2hfhleti74/-FJPG/246035-001_DET_9.tif</t>
  </si>
  <si>
    <t>https://dd3ka9h4chfr8.cloudfront.net/image/725136000567/image_liv7ukf1f50ob3soi1t3cdrk4s/-FJPG/246035-001_DET_10.tif</t>
  </si>
  <si>
    <t>https://dd3ka9h4chfr8.cloudfront.net/image/725136000567/image_s4np2ve2kh6j7afi54okjr4s6l/-FJPG/246035-001_DET_12.jpg</t>
  </si>
  <si>
    <t>https://dd3ka9h4chfr8.cloudfront.net/image/725136000567/image_ltcbugv2pp559175f4pcklge1d/-FJPG/246035-001_DET_13.jpg</t>
  </si>
  <si>
    <t>https://dd3ka9h4chfr8.cloudfront.net/image/725136000567/image_4jainj6tnt3dpfbupjldu6nr02/-FJPG/246035-001_DET_14.jpg</t>
  </si>
  <si>
    <t>https://dd3ka9h4chfr8.cloudfront.net/image/725136000567/image_k3tcpremg52onfjgk7kighq80u/-FJPG/246035-001_DET_15.jpg</t>
  </si>
  <si>
    <t>https://dd3ka9h4chfr8.cloudfront.net/image/725136000567/image_3aaoa96ab15el28bst9fug9q7m/-FJPG/246035-001_DET_16.jpg</t>
  </si>
  <si>
    <t>67.50"</t>
  </si>
  <si>
    <t>69.50"</t>
  </si>
  <si>
    <t>246044-001</t>
  </si>
  <si>
    <t>Tolle Bookcase - Drifted Oak Solid</t>
  </si>
  <si>
    <t>https://dd3ka9h4chfr8.cloudfront.net/image/725136000567/image_4tijdsj9ft7tbeb9r1iqfpf47p/-S150x150-FJPG/246044-001_PRM_1.jpg</t>
  </si>
  <si>
    <t>https://dd3ka9h4chfr8.cloudfront.net/image/725136000567/image_cb260gfck55llbinsqv5i5r24e/-FJPG/246044-001_FRT_1.jpg</t>
  </si>
  <si>
    <t>https://dd3ka9h4chfr8.cloudfront.net/image/725136000567/image_4tijdsj9ft7tbeb9r1iqfpf47p/-FJPG/246044-001_PRM_1.jpg</t>
  </si>
  <si>
    <t>https://dd3ka9h4chfr8.cloudfront.net/image/725136000567/image_8cptqrmqul4413g3dod7unpr4n/-FJPG/246044-001_SID_1.jpg</t>
  </si>
  <si>
    <t>https://dd3ka9h4chfr8.cloudfront.net/image/725136000567/image_iijougajkt5sfd38o3u5tm024g/-FJPG/246044-001_ESS.tif</t>
  </si>
  <si>
    <t>https://dd3ka9h4chfr8.cloudfront.net/image/725136000567/image_8slu9aa03h20t1u7srr89c9p1i/-FJPG/246044-001_DET_2.jpg</t>
  </si>
  <si>
    <t>https://dd3ka9h4chfr8.cloudfront.net/image/725136000567/image_lmc4vnrqpt2fnf9dbf65rr4857/-FJPG/246044-001_BCK_1.jpg</t>
  </si>
  <si>
    <t>https://dd3ka9h4chfr8.cloudfront.net/image/725136000567/image_h1dg8505bp0g9adbj3i0g7ai63/-FJPG/246044-001_DET_1.jpg</t>
  </si>
  <si>
    <t>https://dd3ka9h4chfr8.cloudfront.net/image/725136000567/image_3o3lee33gl5fl1me8b7d1n2u2c/-FJPG/246044-001_DET_3.jpg</t>
  </si>
  <si>
    <t>https://dd3ka9h4chfr8.cloudfront.net/image/725136000567/image_h6f90u2vop0t3d7m8aemt4dc0i/-FJPG/246044-001_DET_4.jpg</t>
  </si>
  <si>
    <t>https://dd3ka9h4chfr8.cloudfront.net/image/725136000567/image_j36lup7uch0bh5esvdjvuane2h/-FJPG/246044-001_DET_5.jpg</t>
  </si>
  <si>
    <t>246044-002</t>
  </si>
  <si>
    <t>Tolle Bookcase - Rustic White Solid</t>
  </si>
  <si>
    <t>Store it in style. Beautifully shaped cabinetry of rustic white solid oak features spacious interior shelving, ready for displaying favorite books, photos and treasures.</t>
  </si>
  <si>
    <t>https://dd3ka9h4chfr8.cloudfront.net/image/725136000567/image_vcilk6alg96p5ba38jt5dssg29/-S150x150-FJPG/246044-002_PRM_1.jpg</t>
  </si>
  <si>
    <t>https://dd3ka9h4chfr8.cloudfront.net/image/725136000567/image_8k1arflh8h4qt2gaj2td1a6v7r/-FJPG/246044-002_FRT_1.jpg</t>
  </si>
  <si>
    <t>https://dd3ka9h4chfr8.cloudfront.net/image/725136000567/image_vcilk6alg96p5ba38jt5dssg29/-FJPG/246044-002_PRM_1.jpg</t>
  </si>
  <si>
    <t>https://dd3ka9h4chfr8.cloudfront.net/image/725136000567/image_d3akpniilh56p706k3madrn804/-FJPG/246044-002_SID_1.jpg</t>
  </si>
  <si>
    <t>https://dd3ka9h4chfr8.cloudfront.net/image/725136000567/image_iflsjm2npp28r1a5k6m9tmpb51/-FJPG/246044-002_DET_2.jpg</t>
  </si>
  <si>
    <t>https://dd3ka9h4chfr8.cloudfront.net/image/725136000567/image_aj8dlamga57br14uo3f2sftf57/-FJPG/246044-002_BCK_1.jpg</t>
  </si>
  <si>
    <t>https://dd3ka9h4chfr8.cloudfront.net/image/725136000567/image_e7tuq8fv890s1e3122dcs9hb53/-FJPG/246044-002_DET_1.jpg</t>
  </si>
  <si>
    <t>https://dd3ka9h4chfr8.cloudfront.net/image/725136000567/image_p5vei7ff115bvc1btslsoko84t/-FJPG/246044-002_DET_3.jpg</t>
  </si>
  <si>
    <t>https://dd3ka9h4chfr8.cloudfront.net/image/725136000567/image_bc7u1abe7d7679svigmss0g258/-FJPG/246044-002_DET_4.jpg</t>
  </si>
  <si>
    <t>https://dd3ka9h4chfr8.cloudfront.net/image/725136000567/image_8coljp9lct7bh8rbqu49uv1124/-FJPG/246044-002_DET_5.jpg</t>
  </si>
  <si>
    <t>https://dd3ka9h4chfr8.cloudfront.net/image/725136000567/image_fac32l3p493ahfus30aoeerm27/-FJPG/246044-002_DET_6.jpg</t>
  </si>
  <si>
    <t>246044-003</t>
  </si>
  <si>
    <t>Tolle Bookcase - Drifted Matte Black</t>
  </si>
  <si>
    <t>https://dd3ka9h4chfr8.cloudfront.net/image/725136000567/image_ba6drii2np1v77er61bui29s51/-S150x150-FJPG/246044-003_PRM_1.jpg</t>
  </si>
  <si>
    <t>https://dd3ka9h4chfr8.cloudfront.net/image/725136000567/image_umcdc23tk14or4es8od34if10i/-FJPG/246044-003_FRT_1.jpg</t>
  </si>
  <si>
    <t>https://dd3ka9h4chfr8.cloudfront.net/image/725136000567/image_ba6drii2np1v77er61bui29s51/-FJPG/246044-003_PRM_1.jpg</t>
  </si>
  <si>
    <t>https://dd3ka9h4chfr8.cloudfront.net/image/725136000567/image_5g84akq3j92lt9cm157embv12l/-FJPG/246044-003_SID_1.jpg</t>
  </si>
  <si>
    <t>https://dd3ka9h4chfr8.cloudfront.net/image/725136000567/image_d2i4qbbsf96k5b15253vhflr6b/-FJPG/246044-003_ESS.tif</t>
  </si>
  <si>
    <t>https://dd3ka9h4chfr8.cloudfront.net/image/725136000567/image_m6l9p78pg96ube6n7uog7qp36e/-FJPG/246044-003_DET_2.jpg</t>
  </si>
  <si>
    <t>https://dd3ka9h4chfr8.cloudfront.net/image/725136000567/image_4icri0cvdd7qn953oin2bpkt34/-FJPG/246044-003_BCK_1.jpg</t>
  </si>
  <si>
    <t>https://dd3ka9h4chfr8.cloudfront.net/image/725136000567/image_l7l64gq621607funal9b5v2k1l/-FJPG/246044-003_DET_1.jpg</t>
  </si>
  <si>
    <t>https://dd3ka9h4chfr8.cloudfront.net/image/725136000567/image_6q1tbmp04l2s99se1u07ubbq4s/-FJPG/246044-003_DET_3.jpg</t>
  </si>
  <si>
    <t>https://dd3ka9h4chfr8.cloudfront.net/image/725136000567/image_3c8o7ljufh42j0e5netv4e1e48/-FJPG/246044-003_DET_4.jpg</t>
  </si>
  <si>
    <t>https://dd3ka9h4chfr8.cloudfront.net/image/725136000567/image_36koo83l710dd9pabt0i82f051/-FJPG/246044-003_DET_5.jpg</t>
  </si>
  <si>
    <t>https://dd3ka9h4chfr8.cloudfront.net/image/725136000567/image_gm0105gg61205351ffi3a7711l/-FJPG/246044-003_DET_6.jpg</t>
  </si>
  <si>
    <t>246044-004</t>
  </si>
  <si>
    <t>https://dd3ka9h4chfr8.cloudfront.net/image/725136000567/image_mcq39ilhs179rca75hgf7d4f31/-S150x150-FJPG/246044-004_PRM_1.jpg</t>
  </si>
  <si>
    <t>https://dd3ka9h4chfr8.cloudfront.net/image/725136000567/image_kpq541apc14kv25sqnu9l2pj32/-FJPG/246044-004_FRT_1.jpg</t>
  </si>
  <si>
    <t>https://dd3ka9h4chfr8.cloudfront.net/image/725136000567/image_mcq39ilhs179rca75hgf7d4f31/-FJPG/246044-004_PRM_1.jpg</t>
  </si>
  <si>
    <t>https://dd3ka9h4chfr8.cloudfront.net/image/725136000567/image_mbfb0dlkg54lreijqrlkqlb56l/-FJPG/246044-004_SID_1.jpg</t>
  </si>
  <si>
    <t>https://dd3ka9h4chfr8.cloudfront.net/image/725136000567/image_5qnvlbou392ejcfat2tdamtn4k/-FJPG/246044-004_ESS.tif</t>
  </si>
  <si>
    <t>https://dd3ka9h4chfr8.cloudfront.net/image/725136000567/image_kbfi84a8fh395fit77et2to85b/-FJPG/246044-004_DET_2.jpg</t>
  </si>
  <si>
    <t>https://dd3ka9h4chfr8.cloudfront.net/image/725136000567/image_s30l04i64h4631b3imtd9cep5i/-FJPG/246044-004_BCK_1.jpg</t>
  </si>
  <si>
    <t>https://dd3ka9h4chfr8.cloudfront.net/image/725136000567/image_98dqfu6nuh3bp7u22ulpr9hl1a/-FJPG/246044-004_DET_1.jpg</t>
  </si>
  <si>
    <t>https://dd3ka9h4chfr8.cloudfront.net/image/725136000567/image_6m53cr3mqd1td0jis3rtg1cl14/-FJPG/246044-004_DET_3.jpg</t>
  </si>
  <si>
    <t>https://dd3ka9h4chfr8.cloudfront.net/image/725136000567/image_3j3ee8b5at0ej3963vq0dt2r65/-FJPG/246044-004_DET_4.jpg</t>
  </si>
  <si>
    <t>https://dd3ka9h4chfr8.cloudfront.net/image/725136000567/image_kiakjle6g96fpb2i0eg7eah972/-FJPG/246044-004_DET_5.jpg</t>
  </si>
  <si>
    <t>246168-003</t>
  </si>
  <si>
    <t>Sloane Bed - Surrey Cocoa</t>
  </si>
  <si>
    <t>Amber Ash Veneer</t>
  </si>
  <si>
    <t>Upholstered in a rich, chocolate-brown velvet, bringing a textured feel and luxe look to the bedroom. Steam on occasion to smooth tracking.</t>
  </si>
  <si>
    <t>https://dd3ka9h4chfr8.cloudfront.net/image/725136000567/image_lhc6hp98lh7fj2topl7em4re09/-S150x150-FJPG/246168-003_PRM_1.jpg</t>
  </si>
  <si>
    <t>https://dd3ka9h4chfr8.cloudfront.net/image/725136000567/image_e1lkfo71vp5afeqocirlmbgc5u/-FJPG/246168-003_FRT_1.jpg</t>
  </si>
  <si>
    <t>https://dd3ka9h4chfr8.cloudfront.net/image/725136000567/image_lhc6hp98lh7fj2topl7em4re09/-FJPG/246168-003_PRM_1.jpg</t>
  </si>
  <si>
    <t>https://dd3ka9h4chfr8.cloudfront.net/image/725136000567/image_743qgmmn6552h2ihc9o8uj755f/-FJPG/246168-003_SID_1.jpg</t>
  </si>
  <si>
    <t>https://dd3ka9h4chfr8.cloudfront.net/image/725136000567/image_k9foe60d0l3p73e5l4b0or1j1q/-FJPG/246168-003_ESS.tif</t>
  </si>
  <si>
    <t>https://dd3ka9h4chfr8.cloudfront.net/image/725136000567/image_28e48jcfvd72r5t9icmaus0478/-FJPG/246168-003_DET_2.jpg</t>
  </si>
  <si>
    <t>https://dd3ka9h4chfr8.cloudfront.net/image/725136000567/image_rbcjqrg7992o1bqesndhgfrk5q/-FJPG/246168-003_BCK_1.jpg</t>
  </si>
  <si>
    <t>https://dd3ka9h4chfr8.cloudfront.net/image/725136000567/image_eep6bovf8t2kh5pd6ok6enlo27/-FJPG/246168-003_DET_1.jpg</t>
  </si>
  <si>
    <t>https://dd3ka9h4chfr8.cloudfront.net/image/725136000567/image_voahld4eb170va0sfe1e8t203a/-FJPG/246168-003_DET_3.jpg</t>
  </si>
  <si>
    <t>https://dd3ka9h4chfr8.cloudfront.net/image/725136000567/image_umt5ck89eh4dn2qm9hoodbq20d/-FJPG/246168-003_DET_4.jpg</t>
  </si>
  <si>
    <t>https://dd3ka9h4chfr8.cloudfront.net/image/725136000567/image_qb3dv1btbh12b4suogu4ogvk3b/-FJPG/246168-003_DET_5.jpg</t>
  </si>
  <si>
    <t>https://dd3ka9h4chfr8.cloudfront.net/image/725136000567/image_kgo18tq9bt1bjc0tokusr2ip59/-FJPG/246168-003_DET_6.jpg</t>
  </si>
  <si>
    <t>https://dd3ka9h4chfr8.cloudfront.net/image/725136000567/image_7jqlpq4ic91gteg3v0umlasa4h/-FJPG/246168-003_DET_9.tif</t>
  </si>
  <si>
    <t>Sloane</t>
  </si>
  <si>
    <t>8.19"</t>
  </si>
  <si>
    <t>58.35"</t>
  </si>
  <si>
    <t>246168-004</t>
  </si>
  <si>
    <t>Headboad</t>
  </si>
  <si>
    <t>80.94"</t>
  </si>
  <si>
    <t>74.49"</t>
  </si>
  <si>
    <t>246168-005</t>
  </si>
  <si>
    <t>Sloane Bed - Crypton Wayfarer Snow</t>
  </si>
  <si>
    <t>Crypton Wayfarer Snow</t>
  </si>
  <si>
    <t>Upholstered in a neutral, boucle-like fabric, bringing a textured feel and luxe look to the bedroom. Steam on occasion to smooth tracking.</t>
  </si>
  <si>
    <t>https://dd3ka9h4chfr8.cloudfront.net/image/725136000567/image_b4frrvuuah4pl2anvl807l346i/-S150x150-FJPG/246168-005_PRM_1.jpg</t>
  </si>
  <si>
    <t>https://dd3ka9h4chfr8.cloudfront.net/image/725136000567/image_djnu68kv6p1mb7r4k4d4e14c31/-FJPG/246168-005_FRT_1.jpg</t>
  </si>
  <si>
    <t>https://dd3ka9h4chfr8.cloudfront.net/image/725136000567/image_b4frrvuuah4pl2anvl807l346i/-FJPG/246168-005_PRM_1.jpg</t>
  </si>
  <si>
    <t>https://dd3ka9h4chfr8.cloudfront.net/image/725136000567/image_o9fv6dutrh69fce00qcqdspt7v/-FJPG/246168-005_SID_1.jpg</t>
  </si>
  <si>
    <t>https://dd3ka9h4chfr8.cloudfront.net/image/725136000567/image_hdr671hqg96qvdldqhjfcgof0f/-FJPG/246168-005_DET_2.jpg</t>
  </si>
  <si>
    <t>https://dd3ka9h4chfr8.cloudfront.net/image/725136000567/image_j2pgmjulp16pb01ghvcjp9q962/-FJPG/246168-005_BCK_1.jpg</t>
  </si>
  <si>
    <t>https://dd3ka9h4chfr8.cloudfront.net/image/725136000567/image_r9v2ot2ivt2dl9vvov2rfvfp6m/-FJPG/246168-005_DET_1.jpg</t>
  </si>
  <si>
    <t>https://dd3ka9h4chfr8.cloudfront.net/image/725136000567/image_g0fecuh9al12149bn20llop91b/-FJPG/246168-005_DET_3.jpg</t>
  </si>
  <si>
    <t>https://dd3ka9h4chfr8.cloudfront.net/image/725136000567/image_r5rcumn5g1611b1fr2sqhv0t08/-FJPG/246168-005_DET_4.jpg</t>
  </si>
  <si>
    <t>https://dd3ka9h4chfr8.cloudfront.net/image/725136000567/image_ncadc716vh7k1bavi872t5fh1i/-FJPG/246168-005_DET_5.jpg</t>
  </si>
  <si>
    <t>https://dd3ka9h4chfr8.cloudfront.net/image/725136000567/image_q5ftr74iml1hpdo9ahvvei6h4s/-FJPG/246168-005_DET_6.jpg</t>
  </si>
  <si>
    <t>246168-006</t>
  </si>
  <si>
    <t>https://dd3ka9h4chfr8.cloudfront.net/image/725136000567/image_0cr5tngis13359eeae4fqvct43/-S150x150-FJPG/246168-006_PRM_1.jpg</t>
  </si>
  <si>
    <t>https://dd3ka9h4chfr8.cloudfront.net/image/725136000567/image_r2ehs7enjt4f11g64l5lbf9v7v/-FJPG/246168-006_FRT_1.jpg</t>
  </si>
  <si>
    <t>https://dd3ka9h4chfr8.cloudfront.net/image/725136000567/image_0cr5tngis13359eeae4fqvct43/-FJPG/246168-006_PRM_1.jpg</t>
  </si>
  <si>
    <t>https://dd3ka9h4chfr8.cloudfront.net/image/725136000567/image_nj1f5i8qp11tt5cn0u3k0cee6u/-FJPG/246168-006_SID_1.jpg</t>
  </si>
  <si>
    <t>https://dd3ka9h4chfr8.cloudfront.net/image/725136000567/image_aq5o1h1qq56nl5f04sjg138v0f/-FJPG/246168-006_DET_2.jpg</t>
  </si>
  <si>
    <t>https://dd3ka9h4chfr8.cloudfront.net/image/725136000567/image_6oauts4sl9255btqp66mpf007h/-FJPG/246168-006_BCK_1.jpg</t>
  </si>
  <si>
    <t>https://dd3ka9h4chfr8.cloudfront.net/image/725136000567/image_sr2sm8jj6h18fak9dg3mc1ob6q/-FJPG/246168-006_DET_1.jpg</t>
  </si>
  <si>
    <t>https://dd3ka9h4chfr8.cloudfront.net/image/725136000567/image_tbdbskst6102daln3jia8g1f37/-FJPG/246168-006_DET_3.jpg</t>
  </si>
  <si>
    <t>https://dd3ka9h4chfr8.cloudfront.net/image/725136000567/image_qslbbl42qh0g1b8s6gg0g7m57g/-FJPG/246168-006_DET_4.jpg</t>
  </si>
  <si>
    <t>https://dd3ka9h4chfr8.cloudfront.net/image/725136000567/image_o00g46i76h21daqcskarel1k2t/-FJPG/246168-006_DET_5.jpg</t>
  </si>
  <si>
    <t>https://dd3ka9h4chfr8.cloudfront.net/image/725136000567/image_funpdrbie573bchr59j8pvh34u/-FJPG/246168-006_DET_6.jpg</t>
  </si>
  <si>
    <t>246170-001</t>
  </si>
  <si>
    <t>Fiona Tall Dresser - Black Raffia</t>
  </si>
  <si>
    <t>A woven black raffia dresser offers a texture-driven take on bedroom storage. Antique brass-finished hardware adds a touch of vintage detailing, all grounded by a solid mahogany base.</t>
  </si>
  <si>
    <t>https://dd3ka9h4chfr8.cloudfront.net/image/725136000567/image_3ro4ignoc56cb9kaur4v1u6o5r/-S150x150-FJPG/246170-001_PRM_1.jpg</t>
  </si>
  <si>
    <t>https://dd3ka9h4chfr8.cloudfront.net/image/725136000567/image_pcsf2nlkop15ra368qteur1674/-FJPG/246170-001_FRT_1.jpg</t>
  </si>
  <si>
    <t>https://dd3ka9h4chfr8.cloudfront.net/image/725136000567/image_3ro4ignoc56cb9kaur4v1u6o5r/-FJPG/246170-001_PRM_1.jpg</t>
  </si>
  <si>
    <t>https://dd3ka9h4chfr8.cloudfront.net/image/725136000567/image_l47ea21ijd2rj3o59e71ig905t/-FJPG/246170-001_SID_1.jpg</t>
  </si>
  <si>
    <t>https://dd3ka9h4chfr8.cloudfront.net/image/725136000567/image_5hub1j2s794uf8admg9sqg950q/-FJPG/246170-001_ESS.tif</t>
  </si>
  <si>
    <t>https://dd3ka9h4chfr8.cloudfront.net/image/725136000567/image_1nenmq50ml5bb4f3f4hgu6k429/-FJPG/246170-001_DET_2.jpg</t>
  </si>
  <si>
    <t>https://dd3ka9h4chfr8.cloudfront.net/image/725136000567/image_tr9egurs9p4sd46t0kcn70of5e/-FJPG/246170-001_BCK_1.jpg</t>
  </si>
  <si>
    <t>https://dd3ka9h4chfr8.cloudfront.net/image/725136000567/image_o7np4kcnc95b33c7no2i7pgl09/-FJPG/246170-001_DET_1.jpg</t>
  </si>
  <si>
    <t>https://dd3ka9h4chfr8.cloudfront.net/image/725136000567/image_cuds2kdp2d7a9agmffs5mfn420/-FJPG/246170-001_DET_3.jpg</t>
  </si>
  <si>
    <t>https://dd3ka9h4chfr8.cloudfront.net/image/725136000567/image_9vb7pfcsdt4c3etvr9l6dcap6p/-FJPG/246170-001_OPN_1.jpg</t>
  </si>
  <si>
    <t>https://dd3ka9h4chfr8.cloudfront.net/image/725136000567/image_icah9gen6h3g5947cdn2aql21g/-FJPG/246170-001_DET_4.jpg</t>
  </si>
  <si>
    <t>https://dd3ka9h4chfr8.cloudfront.net/image/725136000567/image_2q4usmfgbh4111ak37ri3gdj5a/-FJPG/246170-001_DET_5.jpg</t>
  </si>
  <si>
    <t>https://dd3ka9h4chfr8.cloudfront.net/image/725136000567/image_9mo23v1ka53vn58cfl110gae5f/-FJPG/246170-001_DET_6.jpg</t>
  </si>
  <si>
    <t>https://dd3ka9h4chfr8.cloudfront.net/image/725136000567/image_975e86o5m14o56pe77umqibu7t/-FJPG/246170-001_DET_9.tif</t>
  </si>
  <si>
    <t>30.27"</t>
  </si>
  <si>
    <t>246172-001</t>
  </si>
  <si>
    <t>Rosedale 8 Drawer Dresser - Yucca Oak Veneer</t>
  </si>
  <si>
    <t>https://dd3ka9h4chfr8.cloudfront.net/image/725136000567/image_g4i22o84s12ct36l6fvhv3fl5k/-S150x150-FJPG/246172-001_PRM_1.jpg</t>
  </si>
  <si>
    <t>https://dd3ka9h4chfr8.cloudfront.net/image/725136000567/image_b1dc4ba35l6b70iksh3ugb2j6s/-FJPG/246172-001_FRT_1.jpg</t>
  </si>
  <si>
    <t>https://dd3ka9h4chfr8.cloudfront.net/image/725136000567/image_g4i22o84s12ct36l6fvhv3fl5k/-FJPG/246172-001_PRM_1.jpg</t>
  </si>
  <si>
    <t>https://dd3ka9h4chfr8.cloudfront.net/image/725136000567/image_eea3n1gjqh3n9fih5op85n4j4l/-FJPG/246172-001_SID_1.jpg</t>
  </si>
  <si>
    <t>https://dd3ka9h4chfr8.cloudfront.net/image/725136000567/image_cfso166rtp16b1j20vhbdo5l2p/-FJPG/246172-001_ESS.tif</t>
  </si>
  <si>
    <t>https://dd3ka9h4chfr8.cloudfront.net/image/725136000567/image_2vm9bue9656sv1cksab7alig4o/-FJPG/246172-001_DET_2.jpg</t>
  </si>
  <si>
    <t>https://dd3ka9h4chfr8.cloudfront.net/image/725136000567/image_p9f3oph85568v6hr7lso5e5a2h/-FJPG/246172-001_BCK_1.jpg</t>
  </si>
  <si>
    <t>https://dd3ka9h4chfr8.cloudfront.net/image/725136000567/image_0ciacakemp5mv4sm67s0cice20/-FJPG/246172-001_DET_1.jpg</t>
  </si>
  <si>
    <t>https://dd3ka9h4chfr8.cloudfront.net/image/725136000567/image_6mnug7mhsp2a31ufpriichqg6n/-FJPG/246172-001_DET_3.jpg</t>
  </si>
  <si>
    <t>https://dd3ka9h4chfr8.cloudfront.net/image/725136000567/image_hior0tckv17tl2n59c9gidc90g/-FJPG/246172-001_OPN_1.jpg</t>
  </si>
  <si>
    <t>https://dd3ka9h4chfr8.cloudfront.net/image/725136000567/image_arrmcthv4p4gf5fq4mbca0e01i/-FJPG/246172-001_TOP_1.jpg</t>
  </si>
  <si>
    <t>https://dd3ka9h4chfr8.cloudfront.net/image/725136000567/image_8g8u2q1v953br2p5onptg86i19/-FJPG/246172-001_DET_4.jpg</t>
  </si>
  <si>
    <t>https://dd3ka9h4chfr8.cloudfront.net/image/725136000567/image_dioltcpvmd46v5mb6eg33n9o4u/-FJPG/246172-001_DET_5.jpg</t>
  </si>
  <si>
    <t>https://dd3ka9h4chfr8.cloudfront.net/image/725136000567/image_qhi0kn3v5h2hpaog5s2cohg44p/-FJPG/246172-001_DET_6.jpg</t>
  </si>
  <si>
    <t>https://dd3ka9h4chfr8.cloudfront.net/image/725136000567/image_b8i1j47qlp4gv0ol0nr40nnm09/-FJPG/246172-001_DET_7.jpg</t>
  </si>
  <si>
    <t>15.12"</t>
  </si>
  <si>
    <t>4.41"</t>
  </si>
  <si>
    <t>246172-002</t>
  </si>
  <si>
    <t>Rosedale 8 Drawer Dresser - Ebony Oak Veneer</t>
  </si>
  <si>
    <t>https://dd3ka9h4chfr8.cloudfront.net/image/725136000567/image_kkkku1792h27d54gb86dl2m64v/-S150x150-FJPG/246172-002_PRM_1.jpg</t>
  </si>
  <si>
    <t>https://dd3ka9h4chfr8.cloudfront.net/image/725136000567/image_bfi1ot8ff12lp2p2t34dto1t4n/-FJPG/246172-002_FRT_1.jpg</t>
  </si>
  <si>
    <t>https://dd3ka9h4chfr8.cloudfront.net/image/725136000567/image_kkkku1792h27d54gb86dl2m64v/-FJPG/246172-002_PRM_1.jpg</t>
  </si>
  <si>
    <t>https://dd3ka9h4chfr8.cloudfront.net/image/725136000567/image_hc65q00ul979jbtlch5uvllv66/-FJPG/246172-002_SID_1.jpg</t>
  </si>
  <si>
    <t>https://dd3ka9h4chfr8.cloudfront.net/image/725136000567/image_6la5nngj7t4bn8ilrp602icj03/-FJPG/246172-002_DET_2.jpg</t>
  </si>
  <si>
    <t>https://dd3ka9h4chfr8.cloudfront.net/image/725136000567/image_4tmjo411255pnf7hjc6hh45f7b/-FJPG/246172-002_BCK_1.jpg</t>
  </si>
  <si>
    <t>https://dd3ka9h4chfr8.cloudfront.net/image/725136000567/image_74dn71has16affgf275hbi113k/-FJPG/246172-002_DET_1.jpg</t>
  </si>
  <si>
    <t>https://dd3ka9h4chfr8.cloudfront.net/image/725136000567/image_9a4gkbhcod247ca3ee9go1ao3u/-FJPG/246172-002_DET_3.jpg</t>
  </si>
  <si>
    <t>https://dd3ka9h4chfr8.cloudfront.net/image/725136000567/image_u57shupet574f97hvuij15ks4v/-FJPG/246172-002_OPN_1.jpg</t>
  </si>
  <si>
    <t>https://dd3ka9h4chfr8.cloudfront.net/image/725136000567/image_rn7vpvg1k536df6naslgteb63a/-FJPG/246172-002_TOP_1.jpg</t>
  </si>
  <si>
    <t>https://dd3ka9h4chfr8.cloudfront.net/image/725136000567/image_g1e4oa6ms92pn4ihjfki2lan01/-FJPG/246172-002_DET_4.jpg</t>
  </si>
  <si>
    <t>https://dd3ka9h4chfr8.cloudfront.net/image/725136000567/image_8silqe6tgt327ahs1r65oq025a/-FJPG/246172-002_DET_5.jpg</t>
  </si>
  <si>
    <t>https://dd3ka9h4chfr8.cloudfront.net/image/725136000567/image_oepi73264t5i9fbsjjsh2rdo6i/-FJPG/246172-002_DET_6.jpg</t>
  </si>
  <si>
    <t>https://dd3ka9h4chfr8.cloudfront.net/image/725136000567/image_21u7l2mr7t2s13dnesmavv3l4p/-FJPG/246172-002_DET_7.jpg</t>
  </si>
  <si>
    <t>https://dd3ka9h4chfr8.cloudfront.net/image/725136000567/image_lcn6n6cgrh2nv1ebbcob694i1t/-FJPG/246172-002_DET_8.jpg</t>
  </si>
  <si>
    <t>246180-001</t>
  </si>
  <si>
    <t>Malin Accent Bench - Natural Paper Cord</t>
  </si>
  <si>
    <t>Fawn Nettlewood</t>
  </si>
  <si>
    <t>Thick, block-style legs bookend a two-tier bench for a unique, material-driven take on accent seating. Natural paper cord enwraps the top seat for texture, while a ladder-style lower tier of brown-finished nettlewood brings great color contrast to the whole look.</t>
  </si>
  <si>
    <t>https://dd3ka9h4chfr8.cloudfront.net/image/725136000567/image_8cpduck84574h8372rfa8a2u40/-S150x150-FJPG/246180-001_PRM_1.JPG</t>
  </si>
  <si>
    <t>https://dd3ka9h4chfr8.cloudfront.net/image/725136000567/image_gkq2v7amah1atftd4436rliv0q/-FJPG/246180-001_FRT_1.JPG</t>
  </si>
  <si>
    <t>https://dd3ka9h4chfr8.cloudfront.net/image/725136000567/image_8cpduck84574h8372rfa8a2u40/-FJPG/246180-001_PRM_1.JPG</t>
  </si>
  <si>
    <t>https://dd3ka9h4chfr8.cloudfront.net/image/725136000567/image_dnlmjq6ls97bpbvmn1mb7fra5q/-FJPG/246180-001_SID_1.JPG</t>
  </si>
  <si>
    <t>https://dd3ka9h4chfr8.cloudfront.net/image/725136000567/image_skc4t7vdeh23f0engpolqvha0r/-FJPG/246180-001_ESS.tif</t>
  </si>
  <si>
    <t>https://dd3ka9h4chfr8.cloudfront.net/image/725136000567/image_kcvafp557d2m33ci7a04f94d49/-FJPG/246180-001_DET_2.JPG</t>
  </si>
  <si>
    <t>https://dd3ka9h4chfr8.cloudfront.net/image/725136000567/image_8a7uubok3h3pt9946osomsu32v/-FJPG/246180-001_DET_1.JPG</t>
  </si>
  <si>
    <t>https://dd3ka9h4chfr8.cloudfront.net/image/725136000567/image_2rmjrk8cft0hp8uuo532rfqm6f/-FJPG/246180-001_DET_3.JPG</t>
  </si>
  <si>
    <t>https://dd3ka9h4chfr8.cloudfront.net/image/725136000567/image_v4vof0b3qp6e5ecal949ecad08/-FJPG/246180-001_DET_4.JPG</t>
  </si>
  <si>
    <t>https://dd3ka9h4chfr8.cloudfront.net/image/725136000567/image_omhherhvqt3fj6gkuhi9pbhg0d/-FJPG/246180-001_DET_5.JPG</t>
  </si>
  <si>
    <t>https://dd3ka9h4chfr8.cloudfront.net/image/725136000567/image_7offttogtl5692fadcmr62gb06/-FJPG/246180-001_DET_9.tif</t>
  </si>
  <si>
    <t>Malin</t>
  </si>
  <si>
    <t>57.25"</t>
  </si>
  <si>
    <t>246282-001</t>
  </si>
  <si>
    <t>Darts Cabinet - Tonal Dartboard</t>
  </si>
  <si>
    <t>Games &amp; Game Tables</t>
  </si>
  <si>
    <t>Tonal Dartboard</t>
  </si>
  <si>
    <t>Black MDF</t>
  </si>
  <si>
    <t>Brushed Brass</t>
  </si>
  <si>
    <t>Agave Fiber</t>
  </si>
  <si>
    <t>Engineered Hardwood</t>
  </si>
  <si>
    <t>Sleek and full of surprises. This arched cabinet features lockable top doors that open to reveal a regulation size, mounting height sisal dart board, surrounded by cork backing. A full set of tungsten darts comes in an enclosed drawer, with a built-in chalk scoreboard and ample bar storage with adjustable shelving. Mounting access for the dart board is reachable on the back of the case for easy personalization and replacement.</t>
  </si>
  <si>
    <t>https://dd3ka9h4chfr8.cloudfront.net/image/725136000567/image_8tdn69lsp5755f93n1lk9ild38/-S150x150-FJPG/246282-001_PRM_1.JPG</t>
  </si>
  <si>
    <t>https://dd3ka9h4chfr8.cloudfront.net/image/725136000567/image_8tdn69lsp5755f93n1lk9ild38/-FJPG/246282-001_PRM_1.JPG</t>
  </si>
  <si>
    <t>https://dd3ka9h4chfr8.cloudfront.net/image/725136000567/image_qmhdv5f68p2up2im0qf4pb8923/-FJPG/246282-001_PRM_2.JPG</t>
  </si>
  <si>
    <t>https://dd3ka9h4chfr8.cloudfront.net/image/725136000567/image_s7op9dbhft54l95iavtvaesa6k/-FJPG/246282-001_DET_1.JPG</t>
  </si>
  <si>
    <t>https://dd3ka9h4chfr8.cloudfront.net/image/725136000567/image_8r3jhl9pad3497n6votlhihg4c/-FJPG/246282-001_ESS.tif</t>
  </si>
  <si>
    <t>https://dd3ka9h4chfr8.cloudfront.net/image/725136000567/image_hpprjb2g791njb0lvkk7tj8n0n/-FJPG/246282-001_DET_2.JPG</t>
  </si>
  <si>
    <t>https://dd3ka9h4chfr8.cloudfront.net/image/725136000567/image_b3tboec76150723vcj5fn6iq0m/-FJPG/246282-001_DET_3.JPG</t>
  </si>
  <si>
    <t>https://dd3ka9h4chfr8.cloudfront.net/image/725136000567/image_nu14mqba953652c8oose3da73k/-FJPG/246282-001_DET_4.JPG</t>
  </si>
  <si>
    <t>https://dd3ka9h4chfr8.cloudfront.net/image/725136000567/image_8p5b7fisml7ul752bg8q9ov324/-FJPG/246282-001_DET_5.JPG</t>
  </si>
  <si>
    <t>https://dd3ka9h4chfr8.cloudfront.net/image/725136000567/image_g27mtm4h4h27l2lhm331p6673e/-FJPG/246282-001_DET_6.JPG</t>
  </si>
  <si>
    <t>https://dd3ka9h4chfr8.cloudfront.net/image/725136000567/image_ae8f599d7900943tulrdd77v57/-FJPG/246282-001_DET_7.JPG</t>
  </si>
  <si>
    <t>https://dd3ka9h4chfr8.cloudfront.net/image/725136000567/image_aret4sq2l1791ahumuvjvlgq3q/-FJPG/246282-001_DET_8.JPG</t>
  </si>
  <si>
    <t>https://dd3ka9h4chfr8.cloudfront.net/image/725136000567/image_0qs1ea8hsh7fn7ogd22lpmrr2j/-FJPG/246282-001_DET_9.JPG</t>
  </si>
  <si>
    <t>https://dd3ka9h4chfr8.cloudfront.net/image/725136000567/image_u40bbplo8h2f306gr51cb4f40e/-FJPG/246282-001_DET_9.tif</t>
  </si>
  <si>
    <t>https://dd3ka9h4chfr8.cloudfront.net/image/725136000567/image_8ol9n1dio5201053sh0ivktt0p/-FJPG/246282-001_DET_10.tif</t>
  </si>
  <si>
    <t>https://dd3ka9h4chfr8.cloudfront.net/image/725136000567/image_fg1lc1a0g10v1apfckdl03h11b/-FJPG/246282-001_BCK_1.JPG</t>
  </si>
  <si>
    <t>https://dd3ka9h4chfr8.cloudfront.net/image/725136000567/image_ijuvuhk4d93e31vus61nba7t5h/-FJPG/246282-001_SID_1.JPG</t>
  </si>
  <si>
    <t>https://dd3ka9h4chfr8.cloudfront.net/image/725136000567/image_ogc6kgh1897qn6gnldas2c2846/-FJPG/246282-001_OPN_1.JPG</t>
  </si>
  <si>
    <t>https://dd3ka9h4chfr8.cloudfront.net/image/725136000567/image_74jh0neorh4l5bgkde4b71p47c/-FJPG/246282-001_FRT_1.JPG</t>
  </si>
  <si>
    <t>https://dd3ka9h4chfr8.cloudfront.net/image/725136000567/image_4q53k72dfh0hd05vkumajioo5r/-FJPG/246282-001_BCK_2.JPG</t>
  </si>
  <si>
    <t>Darts</t>
  </si>
  <si>
    <t>Metal and Plastic</t>
  </si>
  <si>
    <t>Wall</t>
  </si>
  <si>
    <t>246440-001</t>
  </si>
  <si>
    <t>https://dd3ka9h4chfr8.cloudfront.net/image/725136000567/image_bjbbicjh810p95mels4hr3d37g/-S150x150-FJPG/246440-001_PRM_1.jpg</t>
  </si>
  <si>
    <t>https://dd3ka9h4chfr8.cloudfront.net/image/725136000567/image_u1qbhtcsil1k1acppuoeti784e/-FJPG/246440-001_FRT_1.jpg</t>
  </si>
  <si>
    <t>https://dd3ka9h4chfr8.cloudfront.net/image/725136000567/image_bjbbicjh810p95mels4hr3d37g/-FJPG/246440-001_PRM_1.jpg</t>
  </si>
  <si>
    <t>https://dd3ka9h4chfr8.cloudfront.net/image/725136000567/image_a55949r95d4ebak5aqtoqhkt5v/-FJPG/246440-001_SID_1.jpg</t>
  </si>
  <si>
    <t>https://dd3ka9h4chfr8.cloudfront.net/image/725136000567/image_skv1gs3v4d2gb1bngd42do6u22/-FJPG/246440-001_ESS.tif</t>
  </si>
  <si>
    <t>https://dd3ka9h4chfr8.cloudfront.net/image/725136000567/image_s0hpjormeh6514hk5jvi9utv2l/-FJPG/246440-001_DET_2.jpg</t>
  </si>
  <si>
    <t>https://dd3ka9h4chfr8.cloudfront.net/image/725136000567/image_mdlc21b0bd7lt1ulq3gi9ijm13/-FJPG/246440-001_DET_1.jpg</t>
  </si>
  <si>
    <t>https://dd3ka9h4chfr8.cloudfront.net/image/725136000567/image_594bvgd1jt3jl03lobt8v22j4g/-FJPG/246440-001_DET_3.jpg</t>
  </si>
  <si>
    <t>https://dd3ka9h4chfr8.cloudfront.net/image/725136000567/image_eq0i56nk9p04v6jmaum0d0133n/-FJPG/246440-001_DET_4.jpg</t>
  </si>
  <si>
    <t>https://dd3ka9h4chfr8.cloudfront.net/image/725136000567/image_0gb9iurv9912teltf5nar8jd4b/-FJPG/246440-001_DET_5.jpg</t>
  </si>
  <si>
    <t>https://dd3ka9h4chfr8.cloudfront.net/image/725136000567/image_htob8roimp5ltad83one68ku6b/-FJPG/246440-001_DET_6.jpg</t>
  </si>
  <si>
    <t>27.05"</t>
  </si>
  <si>
    <t>246512-001</t>
  </si>
  <si>
    <t>Tamara Small Cabinet - Worn Oak Veneer</t>
  </si>
  <si>
    <t>Small-scale cabinetry of worn oak features paneled doors, lending texture to a clean-lined design.</t>
  </si>
  <si>
    <t>https://dd3ka9h4chfr8.cloudfront.net/image/725136000567/image_58au6ogvh50en1pt07ioammk4s/-S150x150-FJPG/246512-001_PRM_1.jpg</t>
  </si>
  <si>
    <t>https://dd3ka9h4chfr8.cloudfront.net/image/725136000567/image_rfrobfgto537p8s09sgppcgf6c/-FJPG/246512-001_FRT_1.jpg</t>
  </si>
  <si>
    <t>https://dd3ka9h4chfr8.cloudfront.net/image/725136000567/image_58au6ogvh50en1pt07ioammk4s/-FJPG/246512-001_PRM_1.jpg</t>
  </si>
  <si>
    <t>https://dd3ka9h4chfr8.cloudfront.net/image/725136000567/image_fj3utfirs941187ac55fuitt2n/-FJPG/246512-001_SID_1.jpg</t>
  </si>
  <si>
    <t>https://dd3ka9h4chfr8.cloudfront.net/image/725136000567/image_3qhavr32np7jb2sujpmgj0l237/-FJPG/246512-001_ESS.tif</t>
  </si>
  <si>
    <t>https://dd3ka9h4chfr8.cloudfront.net/image/725136000567/image_mj3i2j16dh3av9dr50493qre29/-FJPG/246512-001_DET_2.jpg</t>
  </si>
  <si>
    <t>https://dd3ka9h4chfr8.cloudfront.net/image/725136000567/image_497t762g99225d5pll8ahcvo2f/-FJPG/246512-001_BCK_1.jpg</t>
  </si>
  <si>
    <t>https://dd3ka9h4chfr8.cloudfront.net/image/725136000567/image_jpa1fn6jv13uvf3pp1cfhnh71r/-FJPG/246512-001_DET_1.jpg</t>
  </si>
  <si>
    <t>https://dd3ka9h4chfr8.cloudfront.net/image/725136000567/image_u9264fm8693gv0ch0ds7rj9o23/-FJPG/246512-001_DET_3.jpg</t>
  </si>
  <si>
    <t>https://dd3ka9h4chfr8.cloudfront.net/image/725136000567/image_4ie5mj2s3t0rr7rpk3hum8090q/-FJPG/246512-001_OPN_1.jpg</t>
  </si>
  <si>
    <t>https://dd3ka9h4chfr8.cloudfront.net/image/725136000567/image_ga40pa9dg57i7cfn53gnsgqv4h/-FJPG/246512-001_DET_4.jpg</t>
  </si>
  <si>
    <t>https://dd3ka9h4chfr8.cloudfront.net/image/725136000567/image_a1plq3103124hc6gmnh9po9v6a/-FJPG/246512-001_DET_5.jpg</t>
  </si>
  <si>
    <t>https://dd3ka9h4chfr8.cloudfront.net/image/725136000567/image_t5ivfejudh1s12c569r4ru370j/-FJPG/246512-001_DET_6.jpg</t>
  </si>
  <si>
    <t>https://dd3ka9h4chfr8.cloudfront.net/image/725136000567/image_m9t6uf7k056n96ucdm63a2li6a/-FJPG/246512-001_DET_7.jpg</t>
  </si>
  <si>
    <t>https://dd3ka9h4chfr8.cloudfront.net/image/725136000567/image_oidgreq86t50h7sq78vnjr8m0i/-FJPG/246512-001_DET_8.jpg</t>
  </si>
  <si>
    <t>https://dd3ka9h4chfr8.cloudfront.net/image/725136000567/image_v2s5qjp5bd1j7cepdjnu7u4632/-FJPG/246512-001_DET_9.tif</t>
  </si>
  <si>
    <t>https://dd3ka9h4chfr8.cloudfront.net/image/725136000567/image_kq34irtsv52d7aeksns951v91n/-FJPG/246512-001_OPN_2.jpg</t>
  </si>
  <si>
    <t>246648-002</t>
  </si>
  <si>
    <t>Maggie 6 Drawer Dresser - Smoked Black Oak Veneer</t>
  </si>
  <si>
    <t>A cleanly shaped six-drawer dresser is crafted from smoked black oak, highlighting the wood's natural grain. Roomy drawers offer plenty of space for bedroom storage, while the slim, tapered legs give the piece a subtle lift, creating a grounded look.</t>
  </si>
  <si>
    <t>https://dd3ka9h4chfr8.cloudfront.net/image/725136000567/image_g42aql35kl6jreg9gogmlpt72a/-S150x150-FJPG/246648-002_PRM_1.jpg</t>
  </si>
  <si>
    <t>https://dd3ka9h4chfr8.cloudfront.net/image/725136000567/image_oqllriu8r53dhb8inb9v9t7t3l/-FJPG/246648-002_FRT_1.jpg</t>
  </si>
  <si>
    <t>https://dd3ka9h4chfr8.cloudfront.net/image/725136000567/image_g42aql35kl6jreg9gogmlpt72a/-FJPG/246648-002_PRM_1.jpg</t>
  </si>
  <si>
    <t>https://dd3ka9h4chfr8.cloudfront.net/image/725136000567/image_f74cpvavel0jl0peu7fdfnmk79/-FJPG/246648-002_SID_1.jpg</t>
  </si>
  <si>
    <t>https://dd3ka9h4chfr8.cloudfront.net/image/725136000567/image_vnpgc603dt6nn8hsbrammevh3f/-FJPG/246648-002_ESS.tif</t>
  </si>
  <si>
    <t>https://dd3ka9h4chfr8.cloudfront.net/image/725136000567/image_v965mk6btt0910nes21t07nj5n/-FJPG/246648-002_DET_2.jpg</t>
  </si>
  <si>
    <t>https://dd3ka9h4chfr8.cloudfront.net/image/725136000567/image_1o476dhhmd5frfhu6c2tlu8j4t/-FJPG/246648-002_BCK_1.jpg</t>
  </si>
  <si>
    <t>https://dd3ka9h4chfr8.cloudfront.net/image/725136000567/image_5v86lmr6q90657r1mbpkvu8o1a/-FJPG/246648-002_DET_1.jpg</t>
  </si>
  <si>
    <t>https://dd3ka9h4chfr8.cloudfront.net/image/725136000567/image_c5oietv31d5npe141afucke81u/-FJPG/246648-002_DET_3.jpg</t>
  </si>
  <si>
    <t>https://dd3ka9h4chfr8.cloudfront.net/image/725136000567/image_tpi6s9nqct74b2mkb41uuk135m/-FJPG/246648-002_OPN_1.jpg</t>
  </si>
  <si>
    <t>https://dd3ka9h4chfr8.cloudfront.net/image/725136000567/image_ph4hr1dlv159r31qvcsu05rb2a/-FJPG/246648-002_TOP_1.jpg</t>
  </si>
  <si>
    <t>https://dd3ka9h4chfr8.cloudfront.net/image/725136000567/image_i644a4c3293ob3eojvc998a315/-FJPG/246648-002_DET_4.jpg</t>
  </si>
  <si>
    <t>https://dd3ka9h4chfr8.cloudfront.net/image/725136000567/image_f856cvppb93s93gqk39ahjsb08/-FJPG/246648-002_DET_5.jpg</t>
  </si>
  <si>
    <t>https://dd3ka9h4chfr8.cloudfront.net/image/725136000567/image_i27civr82d78r855lpllcgrm4b/-FJPG/246648-002_DET_6.jpg</t>
  </si>
  <si>
    <t>https://dd3ka9h4chfr8.cloudfront.net/image/725136000567/image_j1tlrhik690gf3pmk5ghdbgo2h/-FJPG/246648-002_DET_7.jpg</t>
  </si>
  <si>
    <t>https://dd3ka9h4chfr8.cloudfront.net/image/725136000567/image_nkrcfbfofl141aa7ph12rktg6l/-FJPG/246648-002_DET_9.tif</t>
  </si>
  <si>
    <t>Maggie</t>
  </si>
  <si>
    <t>4.06"</t>
  </si>
  <si>
    <t>6.81"</t>
  </si>
  <si>
    <t>34.09"</t>
  </si>
  <si>
    <t>246648-003</t>
  </si>
  <si>
    <t>Maggie 6 Drawer Dresser - Aged Smoked Oak Resawn</t>
  </si>
  <si>
    <t>Aged Smoked Oak Resawn</t>
  </si>
  <si>
    <t>A cleanly shaped six-drawer dresser is crafted from aged smoked oak, highlighting the wood's natural grain. Roomy drawers offer plenty of space for bedroom storage, while the slim, tapered legs give the piece a subtle lift, creating a grounded look.</t>
  </si>
  <si>
    <t>https://dd3ka9h4chfr8.cloudfront.net/image/725136000567/image_h3rppb3m1h23dfmkfukv7nlt7k/-S150x150-FJPG/246648-003_PRM_1.jpg</t>
  </si>
  <si>
    <t>https://dd3ka9h4chfr8.cloudfront.net/image/725136000567/image_iu7t52nk5h20l3tka6r4ic9k6q/-FJPG/246648-003_FRT_1.jpg</t>
  </si>
  <si>
    <t>https://dd3ka9h4chfr8.cloudfront.net/image/725136000567/image_h3rppb3m1h23dfmkfukv7nlt7k/-FJPG/246648-003_PRM_1.jpg</t>
  </si>
  <si>
    <t>https://dd3ka9h4chfr8.cloudfront.net/image/725136000567/image_ulqrn3p7jd2rf31kggt3gbkd3j/-FJPG/246648-003_SID_1.jpg</t>
  </si>
  <si>
    <t>https://dd3ka9h4chfr8.cloudfront.net/image/725136000567/image_9i9304vvvl4dn231a8lpq8op4i/-FJPG/246648-003_ESS.tif</t>
  </si>
  <si>
    <t>https://dd3ka9h4chfr8.cloudfront.net/image/725136000567/image_mgbkfk5k815efac36au01r4d18/-FJPG/246648-003_DET_2.jpg</t>
  </si>
  <si>
    <t>https://dd3ka9h4chfr8.cloudfront.net/image/725136000567/image_4sjnggl77l5ah4dluj0cog8h0u/-FJPG/246648-003_BCK_1.jpg</t>
  </si>
  <si>
    <t>https://dd3ka9h4chfr8.cloudfront.net/image/725136000567/image_h3co613fdh737aokkutom55o2u/-FJPG/246648-003_DET_1.jpg</t>
  </si>
  <si>
    <t>https://dd3ka9h4chfr8.cloudfront.net/image/725136000567/image_54j5lgu9b93c3fp5qlssbo6e3n/-FJPG/246648-003_DET_3.jpg</t>
  </si>
  <si>
    <t>https://dd3ka9h4chfr8.cloudfront.net/image/725136000567/image_38f00dk4957jh6ah9umhct5t6v/-FJPG/246648-003_OPN_1.jpg</t>
  </si>
  <si>
    <t>https://dd3ka9h4chfr8.cloudfront.net/image/725136000567/image_qcsqj19fat6kf932iimjot013e/-FJPG/246648-003_DET_4.jpg</t>
  </si>
  <si>
    <t>https://dd3ka9h4chfr8.cloudfront.net/image/725136000567/image_1j1gp1j8b13ehalgjh39u3dd6u/-FJPG/246648-003_DET_5.jpg</t>
  </si>
  <si>
    <t>https://dd3ka9h4chfr8.cloudfront.net/image/725136000567/image_3m0s27b36p6clbeoc6oirpuo4v/-FJPG/246648-003_DET_6.jpg</t>
  </si>
  <si>
    <t>https://dd3ka9h4chfr8.cloudfront.net/image/725136000567/image_r902fcfnt51hf7rccpvp6p1s1i/-FJPG/246648-003_DET_7.jpg</t>
  </si>
  <si>
    <t>https://dd3ka9h4chfr8.cloudfront.net/image/725136000567/image_kolq3ac69h1lbep6jdbhi62r61/-FJPG/246648-003_DET_9.tif</t>
  </si>
  <si>
    <t>246654-002</t>
  </si>
  <si>
    <t>Maggie Nightstand - Smoked Black Oak Veneer</t>
  </si>
  <si>
    <t>Work a traditional look into your bedroom styling with nightstand of smoked black oak. Dual drawers bring storage space to the bedside, while an airy base grounds this timeless style.</t>
  </si>
  <si>
    <t>https://dd3ka9h4chfr8.cloudfront.net/image/725136000567/image_vjqd3gar1t5u5453i449vmr31h/-S150x150-FJPG/246654-002_PRM_1.jpg</t>
  </si>
  <si>
    <t>https://dd3ka9h4chfr8.cloudfront.net/image/725136000567/image_ku35eacm0p61d3mu6i111g1036/-FJPG/246654-002_FRT_1.jpg</t>
  </si>
  <si>
    <t>https://dd3ka9h4chfr8.cloudfront.net/image/725136000567/image_vjqd3gar1t5u5453i449vmr31h/-FJPG/246654-002_PRM_1.jpg</t>
  </si>
  <si>
    <t>https://dd3ka9h4chfr8.cloudfront.net/image/725136000567/image_9q9kt7ergd3bl83i29idgf5c0l/-FJPG/246654-002_SID_1.jpg</t>
  </si>
  <si>
    <t>https://dd3ka9h4chfr8.cloudfront.net/image/725136000567/image_522r6gujmh5evfdkdhb54vs32n/-FJPG/246654-002_ESS.tif</t>
  </si>
  <si>
    <t>https://dd3ka9h4chfr8.cloudfront.net/image/725136000567/image_uvl2lk4s156klfrmpt3k8a111e/-FJPG/246654-002_DET_2.jpg</t>
  </si>
  <si>
    <t>https://dd3ka9h4chfr8.cloudfront.net/image/725136000567/image_b6uvkg8k1h3ub7ffu2a7vtfo31/-FJPG/246654-002_BCK_1.jpg</t>
  </si>
  <si>
    <t>https://dd3ka9h4chfr8.cloudfront.net/image/725136000567/image_h21917mpu970dd98g53us7ki7b/-FJPG/246654-002_DET_1.jpg</t>
  </si>
  <si>
    <t>https://dd3ka9h4chfr8.cloudfront.net/image/725136000567/image_1p5urp550p6vh2ebf2chmd5l2p/-FJPG/246654-002_DET_3.jpg</t>
  </si>
  <si>
    <t>https://dd3ka9h4chfr8.cloudfront.net/image/725136000567/image_f5fh2956kp7o7bmfhku3stb40l/-FJPG/246654-002_OPN_1.jpg</t>
  </si>
  <si>
    <t>https://dd3ka9h4chfr8.cloudfront.net/image/725136000567/image_jnifb5o92d04b87kdtbjplvu3l/-FJPG/246654-002_TOP_1.jpg</t>
  </si>
  <si>
    <t>https://dd3ka9h4chfr8.cloudfront.net/image/725136000567/image_688gh0hka55hnf9m28eueorg7m/-FJPG/246654-002_DET_4.jpg</t>
  </si>
  <si>
    <t>https://dd3ka9h4chfr8.cloudfront.net/image/725136000567/image_juu6h1o9at6817tu3lcp4oah0l/-FJPG/246654-002_DET_5.jpg</t>
  </si>
  <si>
    <t>https://dd3ka9h4chfr8.cloudfront.net/image/725136000567/image_0nfe6amov90nh1job0c77ncg5g/-FJPG/246654-002_DET_6.jpg</t>
  </si>
  <si>
    <t>https://dd3ka9h4chfr8.cloudfront.net/image/725136000567/image_nnvrbghrld461clv5n6envc11u/-FJPG/246654-002_DET_9.tif</t>
  </si>
  <si>
    <t>4.84"</t>
  </si>
  <si>
    <t>23.46"</t>
  </si>
  <si>
    <t>246654-003</t>
  </si>
  <si>
    <t>Maggie Nightstand - Aged Smoked Oak Resawn</t>
  </si>
  <si>
    <t>Work a traditional look into your bedroom styling with a nightstand of aged smoked oak, featuring beautiful natural wood graining. Dual drawers bring storage space to your bedside, while an airy base grounds this timeless bedroom style.</t>
  </si>
  <si>
    <t>https://dd3ka9h4chfr8.cloudfront.net/image/725136000567/image_p92gce4nth1slchk6d1dagfv1b/-S150x150-FJPG/246654-003_PRM_1.jpg</t>
  </si>
  <si>
    <t>https://dd3ka9h4chfr8.cloudfront.net/image/725136000567/image_na7i2k61516dp2cn3oguoacb4i/-FJPG/246654-003_FRT_1.jpg</t>
  </si>
  <si>
    <t>https://dd3ka9h4chfr8.cloudfront.net/image/725136000567/image_p92gce4nth1slchk6d1dagfv1b/-FJPG/246654-003_PRM_1.jpg</t>
  </si>
  <si>
    <t>https://dd3ka9h4chfr8.cloudfront.net/image/725136000567/image_5ke7f7aj1t3l967co8vjcsfm65/-FJPG/246654-003_SID_1.jpg</t>
  </si>
  <si>
    <t>https://dd3ka9h4chfr8.cloudfront.net/image/725136000567/image_d7eqddso894oj110rmjurvtc7k/-FJPG/246654-003_ESS.tif</t>
  </si>
  <si>
    <t>https://dd3ka9h4chfr8.cloudfront.net/image/725136000567/image_ta1lan4ofd3bh5sjbberk5fk2d/-FJPG/246654-003_DET_2.jpg</t>
  </si>
  <si>
    <t>https://dd3ka9h4chfr8.cloudfront.net/image/725136000567/image_r0vkqkmlvp189ea4usj69ie95g/-FJPG/246654-003_BCK_1.jpg</t>
  </si>
  <si>
    <t>https://dd3ka9h4chfr8.cloudfront.net/image/725136000567/image_0st2enlqll3mt3d4fdivr6hi22/-FJPG/246654-003_DET_1.jpg</t>
  </si>
  <si>
    <t>https://dd3ka9h4chfr8.cloudfront.net/image/725136000567/image_pgaff48dfp4ubdkb9nlsg6bv16/-FJPG/246654-003_DET_3.jpg</t>
  </si>
  <si>
    <t>https://dd3ka9h4chfr8.cloudfront.net/image/725136000567/image_b8nlt3ph8p2ppclmh9cgjp6v7o/-FJPG/246654-003_OPN_1.jpg</t>
  </si>
  <si>
    <t>https://dd3ka9h4chfr8.cloudfront.net/image/725136000567/image_r600p2n4gd3odchrbnin96r322/-FJPG/246654-003_DET_4.jpg</t>
  </si>
  <si>
    <t>https://dd3ka9h4chfr8.cloudfront.net/image/725136000567/image_ce8cr6drj90sjahrvq0b9oo076/-FJPG/246654-003_DET_5.jpg</t>
  </si>
  <si>
    <t>https://dd3ka9h4chfr8.cloudfront.net/image/725136000567/image_pe6ugdr8j54e94khfgo7nbdm04/-FJPG/246654-003_DET_6.jpg</t>
  </si>
  <si>
    <t>https://dd3ka9h4chfr8.cloudfront.net/image/725136000567/image_2ohonkolpl5u53h8445kn0mp7h/-FJPG/246654-003_DET_7.jpg</t>
  </si>
  <si>
    <t>https://dd3ka9h4chfr8.cloudfront.net/image/725136000567/image_3ivn9t27ht49jfqmsm8ihrug3s/-FJPG/246654-003_DET_9.tif</t>
  </si>
  <si>
    <t>246744-002</t>
  </si>
  <si>
    <t>Melle Sofa - Omari Natural</t>
  </si>
  <si>
    <t>Ebony Steel</t>
  </si>
  <si>
    <t>A minimalist form to redefine contemporary seating. Made from light, neutral high-performance with a slim profile, expert tailoring and plush cushions for comfort. Sleek metal legs and compact sizing make this piece a versatile anchor for smaller living spaces. Performance fabrics are specially created to withstand spills, stains, high traffic and wear, ensuring long-term comfort and unmatched durability.</t>
  </si>
  <si>
    <t>https://dd3ka9h4chfr8.cloudfront.net/image/725136000567/image_o8ubhgfrnl3svaonrjfel92g1t/-S150x150-FJPG/246744-002_PRM_1.jpg</t>
  </si>
  <si>
    <t>https://dd3ka9h4chfr8.cloudfront.net/image/725136000567/image_eevsebi7u10ujaikfics0psi43/-FJPG/246744-002_FRT_1.jpg</t>
  </si>
  <si>
    <t>https://dd3ka9h4chfr8.cloudfront.net/image/725136000567/image_o8ubhgfrnl3svaonrjfel92g1t/-FJPG/246744-002_PRM_1.jpg</t>
  </si>
  <si>
    <t>https://dd3ka9h4chfr8.cloudfront.net/image/725136000567/image_45h9bglrkt0nv1bin7gknd4q2d/-FJPG/246744-002_SID_1.jpg</t>
  </si>
  <si>
    <t>https://dd3ka9h4chfr8.cloudfront.net/image/725136000567/image_pg6gkg40l913385c9jhi4tc568/-FJPG/246744-002_DET_2.jpg</t>
  </si>
  <si>
    <t>https://dd3ka9h4chfr8.cloudfront.net/image/725136000567/image_q73pjfivkt0cr1auil79224k7p/-FJPG/246744-002_BCK_1.jpg</t>
  </si>
  <si>
    <t>https://dd3ka9h4chfr8.cloudfront.net/image/725136000567/image_ddl0vp10cd5974u3tijmqqn816/-FJPG/246744-002_DET_1.jpg</t>
  </si>
  <si>
    <t>https://dd3ka9h4chfr8.cloudfront.net/image/725136000567/image_c5291pft6h42bcn436dfhp1m0h/-FJPG/246744-002_DET_3.jpg</t>
  </si>
  <si>
    <t>https://dd3ka9h4chfr8.cloudfront.net/image/725136000567/image_pdjco815cd73d0ac1dmdeo180c/-FJPG/246744-002_DET_4.jpg</t>
  </si>
  <si>
    <t>https://dd3ka9h4chfr8.cloudfront.net/image/725136000567/image_cbm32bplfh75h8ap7f7shrnv46/-FJPG/246744-002_DET_5.jpg</t>
  </si>
  <si>
    <t>https://dd3ka9h4chfr8.cloudfront.net/image/725136000567/image_j4c1fcq2ql31tel16ok0rbim4k/-FJPG/246744-002_DET_6.jpg</t>
  </si>
  <si>
    <t>40.83"</t>
  </si>
  <si>
    <t>81.65"</t>
  </si>
  <si>
    <t>61% Polyurethane Foam Pad, 39% Polyester Fiber Batting</t>
  </si>
  <si>
    <t>Melle</t>
  </si>
  <si>
    <t>40.55"</t>
  </si>
  <si>
    <t>37.91"</t>
  </si>
  <si>
    <t>85% Polyester fiber, 15% Polyester fiber batting</t>
  </si>
  <si>
    <t>69% Polyurethane Foam Pad, 31% Polyester Fiber Batting</t>
  </si>
  <si>
    <t>246744-003</t>
  </si>
  <si>
    <t>Melle Sofa - Lipari Camel</t>
  </si>
  <si>
    <t>Lipari Camel</t>
  </si>
  <si>
    <t>A minimalist form to redefine contemporary seating. Made from tan top-grain leather with a slim profile, expert tailoring and plush cushions for comfort. Sleek metal legs and compact sizing make this piece a versatile anchor for smaller living spaces.</t>
  </si>
  <si>
    <t>https://dd3ka9h4chfr8.cloudfront.net/image/725136000567/image_uk3qbt9hr12fhcr5lpha4cqi4a/-S150x150-FJPG/246744-003_PRM_1.jpg</t>
  </si>
  <si>
    <t>https://dd3ka9h4chfr8.cloudfront.net/image/725136000567/image_t0mo7vvtj93bb65a6dt283lu03/-FJPG/246744-003_FRT_1.jpg</t>
  </si>
  <si>
    <t>https://dd3ka9h4chfr8.cloudfront.net/image/725136000567/image_uk3qbt9hr12fhcr5lpha4cqi4a/-FJPG/246744-003_PRM_1.jpg</t>
  </si>
  <si>
    <t>https://dd3ka9h4chfr8.cloudfront.net/image/725136000567/image_m7h0qnempt5ft8uug6t2vrfv6l/-FJPG/246744-003_SID_1.jpg</t>
  </si>
  <si>
    <t>https://dd3ka9h4chfr8.cloudfront.net/image/725136000567/image_lv2s9se03t0tl8i5bjpbbvhr0c/-FJPG/246744-003_ESS.tif</t>
  </si>
  <si>
    <t>https://dd3ka9h4chfr8.cloudfront.net/image/725136000567/image_edt3apjp4h3g938o7l6a2dht4j/-FJPG/246744-003_DET_2.jpg</t>
  </si>
  <si>
    <t>https://dd3ka9h4chfr8.cloudfront.net/image/725136000567/image_ihr391rput1i9b0fnh0nigbh7o/-FJPG/246744-003_BCK_1.jpg</t>
  </si>
  <si>
    <t>https://dd3ka9h4chfr8.cloudfront.net/image/725136000567/image_03n9m43ahp0hna9ae0thlm162c/-FJPG/246744-003_DET_1.jpg</t>
  </si>
  <si>
    <t>https://dd3ka9h4chfr8.cloudfront.net/image/725136000567/image_bnbpki8qkd3bjekce6re3pqv6v/-FJPG/246744-003_DET_3.jpg</t>
  </si>
  <si>
    <t>https://dd3ka9h4chfr8.cloudfront.net/image/725136000567/image_ba87p9sqdh2rnf6iqifgd1485d/-FJPG/246744-003_DET_4.jpg</t>
  </si>
  <si>
    <t>https://dd3ka9h4chfr8.cloudfront.net/image/725136000567/image_gsm2givhlp6drd6p29rdrunj4r/-FJPG/246744-003_DET_5.jpg</t>
  </si>
  <si>
    <t>https://dd3ka9h4chfr8.cloudfront.net/image/725136000567/image_4u9se4lp497dn505kaq3t7ms54/-FJPG/246744-003_DET_6.jpg</t>
  </si>
  <si>
    <t>https://dd3ka9h4chfr8.cloudfront.net/image/725136000567/image_8gur66fggl7kp6mib9skm8u547/-FJPG/246744-003_DET_9.tif</t>
  </si>
  <si>
    <t>246795-001</t>
  </si>
  <si>
    <t>Theodore Media Console - Rustic Amber Oak Veneer</t>
  </si>
  <si>
    <t>A truly versatile design made from rustic amber oak, wide tiers of float-style shelves bring storage and display to any room. Layered cross supports add an architectural touch.</t>
  </si>
  <si>
    <t>https://dd3ka9h4chfr8.cloudfront.net/image/725136000567/image_os6gojdp3165d1ohav3scs990n/-S150x150-FJPG/246795-001_PRM_1.jpg</t>
  </si>
  <si>
    <t>https://dd3ka9h4chfr8.cloudfront.net/image/725136000567/image_32ifis76l54fdel0pv1ttk9l6u/-FJPG/246795-001_FRT_1.jpg</t>
  </si>
  <si>
    <t>https://dd3ka9h4chfr8.cloudfront.net/image/725136000567/image_os6gojdp3165d1ohav3scs990n/-FJPG/246795-001_PRM_1.jpg</t>
  </si>
  <si>
    <t>https://dd3ka9h4chfr8.cloudfront.net/image/725136000567/image_e0uk9pe3g556v04cp218eac60p/-FJPG/246795-001_SID_1.jpg</t>
  </si>
  <si>
    <t>https://dd3ka9h4chfr8.cloudfront.net/image/725136000567/image_btdg06b1th76942t8hb0nqdm73/-FJPG/246795-001_ESS.tif</t>
  </si>
  <si>
    <t>https://dd3ka9h4chfr8.cloudfront.net/image/725136000567/image_ki6sciou8t3jb647eptq3a6v7n/-FJPG/246795-001_DET_2.jpg</t>
  </si>
  <si>
    <t>https://dd3ka9h4chfr8.cloudfront.net/image/725136000567/image_07sbt0l6dh1i9emq1r8aa7i06t/-FJPG/246795-001_DET_1.jpg</t>
  </si>
  <si>
    <t>https://dd3ka9h4chfr8.cloudfront.net/image/725136000567/image_f7bci15ald4pt5qgff7dba741d/-FJPG/246795-001_DET_3.jpg</t>
  </si>
  <si>
    <t>https://dd3ka9h4chfr8.cloudfront.net/image/725136000567/image_5u2el2c97t3mtd6eccpg4fi673/-FJPG/246795-001_TOP_1.jpg</t>
  </si>
  <si>
    <t>https://dd3ka9h4chfr8.cloudfront.net/image/725136000567/image_pdrg5gi93d75pch0a1gv2vjg7n/-FJPG/246795-001_DET_4.jpg</t>
  </si>
  <si>
    <t>https://dd3ka9h4chfr8.cloudfront.net/image/725136000567/image_o87bpe49uh1sjbpfs2ngqog03v/-FJPG/246795-001_DET_5.jpg</t>
  </si>
  <si>
    <t>https://dd3ka9h4chfr8.cloudfront.net/image/725136000567/image_ea8cs25vbh5dl4h2gu4g9oh54r/-FJPG/246795-001_DET_9.tif</t>
  </si>
  <si>
    <t>70.04"</t>
  </si>
  <si>
    <t>246801-001</t>
  </si>
  <si>
    <t>Rosedale Executive Desk - Yucca Oak Veneer</t>
  </si>
  <si>
    <t>Accented with iron hardware wrapped in tan top-grain leather, light-finished oak crafts shapes a clean silhouette. Vary-sized drawers offer plenty of storage, while outset legs bring a design-forward touch.</t>
  </si>
  <si>
    <t>https://dd3ka9h4chfr8.cloudfront.net/image/725136000567/image_cmsd818n69723ee5um712t7r06/-S150x150-FJPG/246801-001_PRM_1.jpg</t>
  </si>
  <si>
    <t>https://dd3ka9h4chfr8.cloudfront.net/image/725136000567/image_n9fbhtbnrl29vcdej19330md7l/-FJPG/246801-001_FRT_1.jpg</t>
  </si>
  <si>
    <t>https://dd3ka9h4chfr8.cloudfront.net/image/725136000567/image_cmsd818n69723ee5um712t7r06/-FJPG/246801-001_PRM_1.jpg</t>
  </si>
  <si>
    <t>https://dd3ka9h4chfr8.cloudfront.net/image/725136000567/image_daj24go2q947902jiqaggb0f3m/-FJPG/246801-001_SID_1.jpg</t>
  </si>
  <si>
    <t>https://dd3ka9h4chfr8.cloudfront.net/image/725136000567/image_4kg8ttl3v90r530d6pblrbvn0t/-FJPG/246801-001_ESS.tif</t>
  </si>
  <si>
    <t>https://dd3ka9h4chfr8.cloudfront.net/image/725136000567/image_a4dhhndv4l6n34v3ivu1n9uv5n/-FJPG/246801-001_DET_2.jpg</t>
  </si>
  <si>
    <t>https://dd3ka9h4chfr8.cloudfront.net/image/725136000567/image_0coe8471ph065deii2ku9sp65t/-FJPG/246801-001_BCK_1.jpg</t>
  </si>
  <si>
    <t>https://dd3ka9h4chfr8.cloudfront.net/image/725136000567/image_t2efopmqrl1d5fm5j1g2fri74a/-FJPG/246801-001_DET_1.jpg</t>
  </si>
  <si>
    <t>https://dd3ka9h4chfr8.cloudfront.net/image/725136000567/image_pmteorbtvl30n2rto0b0o8i27f/-FJPG/246801-001_DET_3.jpg</t>
  </si>
  <si>
    <t>https://dd3ka9h4chfr8.cloudfront.net/image/725136000567/image_a6h9tm27h51aj0h6mvit2v195c/-FJPG/246801-001_OPN_1.jpg</t>
  </si>
  <si>
    <t>https://dd3ka9h4chfr8.cloudfront.net/image/725136000567/image_ure8kbf0s906jek8smfij4i365/-FJPG/246801-001_TOP_1.jpg</t>
  </si>
  <si>
    <t>https://dd3ka9h4chfr8.cloudfront.net/image/725136000567/image_daj4mpp57538n4nd4tp5d4g166/-FJPG/246801-001_DET_4.jpg</t>
  </si>
  <si>
    <t>https://dd3ka9h4chfr8.cloudfront.net/image/725136000567/image_n2ufe50rt91t3dv4lherisro6a/-FJPG/246801-001_DET_5.jpg</t>
  </si>
  <si>
    <t>https://dd3ka9h4chfr8.cloudfront.net/image/725136000567/image_9uk83h9m7973d5s6qn43sagq0g/-FJPG/246801-001_DET_6.jpg</t>
  </si>
  <si>
    <t>https://dd3ka9h4chfr8.cloudfront.net/image/725136000567/image_98uaf2dj59089am1t9kfoto13e/-FJPG/246801-001_DET_9.tif</t>
  </si>
  <si>
    <t>https://dd3ka9h4chfr8.cloudfront.net/image/725136000567/image_lglophkfjl6it2c44q6r9vpk78/-FJPG/246801-001_OPN_2.jpg</t>
  </si>
  <si>
    <t>1.46"</t>
  </si>
  <si>
    <t>9.53"</t>
  </si>
  <si>
    <t>246801-002</t>
  </si>
  <si>
    <t>Rosedale Executive Desk - Ebony Oak Veneer</t>
  </si>
  <si>
    <t>Accented with iron hardware wrapped in tan top-grain leather, dark-finished oak crafts shapes a clean silhouette. Vary-sized drawers offer plenty of storage, while outset legs bring a design-forward touch.</t>
  </si>
  <si>
    <t>https://dd3ka9h4chfr8.cloudfront.net/image/725136000567/image_o2ecuksvod1spbmk6m1e7qoj7i/-S150x150-FJPG/246801-002_PRM_1.jpg</t>
  </si>
  <si>
    <t>https://dd3ka9h4chfr8.cloudfront.net/image/725136000567/image_jrc85sq5nh22r68li725ut0k1m/-FJPG/246801-002_FRT_1.jpg</t>
  </si>
  <si>
    <t>https://dd3ka9h4chfr8.cloudfront.net/image/725136000567/image_o2ecuksvod1spbmk6m1e7qoj7i/-FJPG/246801-002_PRM_1.jpg</t>
  </si>
  <si>
    <t>https://dd3ka9h4chfr8.cloudfront.net/image/725136000567/image_2mv1t0ccg152f5hu8bgu4mna0p/-FJPG/246801-002_SID_1.jpg</t>
  </si>
  <si>
    <t>https://dd3ka9h4chfr8.cloudfront.net/image/725136000567/image_31dnhtrv210qvcaatj3m0ftk50/-FJPG/246801-002_ESS.tif</t>
  </si>
  <si>
    <t>https://dd3ka9h4chfr8.cloudfront.net/image/725136000567/image_rs5gqsu3dd2kr4v77jl4803q53/-FJPG/246801-002_DET_2.jpg</t>
  </si>
  <si>
    <t>https://dd3ka9h4chfr8.cloudfront.net/image/725136000567/image_j1nbdsstdt50h585l8sjm1uq31/-FJPG/246801-002_BCK_1.jpg</t>
  </si>
  <si>
    <t>https://dd3ka9h4chfr8.cloudfront.net/image/725136000567/image_sqmq155pdt4f52nj9rmvuidp2b/-FJPG/246801-002_DET_1.jpg</t>
  </si>
  <si>
    <t>https://dd3ka9h4chfr8.cloudfront.net/image/725136000567/image_chts6k52sp54hcpvaj8f419b7h/-FJPG/246801-002_DET_3.jpg</t>
  </si>
  <si>
    <t>https://dd3ka9h4chfr8.cloudfront.net/image/725136000567/image_7rd86mvb7l0u39i2d15ss7lo21/-FJPG/246801-002_OPN_1.jpg</t>
  </si>
  <si>
    <t>https://dd3ka9h4chfr8.cloudfront.net/image/725136000567/image_cm518e255527h3qqn5mngq9l64/-FJPG/246801-002_TOP_1.jpg</t>
  </si>
  <si>
    <t>https://dd3ka9h4chfr8.cloudfront.net/image/725136000567/image_hbhojffv0174vcgdb4fppki32k/-FJPG/246801-002_DET_4.jpg</t>
  </si>
  <si>
    <t>https://dd3ka9h4chfr8.cloudfront.net/image/725136000567/image_1f69ik5lft0672rvl07efecr5m/-FJPG/246801-002_DET_5.jpg</t>
  </si>
  <si>
    <t>https://dd3ka9h4chfr8.cloudfront.net/image/725136000567/image_c3mlm4tm6h0up3u3p6lf7bhr5f/-FJPG/246801-002_DET_6.jpg</t>
  </si>
  <si>
    <t>https://dd3ka9h4chfr8.cloudfront.net/image/725136000567/image_edecqjcak13eh68ae7vsgr7l3k/-FJPG/246801-002_DET_7.jpg</t>
  </si>
  <si>
    <t>https://dd3ka9h4chfr8.cloudfront.net/image/725136000567/image_t4f0qsssn57drdqkhm8v9plg15/-FJPG/246801-002_DET_9.tif</t>
  </si>
  <si>
    <t>https://dd3ka9h4chfr8.cloudfront.net/image/725136000567/image_c6dn1j92d95rp32rtja6jqo84o/-FJPG/246801-002_OPN_2.jpg</t>
  </si>
  <si>
    <t>246955-001</t>
  </si>
  <si>
    <t>Elio Coffee Table Small - Burnt Bleached Oak</t>
  </si>
  <si>
    <t>Center your living space with a Wabi Sabi-inspired coffee table. Crafted from burnt bleached oak with a trellis base and wide plank top, this artisanal piece embraces the natural cracks and graining reflective of organic materials to bring a beautiful, character-rich look to your space.</t>
  </si>
  <si>
    <t>https://dd3ka9h4chfr8.cloudfront.net/image/725136000567/image_1f5hbl5qi163t6pshp6enkgt68/-S150x150-FJPG/246955-001_PRM_1.jpg</t>
  </si>
  <si>
    <t>https://dd3ka9h4chfr8.cloudfront.net/image/725136000567/image_civo5bd8854t1eg2ns5oh07r7n/-FJPG/246955-001_FRT_1.jpg</t>
  </si>
  <si>
    <t>https://dd3ka9h4chfr8.cloudfront.net/image/725136000567/image_1f5hbl5qi163t6pshp6enkgt68/-FJPG/246955-001_PRM_1.jpg</t>
  </si>
  <si>
    <t>https://dd3ka9h4chfr8.cloudfront.net/image/725136000567/image_m57q2hhgg96vdf9m902v89co1h/-FJPG/246955-001_SID_1.jpg</t>
  </si>
  <si>
    <t>https://dd3ka9h4chfr8.cloudfront.net/image/725136000567/image_a9akceoo550up8d2lajf8ta41t/-FJPG/246955-001_ESS.tif</t>
  </si>
  <si>
    <t>https://dd3ka9h4chfr8.cloudfront.net/image/725136000567/image_gjv0u0tccd3od6ve45nup59j1j/-FJPG/011515 Burnt Bleached Oak 2.jpg</t>
  </si>
  <si>
    <t>https://dd3ka9h4chfr8.cloudfront.net/image/725136000567/image_3ifmf5rbpt3dteqtke9lj96c3m/-FJPG/246955-001_BCK_1.jpg</t>
  </si>
  <si>
    <t>https://dd3ka9h4chfr8.cloudfront.net/image/725136000567/image_nga573vo3l1813pblj79ns5g7j/-FJPG/246955-001_DET_1.jpg</t>
  </si>
  <si>
    <t>https://dd3ka9h4chfr8.cloudfront.net/image/725136000567/image_pukjcvsm514htbvmeksu06lc5p/-FJPG/246955-001_DET_3.jpg</t>
  </si>
  <si>
    <t>https://dd3ka9h4chfr8.cloudfront.net/image/725136000567/image_scke905c7p0n75vdmcl26unj47/-FJPG/246955-001_TOP_1.jpg</t>
  </si>
  <si>
    <t>https://dd3ka9h4chfr8.cloudfront.net/image/725136000567/image_16jog4apsh7570g03btmr0uu76/-FJPG/246955-001_DET_4.jpg</t>
  </si>
  <si>
    <t>https://dd3ka9h4chfr8.cloudfront.net/image/725136000567/image_smffbc4o5h7gn3cod8mvdoc17t/-FJPG/246955-001_DET_5.jpg</t>
  </si>
  <si>
    <t>https://dd3ka9h4chfr8.cloudfront.net/image/725136000567/image_oe5kl1u9fp3kt8f05s8f1nnn5q/-FJPG/246955-001_DET_11.tif</t>
  </si>
  <si>
    <t>2.88"</t>
  </si>
  <si>
    <t>5.13"</t>
  </si>
  <si>
    <t>246956-001</t>
  </si>
  <si>
    <t>Elio End Table - Burnt Bleached Oak</t>
  </si>
  <si>
    <t>Accent your living space with a Wabi Sabi-inspired end table. Crafted from burnt bleached oak with a trellis base and wide plank top, this artisanal piece embraces the natural cracks and graining reflective of organic materials to bring a beautiful, character-rich look to your space.</t>
  </si>
  <si>
    <t>https://dd3ka9h4chfr8.cloudfront.net/image/725136000567/image_3i8fu03f6t54b389a38nsko66u/-S150x150-FJPG/246956-001_PRM_1.jpg</t>
  </si>
  <si>
    <t>https://dd3ka9h4chfr8.cloudfront.net/image/725136000567/image_heres33rhp15d12otqiqm9q378/-FJPG/246956-001_FRT_1.jpg</t>
  </si>
  <si>
    <t>https://dd3ka9h4chfr8.cloudfront.net/image/725136000567/image_3i8fu03f6t54b389a38nsko66u/-FJPG/246956-001_PRM_1.jpg</t>
  </si>
  <si>
    <t>https://dd3ka9h4chfr8.cloudfront.net/image/725136000567/image_u1o7512fb177d11eprqmbrgj6o/-FJPG/246956-001_SID_1.jpg</t>
  </si>
  <si>
    <t>https://dd3ka9h4chfr8.cloudfront.net/image/725136000567/image_rud7e1lsoh7k53fqkaqfc63c4b/-FJPG/246956-001_ESS.tif</t>
  </si>
  <si>
    <t>https://dd3ka9h4chfr8.cloudfront.net/image/725136000567/image_tgmeed6kgh3tjc0o6a95oljn7k/-FJPG/011515 Burnt Bleached Oak 3.jpg</t>
  </si>
  <si>
    <t>https://dd3ka9h4chfr8.cloudfront.net/image/725136000567/image_it58injbld381evs61h6q3gm0b/-FJPG/246956-001_BCK_1.jpg</t>
  </si>
  <si>
    <t>https://dd3ka9h4chfr8.cloudfront.net/image/725136000567/image_do5ugcpuq52q5ddo5r1f7l0s20/-FJPG/246956-001_DET_1.jpg</t>
  </si>
  <si>
    <t>https://dd3ka9h4chfr8.cloudfront.net/image/725136000567/image_6a8v0oca2d1sb7bn755uuklo1j/-FJPG/246956-001_DET_3.jpg</t>
  </si>
  <si>
    <t>https://dd3ka9h4chfr8.cloudfront.net/image/725136000567/image_0l312seded6of97903d19lss4n/-FJPG/246956-001_TOP_1.jpg</t>
  </si>
  <si>
    <t>https://dd3ka9h4chfr8.cloudfront.net/image/725136000567/image_10tlcptqfp679abq15makqqm50/-FJPG/246956-001_DET_4.jpg</t>
  </si>
  <si>
    <t>https://dd3ka9h4chfr8.cloudfront.net/image/725136000567/image_e4ses1ksup6cr0b7k5glg1a97u/-FJPG/246956-001_DET_5.jpg</t>
  </si>
  <si>
    <t>https://dd3ka9h4chfr8.cloudfront.net/image/725136000567/image_a82lct5kot5kd3g97asbhji64d/-FJPG/246956-001_DET_6.jpg</t>
  </si>
  <si>
    <t>https://dd3ka9h4chfr8.cloudfront.net/image/725136000567/image_cl5j1fvudt4t1epokk7m5ks62s/-FJPG/246956-001_DET_7.jpg</t>
  </si>
  <si>
    <t>https://dd3ka9h4chfr8.cloudfront.net/image/725136000567/image_ft515903rp5kbc8es9glrain68/-FJPG/246956-001_DET_8.jpg</t>
  </si>
  <si>
    <t>17.88"</t>
  </si>
  <si>
    <t>247001-001</t>
  </si>
  <si>
    <t>Smoked alder shapes a streamlined console table, with angular lines and dramatically wide proportions for a clean, substantial look.</t>
  </si>
  <si>
    <t>https://dd3ka9h4chfr8.cloudfront.net/image/725136000567/image_8s1vo1iicp5u942llmpsi8sn0u/-S150x150-FJPG/247001-001_PRM_1.jpg</t>
  </si>
  <si>
    <t>https://dd3ka9h4chfr8.cloudfront.net/image/725136000567/image_393oqh9pap4aba5ebos7tpht3a/-FJPG/247001-001_FRT_1.jpg</t>
  </si>
  <si>
    <t>https://dd3ka9h4chfr8.cloudfront.net/image/725136000567/image_8s1vo1iicp5u942llmpsi8sn0u/-FJPG/247001-001_PRM_1.jpg</t>
  </si>
  <si>
    <t>https://dd3ka9h4chfr8.cloudfront.net/image/725136000567/image_41g1nh4fqt0evatdlmmcbt3l3u/-FJPG/247001-001_SID_1.jpg</t>
  </si>
  <si>
    <t>https://dd3ka9h4chfr8.cloudfront.net/image/725136000567/image_6gifpc7ld16f5d4epmqidtme6k/-FJPG/247001-001_ESS.tif</t>
  </si>
  <si>
    <t>https://dd3ka9h4chfr8.cloudfront.net/image/725136000567/image_q0voens7gt4o73nkbapt77sv34/-FJPG/247001-001_DET_2.jpg</t>
  </si>
  <si>
    <t>https://dd3ka9h4chfr8.cloudfront.net/image/725136000567/image_dq0sa3fv9h6a10qv0fsj1mpp73/-FJPG/247001-001_BCK_1.jpg</t>
  </si>
  <si>
    <t>https://dd3ka9h4chfr8.cloudfront.net/image/725136000567/image_vgp9hcu9411jf9db0isalqd51v/-FJPG/247001-001_DET_1.jpg</t>
  </si>
  <si>
    <t>https://dd3ka9h4chfr8.cloudfront.net/image/725136000567/image_0erp527f9d04f9j4p9p5b3n43c/-FJPG/247001-001_DET_3.jpg</t>
  </si>
  <si>
    <t>https://dd3ka9h4chfr8.cloudfront.net/image/725136000567/image_3tvnfgsp6175p7qj2jkrn4b07a/-FJPG/247001-001_TOP_1.jpg</t>
  </si>
  <si>
    <t>https://dd3ka9h4chfr8.cloudfront.net/image/725136000567/image_b5r9nq7ivl29p25gfr1skgmt05/-FJPG/247001-001_DET_4.jpg</t>
  </si>
  <si>
    <t>Bases</t>
  </si>
  <si>
    <t>247002-003</t>
  </si>
  <si>
    <t>Millie Bookcase - Drifted Matte Black</t>
  </si>
  <si>
    <t>Black drifted oak frames lighter interior shelving, for eye-catching contrast. Four surfaces to showcase favorite books and treasures, while lower drawers bring bonus space to store items out of sight.</t>
  </si>
  <si>
    <t>https://dd3ka9h4chfr8.cloudfront.net/image/725136000567/image_3i2ss9b0id675d1ppcuqto3v19/-S150x150-FJPG/247002-003_PRM_1.jpg</t>
  </si>
  <si>
    <t>https://dd3ka9h4chfr8.cloudfront.net/image/725136000567/image_puajt8bl7903d3bi2cdlmol21e/-FJPG/247002-003_FRT_1.jpg</t>
  </si>
  <si>
    <t>https://dd3ka9h4chfr8.cloudfront.net/image/725136000567/image_3i2ss9b0id675d1ppcuqto3v19/-FJPG/247002-003_PRM_1.jpg</t>
  </si>
  <si>
    <t>https://dd3ka9h4chfr8.cloudfront.net/image/725136000567/image_gee7chhrjp7pp5drbhol1cib1p/-FJPG/247002-003_SID_1.jpg</t>
  </si>
  <si>
    <t>https://dd3ka9h4chfr8.cloudfront.net/image/725136000567/image_v3v6nn7rbl1td033luaemucr78/-FJPG/247002-003_ESS.tif</t>
  </si>
  <si>
    <t>https://dd3ka9h4chfr8.cloudfront.net/image/725136000567/image_7c2stcbfj9445cqea88nmu8j17/-FJPG/247002-003_DET_2.jpg</t>
  </si>
  <si>
    <t>https://dd3ka9h4chfr8.cloudfront.net/image/725136000567/image_1oqtbat8ql3et4vk276sgme142/-FJPG/247002-003_BCK_1.jpg</t>
  </si>
  <si>
    <t>https://dd3ka9h4chfr8.cloudfront.net/image/725136000567/image_jiuusth7c96ip90f7dvul21j6k/-FJPG/247002-003_DET_1.jpg</t>
  </si>
  <si>
    <t>https://dd3ka9h4chfr8.cloudfront.net/image/725136000567/image_2cu66hrun175vbepqdnkpgjc5v/-FJPG/247002-003_DET_3.jpg</t>
  </si>
  <si>
    <t>https://dd3ka9h4chfr8.cloudfront.net/image/725136000567/image_rfa6giehdh16f0u4be20mrdm3f/-FJPG/247002-003_OPN_1.jpg</t>
  </si>
  <si>
    <t>https://dd3ka9h4chfr8.cloudfront.net/image/725136000567/image_4uqbn9tcld653bpittlh0slo1n/-FJPG/247002-003_DET_4.jpg</t>
  </si>
  <si>
    <t>https://dd3ka9h4chfr8.cloudfront.net/image/725136000567/image_veg4v4p8e13kbcda3cincvcc0c/-FJPG/247002-003_DET_5.jpg</t>
  </si>
  <si>
    <t>https://dd3ka9h4chfr8.cloudfront.net/image/725136000567/image_m4gclplisl46d3q6af19e0ll46/-FJPG/247002-003_DET_6.jpg</t>
  </si>
  <si>
    <t>https://dd3ka9h4chfr8.cloudfront.net/image/725136000567/image_56i7858n8l6i52itf0p1f4l73e/-FJPG/247002-003_DET_7.jpg</t>
  </si>
  <si>
    <t>https://dd3ka9h4chfr8.cloudfront.net/image/725136000567/image_mv9mgq9mvl5rrdk5qjl5tnn46l/-FJPG/247002-003_ESS_2.tif</t>
  </si>
  <si>
    <t>44.25"</t>
  </si>
  <si>
    <t>247002-004</t>
  </si>
  <si>
    <t>Millie Bookcase - Drifted Oak Solid</t>
  </si>
  <si>
    <t>Light oak frames lighter interior shelving, for eye-catching contrast. Four surfaces showcase favorite books and treasures, while lower drawers bring bonus space to store items out of sight.</t>
  </si>
  <si>
    <t>https://dd3ka9h4chfr8.cloudfront.net/image/725136000567/image_jd2fb1d0rh71r3n62r30r2804m/-S150x150-FJPG/247002-004_PRM_1.jpg</t>
  </si>
  <si>
    <t>https://dd3ka9h4chfr8.cloudfront.net/image/725136000567/image_5t2dl0f1md7u71sf77jqnsm12h/-FJPG/247002-004_FRT_1.jpg</t>
  </si>
  <si>
    <t>https://dd3ka9h4chfr8.cloudfront.net/image/725136000567/image_jd2fb1d0rh71r3n62r30r2804m/-FJPG/247002-004_PRM_1.jpg</t>
  </si>
  <si>
    <t>https://dd3ka9h4chfr8.cloudfront.net/image/725136000567/image_ot7kaj05ml2910nrvkbpf2ku71/-FJPG/247002-004_SID_1.jpg</t>
  </si>
  <si>
    <t>https://dd3ka9h4chfr8.cloudfront.net/image/725136000567/image_kdg8tstbbt689bdcma8sa4hb3h/-FJPG/247002-004_ESS.tif</t>
  </si>
  <si>
    <t>https://dd3ka9h4chfr8.cloudfront.net/image/725136000567/image_2i77gkpsqd7thdabsm7j68j256/-FJPG/247002-004_DET_2.jpg</t>
  </si>
  <si>
    <t>https://dd3ka9h4chfr8.cloudfront.net/image/725136000567/image_qbbkkmhrb94qn8qm8a4reqec7e/-FJPG/247002-004_BCK_1.jpg</t>
  </si>
  <si>
    <t>https://dd3ka9h4chfr8.cloudfront.net/image/725136000567/image_7fp9biia0d1rd7jdcavg9ft463/-FJPG/247002-004_DET_1.jpg</t>
  </si>
  <si>
    <t>https://dd3ka9h4chfr8.cloudfront.net/image/725136000567/image_69spubdom55pl3f6i54kir2h2g/-FJPG/247002-004_DET_3.jpg</t>
  </si>
  <si>
    <t>https://dd3ka9h4chfr8.cloudfront.net/image/725136000567/image_cv2lome1fp7ch66gfbu7mhi02k/-FJPG/247002-004_OPN_1.jpg</t>
  </si>
  <si>
    <t>https://dd3ka9h4chfr8.cloudfront.net/image/725136000567/image_ipn9rssaoh3m93hf4fiod1de78/-FJPG/247002-004_DET_4.jpg</t>
  </si>
  <si>
    <t>https://dd3ka9h4chfr8.cloudfront.net/image/725136000567/image_nk503073c93fl7enpbqb3f3r6o/-FJPG/247002-004_DET_5.jpg</t>
  </si>
  <si>
    <t>https://dd3ka9h4chfr8.cloudfront.net/image/725136000567/image_gidcigu2ap2t1fp5uho16qg91a/-FJPG/247002-004_DET_6.jpg</t>
  </si>
  <si>
    <t>https://dd3ka9h4chfr8.cloudfront.net/image/725136000567/image_oma1sego5d6htbp2d7mrptlr0c/-FJPG/247002-004_DET_9.tif</t>
  </si>
  <si>
    <t>https://dd3ka9h4chfr8.cloudfront.net/image/725136000567/image_sb9qcvntb55r39rnturqfpu22f/-FJPG/247002-004_OPN_2.jpg</t>
  </si>
  <si>
    <t>247037-001</t>
  </si>
  <si>
    <t>Arturo Chest - Natural Walnut Veneer</t>
  </si>
  <si>
    <t>Inspired by campaign-style furniture of the 1800s â€” packable pieces first designed for traveling military use â€” a simply shaped chest of natural walnut features a subtly inset top and rounded legs, finished with wooden hardware. This item has been modified to comply with the STURDY Act. See a full list of modified products and data changes in the â€œSTURDY Actâ€ file in the Downloads section below.</t>
  </si>
  <si>
    <t>https://dd3ka9h4chfr8.cloudfront.net/image/725136000567/image_kmh81lgi911afbek889p0o0344/-S150x150-FJPG/247037-001_PRM_1.jpg</t>
  </si>
  <si>
    <t>https://dd3ka9h4chfr8.cloudfront.net/image/725136000567/image_ff5vdser4h3rf38hf3tpl9sv5t/-FJPG/247037-001_FRT_1.jpg</t>
  </si>
  <si>
    <t>https://dd3ka9h4chfr8.cloudfront.net/image/725136000567/image_kmh81lgi911afbek889p0o0344/-FJPG/247037-001_PRM_1.jpg</t>
  </si>
  <si>
    <t>https://dd3ka9h4chfr8.cloudfront.net/image/725136000567/image_3uvl7enaup70115bs9512df425/-FJPG/247037-001_SID_1.jpg</t>
  </si>
  <si>
    <t>https://dd3ka9h4chfr8.cloudfront.net/image/725136000567/image_8lcr9v36et2sddjmu62lgjms21/-FJPG/247037-001_DET_2.jpg</t>
  </si>
  <si>
    <t>https://dd3ka9h4chfr8.cloudfront.net/image/725136000567/image_gi4hf3f4u106d3o6cpr6gk5l76/-FJPG/247037-001_BCK_1.jpg</t>
  </si>
  <si>
    <t>https://dd3ka9h4chfr8.cloudfront.net/image/725136000567/image_g4g7dr6m097lncm3fgcng9po3p/-FJPG/247037-001_DET_1.jpg</t>
  </si>
  <si>
    <t>https://dd3ka9h4chfr8.cloudfront.net/image/725136000567/image_uvk42eliap1ftd7bi8dhjh4448/-FJPG/247037-001_DET_3.jpg</t>
  </si>
  <si>
    <t>https://dd3ka9h4chfr8.cloudfront.net/image/725136000567/image_6n0hu5k2111t14ioirpvm0cf31/-FJPG/247037-001_OPN_1.jpg</t>
  </si>
  <si>
    <t>https://dd3ka9h4chfr8.cloudfront.net/image/725136000567/image_0ptu0o9gjd3u197nk2h5bfs76l/-FJPG/247037-001_TOP_1.jpg</t>
  </si>
  <si>
    <t>https://dd3ka9h4chfr8.cloudfront.net/image/725136000567/image_h8c8f9dqul2bn48el7t011sh09/-FJPG/247037-001_DET_4.jpg</t>
  </si>
  <si>
    <t>https://dd3ka9h4chfr8.cloudfront.net/image/725136000567/image_541mr35adt4l71mkel9in4l62o/-FJPG/247037-001_DET_5.jpg</t>
  </si>
  <si>
    <t>247168-002</t>
  </si>
  <si>
    <t>Amelie Chair - Beige Shearling</t>
  </si>
  <si>
    <t>Beige Shearling</t>
  </si>
  <si>
    <t>Relax into the curved arms and subtle wingback shape of this classic reading chair. Upholstered in an ethically sourced, natural beige shearling for extra comfort and texture. Crafted with S-spring suspension, a loose cushion and hidden legs beneath.</t>
  </si>
  <si>
    <t>https://dd3ka9h4chfr8.cloudfront.net/image/725136000567/image_9besc7sec949t920f4dooqg039/-S150x150-FJPG/247168-002_PRM_1.JPG</t>
  </si>
  <si>
    <t>https://dd3ka9h4chfr8.cloudfront.net/image/725136000567/image_pbfdh3en697l730mamak38o96e/-FJPG/247168-002_FRT_1.JPG</t>
  </si>
  <si>
    <t>https://dd3ka9h4chfr8.cloudfront.net/image/725136000567/image_9besc7sec949t920f4dooqg039/-FJPG/247168-002_PRM_1.JPG</t>
  </si>
  <si>
    <t>https://dd3ka9h4chfr8.cloudfront.net/image/725136000567/image_72tu37gj4t6nt57g8e45c5i97c/-FJPG/247168-002_SID_1.JPG</t>
  </si>
  <si>
    <t>https://dd3ka9h4chfr8.cloudfront.net/image/725136000567/image_sqhuauf5s91glebhk5l3u1162t/-FJPG/247168-002_ESS.tif</t>
  </si>
  <si>
    <t>https://dd3ka9h4chfr8.cloudfront.net/image/725136000567/image_jtq1n6ega90h3bc3ur8bio4450/-FJPG/247168-002_ESS.tif</t>
  </si>
  <si>
    <t>https://dd3ka9h4chfr8.cloudfront.net/image/725136000567/image_t7i6ve1cut1k7doh8qpj0po554/-FJPG/247168-002_DET_2.JPG</t>
  </si>
  <si>
    <t>https://dd3ka9h4chfr8.cloudfront.net/image/725136000567/image_1j4tl8vfmp2plaqi96sdk6qq26/-FJPG/247168-002_BCK_1.JPG</t>
  </si>
  <si>
    <t>https://dd3ka9h4chfr8.cloudfront.net/image/725136000567/image_ar560vc4bl07rf32uvhs35e11i/-FJPG/247168-002_DET_1.JPG</t>
  </si>
  <si>
    <t>https://dd3ka9h4chfr8.cloudfront.net/image/725136000567/image_kpe0ht5col6cratolef0763u2e/-FJPG/247168-002_DET_3.JPG</t>
  </si>
  <si>
    <t>https://dd3ka9h4chfr8.cloudfront.net/image/725136000567/image_mtkdnpop7h31fe6g95nq78av28/-FJPG/247168-002_DET_4.JPG</t>
  </si>
  <si>
    <t>https://dd3ka9h4chfr8.cloudfront.net/image/725136000567/image_prfk0m65gl6r987oo7foj4kk30/-FJPG/247168-002_DET_5.JPG</t>
  </si>
  <si>
    <t>https://dd3ka9h4chfr8.cloudfront.net/image/725136000567/image_ri7bf4n5b9319340ob50if191b/-FJPG/247168-002_DET_6.JPG</t>
  </si>
  <si>
    <t>https://dd3ka9h4chfr8.cloudfront.net/image/725136000567/image_dp12on2sh51o9fnr24sck8im3l/-FJPG/247168-002_DET_9.tif</t>
  </si>
  <si>
    <t>Amelie</t>
  </si>
  <si>
    <t>247300-001</t>
  </si>
  <si>
    <t>Jade Accent Bench - Altair Mushroom</t>
  </si>
  <si>
    <t>Altair Mushroom</t>
  </si>
  <si>
    <t>Hammered Bronze</t>
  </si>
  <si>
    <t>Textured Bronze</t>
  </si>
  <si>
    <t>Channel Art Deco with a curved stretcher base of bronzed hammered iron and a velvety seat in a versatile earth tone. Style in the bedroom or entryway to create an extra surface, or in your living space for bonus seating.</t>
  </si>
  <si>
    <t>https://dd3ka9h4chfr8.cloudfront.net/image/725136000567/image_dc28lts4el5gnbkvpl8cbigc26/-S150x150-FJPG/247300-001_PRM_1.JPG</t>
  </si>
  <si>
    <t>https://dd3ka9h4chfr8.cloudfront.net/image/725136000567/image_6hr98m4bb57lb7alm8t477st6i/-FJPG/247300-001_FRT_1.JPG</t>
  </si>
  <si>
    <t>https://dd3ka9h4chfr8.cloudfront.net/image/725136000567/image_dc28lts4el5gnbkvpl8cbigc26/-FJPG/247300-001_PRM_1.JPG</t>
  </si>
  <si>
    <t>https://dd3ka9h4chfr8.cloudfront.net/image/725136000567/image_ed8tiinocl2l36m6pfhnhqm069/-FJPG/247300-001_SID_1.JPG</t>
  </si>
  <si>
    <t>https://dd3ka9h4chfr8.cloudfront.net/image/725136000567/image_lots7usacp371aqldnf333fb5k/-FJPG/247300-001_ESS.tif</t>
  </si>
  <si>
    <t>https://dd3ka9h4chfr8.cloudfront.net/image/725136000567/image_gs6261u7op07p0br9pgjd7432r/-FJPG/247300-001_DET_2.JPG</t>
  </si>
  <si>
    <t>https://dd3ka9h4chfr8.cloudfront.net/image/725136000567/image_716f06e6894359l24f6l8jc708/-FJPG/247300-001_DET_1.JPG</t>
  </si>
  <si>
    <t>https://dd3ka9h4chfr8.cloudfront.net/image/725136000567/image_81je7ksksh0uhcs4capjejih16/-FJPG/247300-001_DET_3.JPG</t>
  </si>
  <si>
    <t>https://dd3ka9h4chfr8.cloudfront.net/image/725136000567/image_nv49a9r7g92lt7760qmq6p322d/-FJPG/247300-001_DET_4.JPG</t>
  </si>
  <si>
    <t>https://dd3ka9h4chfr8.cloudfront.net/image/725136000567/image_f7jepv2nr567f3o18ch2rn3h6v/-FJPG/247300-001_DET_5.JPG</t>
  </si>
  <si>
    <t>https://dd3ka9h4chfr8.cloudfront.net/image/725136000567/image_rq08r2rqbl1e3fr44pfj8pgl7h/-FJPG/247300-001_DET_9.tif</t>
  </si>
  <si>
    <t>Jade</t>
  </si>
  <si>
    <t>68.75"</t>
  </si>
  <si>
    <t>247376-001</t>
  </si>
  <si>
    <t>Contessa Console Table - Smoked Alder</t>
  </si>
  <si>
    <t>Crafted from smoked alder, this Wabi Sabi-inspired console brings an organic look to your space. With staggered legs, chamfered edges and a central stretcher, this piece is perfect for media display or styled in the living room or entryway.</t>
  </si>
  <si>
    <t>https://dd3ka9h4chfr8.cloudfront.net/image/725136000567/image_5amcpk4tq14jh07oues62bsb18/-S150x150-FJPG/247376-001_PRM_1.jpg</t>
  </si>
  <si>
    <t>https://dd3ka9h4chfr8.cloudfront.net/image/725136000567/image_ci5qdib6dp1m152jl07shtpe48/-FJPG/247376-001_FRT_1.jpg</t>
  </si>
  <si>
    <t>https://dd3ka9h4chfr8.cloudfront.net/image/725136000567/image_5amcpk4tq14jh07oues62bsb18/-FJPG/247376-001_PRM_1.jpg</t>
  </si>
  <si>
    <t>https://dd3ka9h4chfr8.cloudfront.net/image/725136000567/image_0uc9nhopul4cvdg62151iqha6v/-FJPG/247376-001_SID_1.jpg</t>
  </si>
  <si>
    <t>https://dd3ka9h4chfr8.cloudfront.net/image/725136000567/image_bqhuehserh4kp4kn84t7fp0g7c/-FJPG/247376-001_ESS.tif</t>
  </si>
  <si>
    <t>https://dd3ka9h4chfr8.cloudfront.net/image/725136000567/image_5m9egnp3jh4lr1ubsg05vopo7n/-FJPG/247376-001_DET_2.jpg</t>
  </si>
  <si>
    <t>https://dd3ka9h4chfr8.cloudfront.net/image/725136000567/image_i37d1agusl52p2t1obfudr983p/-FJPG/247376-001_BCK_1.jpg</t>
  </si>
  <si>
    <t>https://dd3ka9h4chfr8.cloudfront.net/image/725136000567/image_48pbp7qo3l0kd1v4apf7651q61/-FJPG/247376-001_DET_1.jpg</t>
  </si>
  <si>
    <t>https://dd3ka9h4chfr8.cloudfront.net/image/725136000567/image_5tfsjj2g6t2j576p18msvl5l6q/-FJPG/247376-001_DET_3.jpg</t>
  </si>
  <si>
    <t>https://dd3ka9h4chfr8.cloudfront.net/image/725136000567/image_enne11h3pd41h0naj5i9kage42/-FJPG/247376-001_DET_4.jpg</t>
  </si>
  <si>
    <t>https://dd3ka9h4chfr8.cloudfront.net/image/725136000567/image_d4cogjbrdp1kpebgt0bpri5r0i/-FJPG/247376-001_DET_5.jpg</t>
  </si>
  <si>
    <t>https://dd3ka9h4chfr8.cloudfront.net/image/725136000567/image_s9lpic2chl0o9a76fuvm8f9i3d/-FJPG/247376-001_DET_6.jpg</t>
  </si>
  <si>
    <t>https://dd3ka9h4chfr8.cloudfront.net/image/725136000567/image_olmplmn6qh5rp22ckqmauffn4u/-FJPG/247376-001_DET_7.jpg</t>
  </si>
  <si>
    <t>https://dd3ka9h4chfr8.cloudfront.net/image/725136000567/image_impeqbl7gp41p8s431g1lpne7k/-FJPG/247376-001_DET_8.jpg</t>
  </si>
  <si>
    <t>https://dd3ka9h4chfr8.cloudfront.net/image/725136000567/image_ieu959i4hd2v18si1n7cl5ha48/-FJPG/247376-001_DET_9.tif</t>
  </si>
  <si>
    <t>https://dd3ka9h4chfr8.cloudfront.net/image/725136000567/image_87c67t246d7dhbr931cm80bk6v/-FJPG/247376-001_PRM_2.jpg</t>
  </si>
  <si>
    <t>Box Contents</t>
  </si>
  <si>
    <t>66.38"</t>
  </si>
  <si>
    <t>Contessa</t>
  </si>
  <si>
    <t>247630-001</t>
  </si>
  <si>
    <t>Gardendale Sideboard - Tan Oak Veneer</t>
  </si>
  <si>
    <t>Tan Oak Veneer</t>
  </si>
  <si>
    <t>Store your favorite table linens and dinnerware in this storage-driven sideboard inspired by handcrafted antiques. Made from tan-finished oak with lower open shelving and exposed joint details on the legs. Finished out with simple iron hardware.</t>
  </si>
  <si>
    <t>https://dd3ka9h4chfr8.cloudfront.net/image/725136000567/image_fb40kptokl42t8jkbtufeoqh2i/-S150x150-FJPG/247630-001_PRM_1.JPG</t>
  </si>
  <si>
    <t>https://dd3ka9h4chfr8.cloudfront.net/image/725136000567/image_qit58db4qt3ad2kohligg2du5n/-FJPG/247630-001_FRT_1.JPG</t>
  </si>
  <si>
    <t>https://dd3ka9h4chfr8.cloudfront.net/image/725136000567/image_fb40kptokl42t8jkbtufeoqh2i/-FJPG/247630-001_PRM_1.JPG</t>
  </si>
  <si>
    <t>https://dd3ka9h4chfr8.cloudfront.net/image/725136000567/image_v1d4sqh5212u17lqko7ukeca3h/-FJPG/247630-001_SID_1.JPG</t>
  </si>
  <si>
    <t>https://dd3ka9h4chfr8.cloudfront.net/image/725136000567/image_fcssiln66d2999ram9qoes4m4n/-FJPG/247630-001_ESS.tif</t>
  </si>
  <si>
    <t>https://dd3ka9h4chfr8.cloudfront.net/image/725136000567/image_j9rpdf8h3h1lp197fmhk86c54p/-FJPG/247630-001_DET_2.JPG</t>
  </si>
  <si>
    <t>https://dd3ka9h4chfr8.cloudfront.net/image/725136000567/image_t5mct9u79p2hj653a3bfmq8r14/-FJPG/247630-001_BCK_1.JPG</t>
  </si>
  <si>
    <t>https://dd3ka9h4chfr8.cloudfront.net/image/725136000567/image_oba93hfsm95rn4d38m4h3b432b/-FJPG/247630-001_DET_1.JPG</t>
  </si>
  <si>
    <t>https://dd3ka9h4chfr8.cloudfront.net/image/725136000567/image_sebo9fk5bd7pjam9700phm7r1g/-FJPG/247630-001_DET_3.JPG</t>
  </si>
  <si>
    <t>https://dd3ka9h4chfr8.cloudfront.net/image/725136000567/image_l4t1qaq3u97npekks52s85dd2t/-FJPG/247630-001_OPN_1.JPG</t>
  </si>
  <si>
    <t>https://dd3ka9h4chfr8.cloudfront.net/image/725136000567/image_efqlpjumvt4s95ns9j6f9a2f4g/-FJPG/247630-001_DET_4.JPG</t>
  </si>
  <si>
    <t>https://dd3ka9h4chfr8.cloudfront.net/image/725136000567/image_ocr5h1b55h6r5b252q71m4ga6a/-FJPG/247630-001_DET_5.JPG</t>
  </si>
  <si>
    <t>https://dd3ka9h4chfr8.cloudfront.net/image/725136000567/image_a1p6b57lu51elcvt92vt1hta5p/-FJPG/247630-001_DET_7.JPG</t>
  </si>
  <si>
    <t>https://dd3ka9h4chfr8.cloudfront.net/image/725136000567/image_o4nn72vish1ih36pm997iq9r55/-FJPG/247630-001_DET_8.JPG</t>
  </si>
  <si>
    <t>https://dd3ka9h4chfr8.cloudfront.net/image/725136000567/image_g234ophhn15t57rd9mak5usj4p/-FJPG/247630-001_DET_9.tif</t>
  </si>
  <si>
    <t>https://dd3ka9h4chfr8.cloudfront.net/image/725136000567/image_jje0qket4h2fb7eilusnmlvq3p/-FJPG/247630-001_OPN_2.JPG</t>
  </si>
  <si>
    <t>Gardendale</t>
  </si>
  <si>
    <t>247896-001</t>
  </si>
  <si>
    <t>Roark Media Console - Amber Oak Veneer</t>
  </si>
  <si>
    <t>Crafted from oak with a warm amber finish and rounded dowel legs. An overhang top and simple gunmetal-finished hardware complete the look, with drawers and a spacious lower shelf for all your media storage needs.</t>
  </si>
  <si>
    <t>https://dd3ka9h4chfr8.cloudfront.net/image/725136000567/image_bnirhr8q3p09fadehj3t31134j/-S150x150-FJPG/247896-001_PRM_1.jpg</t>
  </si>
  <si>
    <t>https://dd3ka9h4chfr8.cloudfront.net/image/725136000567/image_8s813kvcq56ljeuioedsahmu0i/-FJPG/247896-001_FRT_1.jpg</t>
  </si>
  <si>
    <t>https://dd3ka9h4chfr8.cloudfront.net/image/725136000567/image_bnirhr8q3p09fadehj3t31134j/-FJPG/247896-001_PRM_1.jpg</t>
  </si>
  <si>
    <t>https://dd3ka9h4chfr8.cloudfront.net/image/725136000567/image_bdnug61cj97bdb27skdd6s5f3g/-FJPG/247896-001_SID_1.jpg</t>
  </si>
  <si>
    <t>https://dd3ka9h4chfr8.cloudfront.net/image/725136000567/image_jn8o0cusnl27b9prd7psdt8u0u/-FJPG/247896-001_ESS.tif</t>
  </si>
  <si>
    <t>https://dd3ka9h4chfr8.cloudfront.net/image/725136000567/image_nqhp1jbimp2qv95dgf8vm2bg52/-FJPG/247896-001_DET_2.jpg</t>
  </si>
  <si>
    <t>https://dd3ka9h4chfr8.cloudfront.net/image/725136000567/image_06muh6ohl178j9h6htqljila3j/-FJPG/247896-001_BCK_1.jpg</t>
  </si>
  <si>
    <t>https://dd3ka9h4chfr8.cloudfront.net/image/725136000567/image_ssslimtrol3ghfg2v1b0ornq4o/-FJPG/247896-001_DET_1.jpg</t>
  </si>
  <si>
    <t>https://dd3ka9h4chfr8.cloudfront.net/image/725136000567/image_6hsdiqkvml6p3ekob3fo2ap20u/-FJPG/247896-001_DET_3.jpg</t>
  </si>
  <si>
    <t>https://dd3ka9h4chfr8.cloudfront.net/image/725136000567/image_jnbpjonqh96dt2mkrjom7hg21h/-FJPG/247896-001_OPN_1.jpg</t>
  </si>
  <si>
    <t>https://dd3ka9h4chfr8.cloudfront.net/image/725136000567/image_esd4levth13qp6k524h0dn0v7v/-FJPG/247896-001_TOP_1.jpg</t>
  </si>
  <si>
    <t>https://dd3ka9h4chfr8.cloudfront.net/image/725136000567/image_77qkhttcb53jpcgpol4iuikp4p/-FJPG/247896-001_DET_4.jpg</t>
  </si>
  <si>
    <t>https://dd3ka9h4chfr8.cloudfront.net/image/725136000567/image_o7vg001bal4vv49gknv2lovj28/-FJPG/247896-001_DET_5.jpg</t>
  </si>
  <si>
    <t>https://dd3ka9h4chfr8.cloudfront.net/image/725136000567/image_t0eeggs76l2i97raj1s75cbr4o/-FJPG/247896-001_DET_6.jpg</t>
  </si>
  <si>
    <t>https://dd3ka9h4chfr8.cloudfront.net/image/725136000567/image_ha53l9ha111g5dtb05o9eiim4u/-FJPG/247896-001_DET_7.jpg</t>
  </si>
  <si>
    <t>https://dd3ka9h4chfr8.cloudfront.net/image/725136000567/image_uo6gjjsc5h245fjv2h01c8pi79/-FJPG/247896-001_DET_8.jpg</t>
  </si>
  <si>
    <t>https://dd3ka9h4chfr8.cloudfront.net/image/725136000567/image_u9oj8q710h44dckaqpc93ndp5o/-FJPG/247896-001_DET_9.tif</t>
  </si>
  <si>
    <t>16.44"</t>
  </si>
  <si>
    <t>78.41"</t>
  </si>
  <si>
    <t>36.30"</t>
  </si>
  <si>
    <t>13.86"</t>
  </si>
  <si>
    <t>16.65"</t>
  </si>
  <si>
    <t>247896-002</t>
  </si>
  <si>
    <t>Roark Media Console - Ebony Oak Veneer</t>
  </si>
  <si>
    <t>Crafted from ebony oak and rounded dowel legs. An overhang top and simple gunmetal-finished hardware complete the look, with drawers and a spacious lower shelf for all your media storage needs.</t>
  </si>
  <si>
    <t>https://dd3ka9h4chfr8.cloudfront.net/image/725136000567/image_1895uoi3191dv0ckhol3bl6b7t/-S150x150-FJPG/247896-002_PRM_1.jpg</t>
  </si>
  <si>
    <t>https://dd3ka9h4chfr8.cloudfront.net/image/725136000567/image_6m5v94bj111nfe1jnt7imvvr0b/-FJPG/247896-002_FRT_1.jpg</t>
  </si>
  <si>
    <t>https://dd3ka9h4chfr8.cloudfront.net/image/725136000567/image_1895uoi3191dv0ckhol3bl6b7t/-FJPG/247896-002_PRM_1.jpg</t>
  </si>
  <si>
    <t>https://dd3ka9h4chfr8.cloudfront.net/image/725136000567/image_nk4v026o1l68t0he40gmm6b73p/-FJPG/247896-002_SID_1.jpg</t>
  </si>
  <si>
    <t>https://dd3ka9h4chfr8.cloudfront.net/image/725136000567/image_3vhv37n41h7t58tb4jj3e8o23f/-FJPG/247896-002_DET_2.jpg</t>
  </si>
  <si>
    <t>https://dd3ka9h4chfr8.cloudfront.net/image/725136000567/image_n1sj3d1khp41t6ulhjn7b1ts0j/-FJPG/247896-002_BCK_1.jpg</t>
  </si>
  <si>
    <t>https://dd3ka9h4chfr8.cloudfront.net/image/725136000567/image_6s6an4hont6195pb265g3he82o/-FJPG/247896-002_DET_1.jpg</t>
  </si>
  <si>
    <t>https://dd3ka9h4chfr8.cloudfront.net/image/725136000567/image_htdht2l76d3nl1gjdnqfcrs17d/-FJPG/247896-002_DET_3.jpg</t>
  </si>
  <si>
    <t>https://dd3ka9h4chfr8.cloudfront.net/image/725136000567/image_7jebctp5at0dd3furtmi1bfo7p/-FJPG/247896-002_OPN_1.jpg</t>
  </si>
  <si>
    <t>https://dd3ka9h4chfr8.cloudfront.net/image/725136000567/image_hsl8u26bdh2mravcgs5dthci32/-FJPG/247896-002_TOP_1.jpg</t>
  </si>
  <si>
    <t>https://dd3ka9h4chfr8.cloudfront.net/image/725136000567/image_4aom0ncocl3n5d8r0cd0khu40p/-FJPG/247896-002_DET_4.jpg</t>
  </si>
  <si>
    <t>https://dd3ka9h4chfr8.cloudfront.net/image/725136000567/image_5chlhkstu9233ce07ab1fi5c0e/-FJPG/247896-002_DET_5.jpg</t>
  </si>
  <si>
    <t>https://dd3ka9h4chfr8.cloudfront.net/image/725136000567/image_986sn0858l1rv5cirs7hud9k2o/-FJPG/247896-002_DET_6.jpg</t>
  </si>
  <si>
    <t>https://dd3ka9h4chfr8.cloudfront.net/image/725136000567/image_eejb1t38td2115o8vie1o6825s/-FJPG/247896-002_DET_7.jpg</t>
  </si>
  <si>
    <t>https://dd3ka9h4chfr8.cloudfront.net/image/725136000567/image_c2mdeb3l7t7qv2bm1dnmf2f739/-FJPG/247896-002_DET_8.jpg</t>
  </si>
  <si>
    <t>247903-002</t>
  </si>
  <si>
    <t>Hawkes Bookcase - Dark Walnut Solid</t>
  </si>
  <si>
    <t>Dark Walnut Solid</t>
  </si>
  <si>
    <t>Offset shelves and a mix of open and closed storage give this bookcase its playful edge. Crafted from solid walnut with softened corners and curved legs, this piece is perfect for storing your favorite books, frames and treasures.</t>
  </si>
  <si>
    <t>https://dd3ka9h4chfr8.cloudfront.net/image/725136000567/image_n10q1i3gep4632dlqtubqmj374/-S150x150-FJPG/247903-002_PRM_1.jpg</t>
  </si>
  <si>
    <t>https://dd3ka9h4chfr8.cloudfront.net/image/725136000567/image_tkctnsq4sl0bh0pipthgs73473/-FJPG/247903-002_FRT_1.jpg</t>
  </si>
  <si>
    <t>https://dd3ka9h4chfr8.cloudfront.net/image/725136000567/image_n10q1i3gep4632dlqtubqmj374/-FJPG/247903-002_PRM_1.jpg</t>
  </si>
  <si>
    <t>https://dd3ka9h4chfr8.cloudfront.net/image/725136000567/image_5ijerh7v51133008ti7j1off5j/-FJPG/247903-002_SID_1.jpg</t>
  </si>
  <si>
    <t>https://dd3ka9h4chfr8.cloudfront.net/image/725136000567/image_03mi8q6jtp6h1b13kuib0jca4q/-FJPG/247903-002_ESS.tif</t>
  </si>
  <si>
    <t>https://dd3ka9h4chfr8.cloudfront.net/image/725136000567/image_3ean6c2kot2fpbo9bds6idam5g/-FJPG/247903-002_DET_2.jpg</t>
  </si>
  <si>
    <t>https://dd3ka9h4chfr8.cloudfront.net/image/725136000567/image_auia8bb0693ojc08el8b59a425/-FJPG/247903-002_BCK_1.jpg</t>
  </si>
  <si>
    <t>https://dd3ka9h4chfr8.cloudfront.net/image/725136000567/image_oh89tlq4tt2fj4uqa6bpc7no3r/-FJPG/247903-002_DET_1.jpg</t>
  </si>
  <si>
    <t>https://dd3ka9h4chfr8.cloudfront.net/image/725136000567/image_7e4djc5d317sl9e0vuj1c3mh6m/-FJPG/247903-002_DET_3.jpg</t>
  </si>
  <si>
    <t>https://dd3ka9h4chfr8.cloudfront.net/image/725136000567/image_k1epv0rsp91itcp0gmrkrf2e0l/-FJPG/247903-002_OPN_1.jpg</t>
  </si>
  <si>
    <t>https://dd3ka9h4chfr8.cloudfront.net/image/725136000567/image_gm3psun9l17r3blq4q1umusc36/-FJPG/247903-002_DET_4.jpg</t>
  </si>
  <si>
    <t>https://dd3ka9h4chfr8.cloudfront.net/image/725136000567/image_931peufrj17er0qunn6gmbba4s/-FJPG/247903-002_DET_5.jpg</t>
  </si>
  <si>
    <t>https://dd3ka9h4chfr8.cloudfront.net/image/725136000567/image_28skjgephh7inc9knu733jln5b/-FJPG/247903-002_DET_6.jpg</t>
  </si>
  <si>
    <t>https://dd3ka9h4chfr8.cloudfront.net/image/725136000567/image_bfq38iaull5qn5b9iconmggr77/-FJPG/247903-002_DET_9.tif</t>
  </si>
  <si>
    <t>https://dd3ka9h4chfr8.cloudfront.net/image/725136000567/image_3ivmj6ina15ih47vajjv7kpu7d/-FJPG/247903-002_DET_10.tif</t>
  </si>
  <si>
    <t>19.92"</t>
  </si>
  <si>
    <t>Hawkes</t>
  </si>
  <si>
    <t>247904-001</t>
  </si>
  <si>
    <t>Hawkes Media Console - Dark Walnut Solid</t>
  </si>
  <si>
    <t>Soft curves flow through the legs, shelves and corners of this rich media console of dark walnut. A mix of open shelving and closed cabinetry creates endless possibilities for your media storage and display. A rich walnut finish works into any space while crafting a sense of warmth.</t>
  </si>
  <si>
    <t>https://dd3ka9h4chfr8.cloudfront.net/image/725136000567/image_s6f2uc80o53bd8eoq655bql41n/-S150x150-FJPG/247904-001_PRM_1.jpg</t>
  </si>
  <si>
    <t>https://dd3ka9h4chfr8.cloudfront.net/image/725136000567/image_rfe430t5jl1j59cmilkv4ni97d/-FJPG/247904-001_FRT_1.jpg</t>
  </si>
  <si>
    <t>https://dd3ka9h4chfr8.cloudfront.net/image/725136000567/image_s6f2uc80o53bd8eoq655bql41n/-FJPG/247904-001_PRM_1.jpg</t>
  </si>
  <si>
    <t>https://dd3ka9h4chfr8.cloudfront.net/image/725136000567/image_ali6t8bj7d669eegemgm9b7j6m/-FJPG/247904-001_SID_1.jpg</t>
  </si>
  <si>
    <t>https://dd3ka9h4chfr8.cloudfront.net/image/725136000567/image_e7npul52qd6ld3qao4lom9mi10/-FJPG/247904-001_ESS.tif</t>
  </si>
  <si>
    <t>https://dd3ka9h4chfr8.cloudfront.net/image/725136000567/image_if72gukurl3816eamus0tqfg43/-FJPG/247904-001_DET_2.jpg</t>
  </si>
  <si>
    <t>https://dd3ka9h4chfr8.cloudfront.net/image/725136000567/image_mone0hcna10b77q4djpr7fnv72/-FJPG/247904-001_BCK_1.jpg</t>
  </si>
  <si>
    <t>https://dd3ka9h4chfr8.cloudfront.net/image/725136000567/image_q8kb04dmfl3lb63d1ri9c36t2c/-FJPG/247904-001_DET_1.jpg</t>
  </si>
  <si>
    <t>https://dd3ka9h4chfr8.cloudfront.net/image/725136000567/image_v55ejg6r054pn4bo27jpsfr37n/-FJPG/247904-001_DET_3.jpg</t>
  </si>
  <si>
    <t>https://dd3ka9h4chfr8.cloudfront.net/image/725136000567/image_eg8u05ieap67t7i6t8vjp5es40/-FJPG/247904-001_OPN_1.jpg</t>
  </si>
  <si>
    <t>https://dd3ka9h4chfr8.cloudfront.net/image/725136000567/image_oov3u2jp4h3sl6o07laplvgg53/-FJPG/247904-001_DET_4.jpg</t>
  </si>
  <si>
    <t>https://dd3ka9h4chfr8.cloudfront.net/image/725136000567/image_r4mhcgv28166t4rugqgasefg3i/-FJPG/247904-001_DET_5.jpg</t>
  </si>
  <si>
    <t>https://dd3ka9h4chfr8.cloudfront.net/image/725136000567/image_ar26aa6m5p3i5c0tjjtkked57k/-FJPG/247904-001_DET_6.jpg</t>
  </si>
  <si>
    <t>https://dd3ka9h4chfr8.cloudfront.net/image/725136000567/image_rfbjohhdgh28b3j0es3ei9551j/-FJPG/247904-001_DET_7.jpg</t>
  </si>
  <si>
    <t>https://dd3ka9h4chfr8.cloudfront.net/image/725136000567/image_hrobv5k0sd37n0hgmcu4oe6c22/-FJPG/247904-001_DET_8.jpg</t>
  </si>
  <si>
    <t>https://dd3ka9h4chfr8.cloudfront.net/image/725136000567/image_9nku8pnnlh2u316ecoguqane3a/-FJPG/247904-001_DET_9.tif</t>
  </si>
  <si>
    <t>https://dd3ka9h4chfr8.cloudfront.net/image/725136000567/image_t4p7i5agt13ktaujff62vb592r/-FJPG/247904-001_DET_9.tif</t>
  </si>
  <si>
    <t>https://dd3ka9h4chfr8.cloudfront.net/image/725136000567/image_q2fqriljbp7nl5oatd5v0eln42/-FJPG/247904-001_DET_10.tif</t>
  </si>
  <si>
    <t>23.07"</t>
  </si>
  <si>
    <t>247961-001</t>
  </si>
  <si>
    <t>Celeste Accent Bench - Altair Mushroom</t>
  </si>
  <si>
    <t>Toasted Ash Thick Veneer</t>
  </si>
  <si>
    <t>Thick Ash Veneer</t>
  </si>
  <si>
    <t>Elevate any room with a curvy statement bench. Made from a kidney-shaped base of toasted ash veneer and a soft, velvety seat.</t>
  </si>
  <si>
    <t>https://dd3ka9h4chfr8.cloudfront.net/image/725136000567/image_co7j7n8o9l4sn2tkgco5iht92c/-S150x150-FJPG/247961-001_PRM_1.JPG</t>
  </si>
  <si>
    <t>https://dd3ka9h4chfr8.cloudfront.net/image/725136000567/image_hqg6t0dq454on2hhlgb49rtc5d/-FJPG/247961-001_FRT_1.JPG</t>
  </si>
  <si>
    <t>https://dd3ka9h4chfr8.cloudfront.net/image/725136000567/image_co7j7n8o9l4sn2tkgco5iht92c/-FJPG/247961-001_PRM_1.JPG</t>
  </si>
  <si>
    <t>https://dd3ka9h4chfr8.cloudfront.net/image/725136000567/image_l6864ve7qp6p5atskdscb0s82e/-FJPG/247961-001_SID_1.JPG</t>
  </si>
  <si>
    <t>https://dd3ka9h4chfr8.cloudfront.net/image/725136000567/image_5rnf10lssd4f91ej54p8a4rv6n/-FJPG/247961-001_ESS.tif</t>
  </si>
  <si>
    <t>https://dd3ka9h4chfr8.cloudfront.net/image/725136000567/image_3k8t8a512l0nv3tc3mmo4ohq3i/-FJPG/247961-001_DET_2.JPG</t>
  </si>
  <si>
    <t>https://dd3ka9h4chfr8.cloudfront.net/image/725136000567/image_75bkoks4r50r5bjbflu6du705o/-FJPG/247961-001_BCK_1.JPG</t>
  </si>
  <si>
    <t>https://dd3ka9h4chfr8.cloudfront.net/image/725136000567/image_5oeic6ngh920h0e3utej61ut2s/-FJPG/247961-001_DET_1.JPG</t>
  </si>
  <si>
    <t>https://dd3ka9h4chfr8.cloudfront.net/image/725136000567/image_hrfc16irbd7er35a61f4v8pj0l/-FJPG/247961-001_DET_3.JPG</t>
  </si>
  <si>
    <t>https://dd3ka9h4chfr8.cloudfront.net/image/725136000567/image_p7b7cupr590idd3jo6868grk2d/-FJPG/247961-001_DET_4.JPG</t>
  </si>
  <si>
    <t>https://dd3ka9h4chfr8.cloudfront.net/image/725136000567/image_dr817pqloh75t9m7tkg6q70t3g/-FJPG/247961-001_DET_5.JPG</t>
  </si>
  <si>
    <t>https://dd3ka9h4chfr8.cloudfront.net/image/725136000567/image_p3ld1o0i656gp6sejt2u81pt4t/-FJPG/247961-001_DET_6.JPG</t>
  </si>
  <si>
    <t>https://dd3ka9h4chfr8.cloudfront.net/image/725136000567/image_1qajp6nlh57b9fskn1ibpq3h0g/-FJPG/247961-001_DET_9.tif</t>
  </si>
  <si>
    <t>Celeste</t>
  </si>
  <si>
    <t>247975-001</t>
  </si>
  <si>
    <t>Jenzen Coffee Table - Tempered Glass</t>
  </si>
  <si>
    <t>Tempered Glass</t>
  </si>
  <si>
    <t>Mix materials for a timeless look. Warm, brown oak shapes a unique octagon frame for a tempered glass top. Lower open shelving brings bonus storage and display options to your living space.</t>
  </si>
  <si>
    <t>https://dd3ka9h4chfr8.cloudfront.net/image/725136000567/image_di9k359tg92652vgphb0ohtk0u/-S150x150-FJPG/247975-001_PRM_1.JPG</t>
  </si>
  <si>
    <t>https://dd3ka9h4chfr8.cloudfront.net/image/725136000567/image_foob5llv4p32hf6dbpn9vrap25/-FJPG/247975-001_FRT_1.JPG</t>
  </si>
  <si>
    <t>https://dd3ka9h4chfr8.cloudfront.net/image/725136000567/image_di9k359tg92652vgphb0ohtk0u/-FJPG/247975-001_PRM_1.JPG</t>
  </si>
  <si>
    <t>https://dd3ka9h4chfr8.cloudfront.net/image/725136000567/image_pau75oko1d1qp0maftnb1rm710/-FJPG/247975-001_ESS.tif</t>
  </si>
  <si>
    <t>https://dd3ka9h4chfr8.cloudfront.net/image/725136000567/image_6f3s6s3rc95rldhkr3upeied4k/-FJPG/247975-001_DET_2.JPG</t>
  </si>
  <si>
    <t>https://dd3ka9h4chfr8.cloudfront.net/image/725136000567/image_8lid6994pl2jrev2a78iruq85a/-FJPG/247975-001_DET_1.JPG</t>
  </si>
  <si>
    <t>https://dd3ka9h4chfr8.cloudfront.net/image/725136000567/image_8u46u27sud4el95jg7u3refm49/-FJPG/247975-001_DET_3.JPG</t>
  </si>
  <si>
    <t>https://dd3ka9h4chfr8.cloudfront.net/image/725136000567/image_3p8168t33564d3rq76123ikh5j/-FJPG/247975-001_DET_4.JPG</t>
  </si>
  <si>
    <t>https://dd3ka9h4chfr8.cloudfront.net/image/725136000567/image_drrt6ep6nl0jv8lu4q9ie07e21/-FJPG/247975-001_DET_9.tif</t>
  </si>
  <si>
    <t>Jenzen</t>
  </si>
  <si>
    <t>248000-001</t>
  </si>
  <si>
    <t>Farrow Console Table - Drifted Oak Veneer</t>
  </si>
  <si>
    <t>A simple pill-shaped console table, refreshed with intriguing design details. Made from warm, light-finished oak, open lower shelving creates endless storage and styling options for your living or media room. Three drawers bring even more storage, while bullnose and relief detailing adds an artisan touch to this piece.</t>
  </si>
  <si>
    <t>https://dd3ka9h4chfr8.cloudfront.net/image/725136000567/image_d4tq5uqckh0nt90k6qvsgo0v58/-S150x150-FJPG/248000-001_PRM_1.jpg</t>
  </si>
  <si>
    <t>https://dd3ka9h4chfr8.cloudfront.net/image/725136000567/image_9s5oijofbd1e59pdkltsmj1a56/-FJPG/248000-001_FRT_1.jpg</t>
  </si>
  <si>
    <t>https://dd3ka9h4chfr8.cloudfront.net/image/725136000567/image_d4tq5uqckh0nt90k6qvsgo0v58/-FJPG/248000-001_PRM_1.jpg</t>
  </si>
  <si>
    <t>https://dd3ka9h4chfr8.cloudfront.net/image/725136000567/image_7p9jpt77ht55pe78l4k72e4m2g/-FJPG/248000-001_SID_1.jpg</t>
  </si>
  <si>
    <t>https://dd3ka9h4chfr8.cloudfront.net/image/725136000567/image_t5ufcuitlt4ila3gps485o774c/-FJPG/248000-001_ESS.tif</t>
  </si>
  <si>
    <t>https://dd3ka9h4chfr8.cloudfront.net/image/725136000567/image_bu8uenmsp91hl34f8pi4n83m1e/-FJPG/248000-001_DET_2.jpg</t>
  </si>
  <si>
    <t>https://dd3ka9h4chfr8.cloudfront.net/image/725136000567/image_v3sph2m1i16kn86gu79skhn60t/-FJPG/248000-001_BCK_1.jpg</t>
  </si>
  <si>
    <t>https://dd3ka9h4chfr8.cloudfront.net/image/725136000567/image_lvl50s0ot11qv86vd8t54ags6u/-FJPG/248000-001_DET_1.jpg</t>
  </si>
  <si>
    <t>https://dd3ka9h4chfr8.cloudfront.net/image/725136000567/image_s6munski9t12l30b9ut3s1fr35/-FJPG/248000-001_DET_3.jpg</t>
  </si>
  <si>
    <t>https://dd3ka9h4chfr8.cloudfront.net/image/725136000567/image_66dlcencet6kve4bnm6vdqk31s/-FJPG/248000-001_OPN_1.jpg</t>
  </si>
  <si>
    <t>https://dd3ka9h4chfr8.cloudfront.net/image/725136000567/image_gt4hko085p671fvqvmkbkte95q/-FJPG/248000-001_TOP_1.jpg</t>
  </si>
  <si>
    <t>https://dd3ka9h4chfr8.cloudfront.net/image/725136000567/image_qbbingbtu13shep00pie1h0s6s/-FJPG/248000-001_DET_4.jpg</t>
  </si>
  <si>
    <t>https://dd3ka9h4chfr8.cloudfront.net/image/725136000567/image_4iku395cet7rpcotnk41ekfd5g/-FJPG/248000-001_DET_5.jpg</t>
  </si>
  <si>
    <t>https://dd3ka9h4chfr8.cloudfront.net/image/725136000567/image_qiah9keg1t61tdfpm3fmvhde45/-FJPG/248000-001_DET_6.jpg</t>
  </si>
  <si>
    <t>https://dd3ka9h4chfr8.cloudfront.net/image/725136000567/image_rd0b3k4sut5vj88603ojqogv60/-FJPG/248000-001_DET_7.jpg</t>
  </si>
  <si>
    <t>https://dd3ka9h4chfr8.cloudfront.net/image/725136000567/image_69bud06at560t2ras4329d1e0a/-FJPG/248000-001_DET_9.tif</t>
  </si>
  <si>
    <t>https://dd3ka9h4chfr8.cloudfront.net/image/725136000567/image_gkhk482b710671rqmtp399nb6e/-FJPG/248000-001_DET_10.tif</t>
  </si>
  <si>
    <t>75.47"</t>
  </si>
  <si>
    <t>22.28"</t>
  </si>
  <si>
    <t>59.96"</t>
  </si>
  <si>
    <t>248128-001</t>
  </si>
  <si>
    <t>Hawkes Console Table - Dark Walnut Veneer</t>
  </si>
  <si>
    <t>Soft curves flow through the legs, shelves and corners of this rich media console of dark walnut. Generous open shelving creates endless possibilities for your media storage and display. A rich walnut finish works into any space while crafting a sense of warmth.</t>
  </si>
  <si>
    <t>https://dd3ka9h4chfr8.cloudfront.net/image/725136000567/image_lapko7u4r16gt85ibg5a74al01/-S150x150-FJPG/248128-001_PRM_1.jpg</t>
  </si>
  <si>
    <t>https://dd3ka9h4chfr8.cloudfront.net/image/725136000567/image_6ae2g97g793h1fiphl9i43516u/-FJPG/248128-001_FRT_1.jpg</t>
  </si>
  <si>
    <t>https://dd3ka9h4chfr8.cloudfront.net/image/725136000567/image_lapko7u4r16gt85ibg5a74al01/-FJPG/248128-001_PRM_1.jpg</t>
  </si>
  <si>
    <t>https://dd3ka9h4chfr8.cloudfront.net/image/725136000567/image_scgil1te4p619ahvfosgmusu11/-FJPG/248128-001_SID_1.jpg</t>
  </si>
  <si>
    <t>https://dd3ka9h4chfr8.cloudfront.net/image/725136000567/image_9h1ebtu4753jv5ev7vfhbl4e2c/-FJPG/248128-001_ESS.tif</t>
  </si>
  <si>
    <t>https://dd3ka9h4chfr8.cloudfront.net/image/725136000567/image_s98oaqucm145d63jp6dlvs3208/-FJPG/248128-001_DET_2.jpg</t>
  </si>
  <si>
    <t>https://dd3ka9h4chfr8.cloudfront.net/image/725136000567/image_5ft65ptpcp4uf0ru8rql8fhd61/-FJPG/248128-001_BCK_1.jpg</t>
  </si>
  <si>
    <t>https://dd3ka9h4chfr8.cloudfront.net/image/725136000567/image_hvqs50vubd3ald0pb1onfaf77k/-FJPG/248128-001_DET_1.jpg</t>
  </si>
  <si>
    <t>https://dd3ka9h4chfr8.cloudfront.net/image/725136000567/image_7hqgbfptr50rl2pmthgks2jp35/-FJPG/248128-001_DET_3.jpg</t>
  </si>
  <si>
    <t>https://dd3ka9h4chfr8.cloudfront.net/image/725136000567/image_uboad4nmip38rd84q18ugi530b/-FJPG/248128-001_DET_4.jpg</t>
  </si>
  <si>
    <t>https://dd3ka9h4chfr8.cloudfront.net/image/725136000567/image_tlgpnfk5gp26n9rh721kepv65v/-FJPG/248128-001_DET_5.jpg</t>
  </si>
  <si>
    <t>https://dd3ka9h4chfr8.cloudfront.net/image/725136000567/image_mj8cg2ujph03recblvva269q3c/-FJPG/248128-001_DET_6.jpg</t>
  </si>
  <si>
    <t>https://dd3ka9h4chfr8.cloudfront.net/image/725136000567/image_arh619k1ap0cneq3a2ngldkf54/-FJPG/248128-001_DET_7.jpg</t>
  </si>
  <si>
    <t>https://dd3ka9h4chfr8.cloudfront.net/image/725136000567/image_ogdiopnh915iv3h38mu5ha6l25/-FJPG/248128-001_DET_8.jpg</t>
  </si>
  <si>
    <t>https://dd3ka9h4chfr8.cloudfront.net/image/725136000567/image_cl36b25otp36vfj457ebip0o5v/-FJPG/248128-001_DET_9.tif</t>
  </si>
  <si>
    <t>23.39"</t>
  </si>
  <si>
    <t>74.88"</t>
  </si>
  <si>
    <t>248134-001</t>
  </si>
  <si>
    <t>Fisher Bookcase - Rustic Amber Oak Veneer</t>
  </si>
  <si>
    <t>Organize your favorite books and belongings in this stately bookcase of solid oak and thick oak veneer. Rich with natural cracks and wood graining, with long, oversized legs flanking wide open shelves. Lower cabinetry brings bonus storage to this timeless, versatile piece.</t>
  </si>
  <si>
    <t>https://dd3ka9h4chfr8.cloudfront.net/image/725136000567/image_bmekbb6erp2in9dq88nrs10d7p/-S150x150-FJPG/248134-001_PRM_1.jpg</t>
  </si>
  <si>
    <t>https://dd3ka9h4chfr8.cloudfront.net/image/725136000567/image_oq3k62iett7s35m0jlimv41m3j/-FJPG/248134-001_FRT_1.jpg</t>
  </si>
  <si>
    <t>https://dd3ka9h4chfr8.cloudfront.net/image/725136000567/image_bmekbb6erp2in9dq88nrs10d7p/-FJPG/248134-001_PRM_1.jpg</t>
  </si>
  <si>
    <t>https://dd3ka9h4chfr8.cloudfront.net/image/725136000567/image_ji3n266mu10i397l7dent3l323/-FJPG/248134-001_SID_1.jpg</t>
  </si>
  <si>
    <t>https://dd3ka9h4chfr8.cloudfront.net/image/725136000567/image_ajkp91t7dp1rv40m3ormcvka7c/-FJPG/248134-001_ESS.tif</t>
  </si>
  <si>
    <t>https://dd3ka9h4chfr8.cloudfront.net/image/725136000567/image_ia6q6buvf95554dnjm69j13k48/-FJPG/248134-001_DET_2.jpg</t>
  </si>
  <si>
    <t>https://dd3ka9h4chfr8.cloudfront.net/image/725136000567/image_kqohrg10j531543dsg46sg8h6b/-FJPG/248134-001_BCK_1.jpg</t>
  </si>
  <si>
    <t>https://dd3ka9h4chfr8.cloudfront.net/image/725136000567/image_8d07ntqha16l98gg007iooun10/-FJPG/248134-001_DET_1.jpg</t>
  </si>
  <si>
    <t>https://dd3ka9h4chfr8.cloudfront.net/image/725136000567/image_mplked7pi946b19tq16lbkam49/-FJPG/248134-001_DET_3.jpg</t>
  </si>
  <si>
    <t>https://dd3ka9h4chfr8.cloudfront.net/image/725136000567/image_fpo6udcj1l74r7p91hdufk1t2h/-FJPG/248134-001_OPN_1.jpg</t>
  </si>
  <si>
    <t>https://dd3ka9h4chfr8.cloudfront.net/image/725136000567/image_b8nmhnasbp4r73v5kkgle0856p/-FJPG/248134-001_DET_4.jpg</t>
  </si>
  <si>
    <t>https://dd3ka9h4chfr8.cloudfront.net/image/725136000567/image_ag63h61p5t6mpde5u3q6cj8k6b/-FJPG/248134-001_DET_5.jpg</t>
  </si>
  <si>
    <t>https://dd3ka9h4chfr8.cloudfront.net/image/725136000567/image_s1t9gpavd13g9calnb0t0q9v3b/-FJPG/248134-001_DET_6.jpg</t>
  </si>
  <si>
    <t>https://dd3ka9h4chfr8.cloudfront.net/image/725136000567/image_3r4tbnvmel199bgfb38nbnrk4m/-FJPG/248134-001_DET_9.tif</t>
  </si>
  <si>
    <t>18.03"</t>
  </si>
  <si>
    <t>41.02"</t>
  </si>
  <si>
    <t>39.45"</t>
  </si>
  <si>
    <t>15.89"</t>
  </si>
  <si>
    <t>248134-002</t>
  </si>
  <si>
    <t>Fisher Bookcase - Smoked Black Veneer</t>
  </si>
  <si>
    <t>Crafted from a mix of solid oak and smoked black veneer, this grand-scale bookcase becomes a focal point, showcasing the natural graining and character of the wood. Its wide frame and clean push-latch cabinet doors ground the room while offering the perfect backdrop for favorite books and treasured keepsakes.</t>
  </si>
  <si>
    <t>https://dd3ka9h4chfr8.cloudfront.net/image/725136000567/image_oftc0i9i9t32helu3i4bsrcj1d/-S150x150-FJPG/248134-002_PRM_1.jpg</t>
  </si>
  <si>
    <t>https://dd3ka9h4chfr8.cloudfront.net/image/725136000567/image_5all17gt4t39v6n6fotdijbh3i/-FJPG/248134-002_FRT_1.jpg</t>
  </si>
  <si>
    <t>https://dd3ka9h4chfr8.cloudfront.net/image/725136000567/image_oftc0i9i9t32helu3i4bsrcj1d/-FJPG/248134-002_PRM_1.jpg</t>
  </si>
  <si>
    <t>https://dd3ka9h4chfr8.cloudfront.net/image/725136000567/image_64flr8vr1l3vb5vghf8uoava5l/-FJPG/248134-002_SID_1.jpg</t>
  </si>
  <si>
    <t>https://dd3ka9h4chfr8.cloudfront.net/image/725136000567/image_vulh89a6ph6e59kp1pghulv502/-FJPG/248134-002_ESS.tif</t>
  </si>
  <si>
    <t>https://dd3ka9h4chfr8.cloudfront.net/image/725136000567/image_4urd7aedi53u95r2ubeeff674r/-FJPG/248134-002_DET_2.jpg</t>
  </si>
  <si>
    <t>https://dd3ka9h4chfr8.cloudfront.net/image/725136000567/image_asv3rkigad5qrefsur0q0lgu26/-FJPG/248134-002_BCK_1.jpg</t>
  </si>
  <si>
    <t>https://dd3ka9h4chfr8.cloudfront.net/image/725136000567/image_lmm3k2brst6e34e8uqpfeb7j5l/-FJPG/248134-002_DET_1.jpg</t>
  </si>
  <si>
    <t>https://dd3ka9h4chfr8.cloudfront.net/image/725136000567/image_se9rmcrpjt5qnbo0m5vsaqq258/-FJPG/248134-002_DET_3.jpg</t>
  </si>
  <si>
    <t>https://dd3ka9h4chfr8.cloudfront.net/image/725136000567/image_h9fa9sam7519l3eiv2ll7v7o2i/-FJPG/248134-002_OPN_1.jpg</t>
  </si>
  <si>
    <t>https://dd3ka9h4chfr8.cloudfront.net/image/725136000567/image_rbhve201jt2o3802gftjqn115v/-FJPG/248134-002_DET_4.jpg</t>
  </si>
  <si>
    <t>https://dd3ka9h4chfr8.cloudfront.net/image/725136000567/image_ri7o79ddr928d2u553qb6d0d57/-FJPG/248134-002_DET_5.jpg</t>
  </si>
  <si>
    <t>https://dd3ka9h4chfr8.cloudfront.net/image/725136000567/image_2j22db7jht1a309goljvdta13v/-FJPG/248134-002_DET_6.jpg</t>
  </si>
  <si>
    <t>https://dd3ka9h4chfr8.cloudfront.net/image/725136000567/image_fnfj8c8kh12nvdc67dioa2nd59/-FJPG/248134-002_DET_9.tif</t>
  </si>
  <si>
    <t>248140-001</t>
  </si>
  <si>
    <t>Bloomfield Media Console - Worn Oak Veneer</t>
  </si>
  <si>
    <t>A curved cradle base brings an elevated, artisan look to this worn oak media console. Generous interior storage creates endless space for your media needs, with rear cutouts for cord management.</t>
  </si>
  <si>
    <t>https://dd3ka9h4chfr8.cloudfront.net/image/725136000567/image_5fupf2vt294p12os0un9sjeq6q/-S150x150-FJPG/248140-001_PRM_1.jpg</t>
  </si>
  <si>
    <t>https://dd3ka9h4chfr8.cloudfront.net/image/725136000567/image_fotrmekr1p7cn8llh75hg3n756/-FJPG/248140-001_FRT_1.jpg</t>
  </si>
  <si>
    <t>https://dd3ka9h4chfr8.cloudfront.net/image/725136000567/image_5fupf2vt294p12os0un9sjeq6q/-FJPG/248140-001_PRM_1.jpg</t>
  </si>
  <si>
    <t>https://dd3ka9h4chfr8.cloudfront.net/image/725136000567/image_gsvjbkhi717plfe1ab2h5q0o4s/-FJPG/248140-001_SID_1.jpg</t>
  </si>
  <si>
    <t>https://dd3ka9h4chfr8.cloudfront.net/image/725136000567/image_anls7gdpal0nt3pssg4h97ld2m/-FJPG/248140-001_ESS.tif</t>
  </si>
  <si>
    <t>https://dd3ka9h4chfr8.cloudfront.net/image/725136000567/image_8mhb45l6d531fauhtfom86o627/-FJPG/248140-001_DET_2.jpg</t>
  </si>
  <si>
    <t>https://dd3ka9h4chfr8.cloudfront.net/image/725136000567/image_bmpso6ai5l29t1akncsii41c0a/-FJPG/248140-001_BCK_1.jpg</t>
  </si>
  <si>
    <t>https://dd3ka9h4chfr8.cloudfront.net/image/725136000567/image_ntaup2cm5l1c99d8r7jis75m7c/-FJPG/248140-001_DET_1.jpg</t>
  </si>
  <si>
    <t>https://dd3ka9h4chfr8.cloudfront.net/image/725136000567/image_v8fbran81t4n36m2ho2b2ef53i/-FJPG/248140-001_DET_3.jpg</t>
  </si>
  <si>
    <t>https://dd3ka9h4chfr8.cloudfront.net/image/725136000567/image_7ih4rcfsqh4jtc2404287fnd5d/-FJPG/248140-001_OPN_1.jpg</t>
  </si>
  <si>
    <t>https://dd3ka9h4chfr8.cloudfront.net/image/725136000567/image_iqa1i940gl0r7fdsb584s2mh3b/-FJPG/248140-001_TOP_1.jpg</t>
  </si>
  <si>
    <t>https://dd3ka9h4chfr8.cloudfront.net/image/725136000567/image_u0bifspe110af3t3mkh1dvtb7p/-FJPG/248140-001_DET_4.jpg</t>
  </si>
  <si>
    <t>https://dd3ka9h4chfr8.cloudfront.net/image/725136000567/image_32hm67mpah0an3l351vpde2l15/-FJPG/248140-001_DET_5.jpg</t>
  </si>
  <si>
    <t>https://dd3ka9h4chfr8.cloudfront.net/image/725136000567/image_8pi6vfqmtd4t7b4ildm7a8k715/-FJPG/248140-001_DET_7.jpg</t>
  </si>
  <si>
    <t>https://dd3ka9h4chfr8.cloudfront.net/image/725136000567/image_a7s1fousol3f16t0su524ot26q/-FJPG/248140-001_DET_9.tif</t>
  </si>
  <si>
    <t>https://dd3ka9h4chfr8.cloudfront.net/image/725136000567/image_41shngen555o1echptc661535u/-FJPG/248140-001_DET_10.tif</t>
  </si>
  <si>
    <t>Bloomfield</t>
  </si>
  <si>
    <t>18.43"</t>
  </si>
  <si>
    <t>248216-002</t>
  </si>
  <si>
    <t>Kirby Accent Stool - Andes Natural</t>
  </si>
  <si>
    <t>Style this vintage-inspired accent stool just about anywhere. A cradle base of wire-brushed parawood supports heavily textured upholstered seating.</t>
  </si>
  <si>
    <t>https://dd3ka9h4chfr8.cloudfront.net/image/725136000567/image_264k04i79t5vp2kctpm0s6ib22/-S150x150-FJPG/248216-002_PRM_1.JPG</t>
  </si>
  <si>
    <t>https://dd3ka9h4chfr8.cloudfront.net/image/725136000567/image_4ogji6mevl6a9fbfrf1v6tau1l/-FJPG/248216-002_FRT_1.JPG</t>
  </si>
  <si>
    <t>https://dd3ka9h4chfr8.cloudfront.net/image/725136000567/image_264k04i79t5vp2kctpm0s6ib22/-FJPG/248216-002_PRM_1.JPG</t>
  </si>
  <si>
    <t>https://dd3ka9h4chfr8.cloudfront.net/image/725136000567/image_cev141p2nh2bnaprbfm4u0pr45/-FJPG/248216-002_SID_1.JPG</t>
  </si>
  <si>
    <t>https://dd3ka9h4chfr8.cloudfront.net/image/725136000567/image_rv0fsvj9dd2bn9q0gdm45fie34/-FJPG/248216-002_DET_2.JPG</t>
  </si>
  <si>
    <t>https://dd3ka9h4chfr8.cloudfront.net/image/725136000567/image_3ko6b8oedl1ela83fn2mo4jb1g/-FJPG/248216-002_DET_1.JPG</t>
  </si>
  <si>
    <t>https://dd3ka9h4chfr8.cloudfront.net/image/725136000567/image_9o7me0ofgd4qt430n5qbbelr7r/-FJPG/248216-002_DET_3.JPG</t>
  </si>
  <si>
    <t>https://dd3ka9h4chfr8.cloudfront.net/image/725136000567/image_dnibs34sd56d76m276dko4kn03/-FJPG/248216-002_DET_4.JPG</t>
  </si>
  <si>
    <t>https://dd3ka9h4chfr8.cloudfront.net/image/725136000567/image_4nbp3gmlih4mb8u5df2k3j2b49/-FJPG/248216-002_DET_5.JPG</t>
  </si>
  <si>
    <t>248219-001</t>
  </si>
  <si>
    <t>Maeve Upholstered Bed - Laken Taupe</t>
  </si>
  <si>
    <t>Clean lines meet contoured curves for a timeless bedroom look. A petal-shaped shelter overlaps side rails for a unique,  comforting silhouette. Fully upholstered in a versatile taupe that complements a wide range of color palettes.</t>
  </si>
  <si>
    <t>https://dd3ka9h4chfr8.cloudfront.net/image/725136000567/image_ub3l43a0q11kb460clgophsr7i/-S150x150-FJPG/248219-001_PRM_1.jpg</t>
  </si>
  <si>
    <t>https://dd3ka9h4chfr8.cloudfront.net/image/725136000567/image_48qoo64on90pdbjag32686e94k/-FJPG/248219-001_FRT_1.jpg</t>
  </si>
  <si>
    <t>https://dd3ka9h4chfr8.cloudfront.net/image/725136000567/image_ub3l43a0q11kb460clgophsr7i/-FJPG/248219-001_PRM_1.jpg</t>
  </si>
  <si>
    <t>https://dd3ka9h4chfr8.cloudfront.net/image/725136000567/image_931gpec0dd3ph9hd73hp5nm94s/-FJPG/248219-001_SID_1.jpg</t>
  </si>
  <si>
    <t>https://dd3ka9h4chfr8.cloudfront.net/image/725136000567/image_e37vtfmjp92dl92i3op2mlmn17/-FJPG/248219-001_ESS.tif</t>
  </si>
  <si>
    <t>https://dd3ka9h4chfr8.cloudfront.net/image/725136000567/image_k8gnrt3vvp7631jg7v62r8224i/-FJPG/248219-001_DET_2.jpg</t>
  </si>
  <si>
    <t>https://dd3ka9h4chfr8.cloudfront.net/image/725136000567/image_pr2q1mm06h1kl9sh41n727o61d/-FJPG/248219-001_BCK_1.jpg</t>
  </si>
  <si>
    <t>https://dd3ka9h4chfr8.cloudfront.net/image/725136000567/image_aqqcolp6lt1jn2mpkp9g0e5v3e/-FJPG/248219-001_DET_1.jpg</t>
  </si>
  <si>
    <t>https://dd3ka9h4chfr8.cloudfront.net/image/725136000567/image_e64gs1415t7k77d0uh96iqbb52/-FJPG/248219-001_DET_3.jpg</t>
  </si>
  <si>
    <t>https://dd3ka9h4chfr8.cloudfront.net/image/725136000567/image_p1u0gv2tkp50f01qcb2so4rj1v/-FJPG/248219-001_DET_4.jpg</t>
  </si>
  <si>
    <t>https://dd3ka9h4chfr8.cloudfront.net/image/725136000567/image_b9nu15ihv93335k8pth9i56p6o/-FJPG/248219-001_DET_5.jpg</t>
  </si>
  <si>
    <t>https://dd3ka9h4chfr8.cloudfront.net/image/725136000567/image_9qeq2cg52h5cv59l2jbq8pkb3f/-FJPG/248219-001_DET_6.jpg</t>
  </si>
  <si>
    <t>Hb And Fb</t>
  </si>
  <si>
    <t>Maeve</t>
  </si>
  <si>
    <t>65.98"</t>
  </si>
  <si>
    <t>48.62"</t>
  </si>
  <si>
    <t>70.51"</t>
  </si>
  <si>
    <t>248219-002</t>
  </si>
  <si>
    <t>82.13"</t>
  </si>
  <si>
    <t>248226-001</t>
  </si>
  <si>
    <t>Stella 6 Drawer Dresser - Palermo Drift</t>
  </si>
  <si>
    <t>Hazel Oak</t>
  </si>
  <si>
    <t>Bring a Nordic, material-driven look to your bedroom with a six-drawer dresser of grain-rich oak and drawer fronts covered with tan top-grain leather. Finished out with long, linear iron hardware.</t>
  </si>
  <si>
    <t>https://dd3ka9h4chfr8.cloudfront.net/image/725136000567/image_5echq4g27d5en26qpvvbkrqm65/-S150x150-FJPG/248226-001_PRM_1.jpg</t>
  </si>
  <si>
    <t>https://dd3ka9h4chfr8.cloudfront.net/image/725136000567/image_mdsnpsesbh7b9671v7ion2a72o/-FJPG/248226-001_FRT_1.jpg</t>
  </si>
  <si>
    <t>https://dd3ka9h4chfr8.cloudfront.net/image/725136000567/image_5echq4g27d5en26qpvvbkrqm65/-FJPG/248226-001_PRM_1.jpg</t>
  </si>
  <si>
    <t>https://dd3ka9h4chfr8.cloudfront.net/image/725136000567/image_vfhia9hnrt73n4tq9i1sgcaq0l/-FJPG/248226-001_SID_1.jpg</t>
  </si>
  <si>
    <t>https://dd3ka9h4chfr8.cloudfront.net/image/725136000567/image_rad9vn11jp6q1ags85obho657u/-FJPG/248226-001_ESS.tif</t>
  </si>
  <si>
    <t>https://dd3ka9h4chfr8.cloudfront.net/image/725136000567/image_ag60lpbcgp2gp32q2o778asl28/-FJPG/248226-001_DET_2.jpg</t>
  </si>
  <si>
    <t>https://dd3ka9h4chfr8.cloudfront.net/image/725136000567/image_3ie11tubj966v025hmpvgr6l6t/-FJPG/248226-001_BCK_1.jpg</t>
  </si>
  <si>
    <t>https://dd3ka9h4chfr8.cloudfront.net/image/725136000567/image_s84hbojjmp0lb1f70qf26onh67/-FJPG/248226-001_DET_1.jpg</t>
  </si>
  <si>
    <t>https://dd3ka9h4chfr8.cloudfront.net/image/725136000567/image_oo590cnkgh5hr9q73qik8i1e4j/-FJPG/248226-001_DET_3.jpg</t>
  </si>
  <si>
    <t>https://dd3ka9h4chfr8.cloudfront.net/image/725136000567/image_ec7rboa3dd1qb8de4vfm53dl2o/-FJPG/248226-001_OPN_1.jpg</t>
  </si>
  <si>
    <t>https://dd3ka9h4chfr8.cloudfront.net/image/725136000567/image_tfkj4ds6sh0pv4n3o1i6uj7927/-FJPG/248226-001_TOP_1.jpg</t>
  </si>
  <si>
    <t>https://dd3ka9h4chfr8.cloudfront.net/image/725136000567/image_iob2cnu27l5tp58n458i06tp1q/-FJPG/248226-001_DET_4.jpg</t>
  </si>
  <si>
    <t>https://dd3ka9h4chfr8.cloudfront.net/image/725136000567/image_tte9iag3pt39nf5fk5k8qumr47/-FJPG/248226-001_DET_5.jpg</t>
  </si>
  <si>
    <t>https://dd3ka9h4chfr8.cloudfront.net/image/725136000567/image_2sdjov4p1d41jc836ar684bh6e/-FJPG/248226-001_DET_6.jpg</t>
  </si>
  <si>
    <t>https://dd3ka9h4chfr8.cloudfront.net/image/725136000567/image_s7496o7g6t6vf1top9lskti824/-FJPG/248226-001_DET_9.tif</t>
  </si>
  <si>
    <t>Stella</t>
  </si>
  <si>
    <t>5.43"</t>
  </si>
  <si>
    <t>31.38"</t>
  </si>
  <si>
    <t>248227-001</t>
  </si>
  <si>
    <t>Stella Nightstand - Hazel Oak Veneer</t>
  </si>
  <si>
    <t>Hazel Oak Veneer</t>
  </si>
  <si>
    <t>Bring a Nordic-inspired look to your bedroom styling. A spacious two-drawer nightstand of thick, grain-rich oak veneer encases drawer fronts covered with tan top-grain leather exclusive to Four Hands. Finished out with long, linear iron hardware.</t>
  </si>
  <si>
    <t>https://dd3ka9h4chfr8.cloudfront.net/image/725136000567/image_9c1d3rtc3119b1gaia40si7a61/-S150x150-FJPG/248227-001_PRM_1.jpg</t>
  </si>
  <si>
    <t>https://dd3ka9h4chfr8.cloudfront.net/image/725136000567/image_gu6g0494hd22v4jl6l6hchj160/-FJPG/248227-001_FRT_1.jpg</t>
  </si>
  <si>
    <t>https://dd3ka9h4chfr8.cloudfront.net/image/725136000567/image_9c1d3rtc3119b1gaia40si7a61/-FJPG/248227-001_PRM_1.jpg</t>
  </si>
  <si>
    <t>https://dd3ka9h4chfr8.cloudfront.net/image/725136000567/image_1bs9s6i23929p48mcelp92ev2a/-FJPG/248227-001_SID_1.jpg</t>
  </si>
  <si>
    <t>https://dd3ka9h4chfr8.cloudfront.net/image/725136000567/image_a2dgbdtgft2m1ab66nt79f9m79/-FJPG/248227-001_ESS.tif</t>
  </si>
  <si>
    <t>https://dd3ka9h4chfr8.cloudfront.net/image/725136000567/image_r5jmb6hlld3anfgj05ibch8j7j/-FJPG/248227-001_DET_2.jpg</t>
  </si>
  <si>
    <t>https://dd3ka9h4chfr8.cloudfront.net/image/725136000567/image_lulf52i7i13h16gog611t0143n/-FJPG/248227-001_BCK_1.jpg</t>
  </si>
  <si>
    <t>https://dd3ka9h4chfr8.cloudfront.net/image/725136000567/image_132gr6f3kh6sh5blnakam7og0s/-FJPG/248227-001_DET_1.jpg</t>
  </si>
  <si>
    <t>https://dd3ka9h4chfr8.cloudfront.net/image/725136000567/image_5qls1f4kh51en7h48vq0rkh41d/-FJPG/248227-001_DET_3.jpg</t>
  </si>
  <si>
    <t>https://dd3ka9h4chfr8.cloudfront.net/image/725136000567/image_32mi70b92t0u98cg7sj0fj265k/-FJPG/248227-001_OPN_1.jpg</t>
  </si>
  <si>
    <t>https://dd3ka9h4chfr8.cloudfront.net/image/725136000567/image_eht65de15d4lp8jrb9d27bfj6l/-FJPG/248227-001_TOP_1.jpg</t>
  </si>
  <si>
    <t>https://dd3ka9h4chfr8.cloudfront.net/image/725136000567/image_klm7hsf7fd6aj048f4fpd4bl6l/-FJPG/248227-001_DET_4.jpg</t>
  </si>
  <si>
    <t>https://dd3ka9h4chfr8.cloudfront.net/image/725136000567/image_2b44tv05vp3o15r57chgb69206/-FJPG/248227-001_DET_5.jpg</t>
  </si>
  <si>
    <t>https://dd3ka9h4chfr8.cloudfront.net/image/725136000567/image_8hvb0005od77jb6o9c2t9uem0q/-FJPG/248227-001_DET_6.jpg</t>
  </si>
  <si>
    <t>248340-001</t>
  </si>
  <si>
    <t>Cora Nesting End Tables - Textured Sandy Grey</t>
  </si>
  <si>
    <t>Chandler</t>
  </si>
  <si>
    <t>Textured Sandy Grey</t>
  </si>
  <si>
    <t>Solid Concrete</t>
  </si>
  <si>
    <t>Inspired by antiques, a set of nesting end tables features sculptural silhouettes that draw upon the shape of classic vessels. Made from concrete and finished with a stone-like water transfer technique, bringing a  beautifully textured look to your space.</t>
  </si>
  <si>
    <t>https://dd3ka9h4chfr8.cloudfront.net/image/725136000567/image_duj21cevad71j0tn0l5et39j1l/-S150x150-FJPG/248340-001_PRM_1.jpg</t>
  </si>
  <si>
    <t>https://dd3ka9h4chfr8.cloudfront.net/image/725136000567/image_8s3284kfo50mt8qt1fg7f7if4k/-FJPG/248340-001_FRT_1.jpg</t>
  </si>
  <si>
    <t>https://dd3ka9h4chfr8.cloudfront.net/image/725136000567/image_duj21cevad71j0tn0l5et39j1l/-FJPG/248340-001_PRM_1.jpg</t>
  </si>
  <si>
    <t>https://dd3ka9h4chfr8.cloudfront.net/image/725136000567/image_khrrn7ecbd6nvadfj4k9n9611r/-FJPG/248340-001_SID_1.jpg</t>
  </si>
  <si>
    <t>https://dd3ka9h4chfr8.cloudfront.net/image/725136000567/image_dqpq89hf652in1knefcs677q2f/-FJPG/248340-001_ESS.tif</t>
  </si>
  <si>
    <t>https://dd3ka9h4chfr8.cloudfront.net/image/725136000567/image_e4p547jsl145j1dmlt8lbmvn6h/-FJPG/248340-001_DET_2.jpg</t>
  </si>
  <si>
    <t>https://dd3ka9h4chfr8.cloudfront.net/image/725136000567/image_n5vgaeumjd5p3f9kbr6qoloi4n/-FJPG/248340-001_DET_1.jpg</t>
  </si>
  <si>
    <t>https://dd3ka9h4chfr8.cloudfront.net/image/725136000567/image_sdgnnkmu8t603bagrjbvcqp049/-FJPG/248340-001_DET_3.jpg</t>
  </si>
  <si>
    <t>https://dd3ka9h4chfr8.cloudfront.net/image/725136000567/image_70t1mqlfg96kl0v7ogehnhfi4j/-FJPG/248340-001_TOP_1.jpg</t>
  </si>
  <si>
    <t>https://dd3ka9h4chfr8.cloudfront.net/image/725136000567/image_pui0mnofuh6r30enc5kd2gic3k/-FJPG/248340-001_DET_4.jpg</t>
  </si>
  <si>
    <t>https://dd3ka9h4chfr8.cloudfront.net/image/725136000567/image_h2a7olnjgl1gnek09jcbg1r83f/-FJPG/248340-001_DET_5.jpg</t>
  </si>
  <si>
    <t>248413-002</t>
  </si>
  <si>
    <t>Paden Desk - Aged Black Acacia</t>
  </si>
  <si>
    <t>Aged black acacia forms crescent-shaped legs and a long oval tabletop, bringing a fluid feel to your office setup.</t>
  </si>
  <si>
    <t>https://dd3ka9h4chfr8.cloudfront.net/image/725136000567/image_8gnqe787kl38b3akkck7dl850s/-S150x150-FJPG/248413-002_PRM_1.jpg</t>
  </si>
  <si>
    <t>https://dd3ka9h4chfr8.cloudfront.net/image/725136000567/image_iu8bcb0h1l5rv8n392mcik2b53/-FJPG/248413-002_FRT_1.jpg</t>
  </si>
  <si>
    <t>https://dd3ka9h4chfr8.cloudfront.net/image/725136000567/image_8gnqe787kl38b3akkck7dl850s/-FJPG/248413-002_PRM_1.jpg</t>
  </si>
  <si>
    <t>https://dd3ka9h4chfr8.cloudfront.net/image/725136000567/image_ap7rocc6ml70dffj8li5unaa4v/-FJPG/248413-002_SID_1.jpg</t>
  </si>
  <si>
    <t>https://dd3ka9h4chfr8.cloudfront.net/image/725136000567/image_o1u1sqngj557n8djm36bflou5c/-FJPG/248413-002_ESS.tif</t>
  </si>
  <si>
    <t>https://dd3ka9h4chfr8.cloudfront.net/image/725136000567/image_t3figjrud90lhbp4bvfb3o5p43/-FJPG/248413-002_DET_2.jpg</t>
  </si>
  <si>
    <t>https://dd3ka9h4chfr8.cloudfront.net/image/725136000567/image_hjrenpcmn96rjb890i5isiu540/-FJPG/248413-002_DET_1.jpg</t>
  </si>
  <si>
    <t>https://dd3ka9h4chfr8.cloudfront.net/image/725136000567/image_c2dpdu53mh6pn92t26c7tekp12/-FJPG/248413-002_DET_3.jpg</t>
  </si>
  <si>
    <t>https://dd3ka9h4chfr8.cloudfront.net/image/725136000567/image_eka2forjhd7dvaspi8pols357s/-FJPG/248413-002_TOP_1.jpg</t>
  </si>
  <si>
    <t>https://dd3ka9h4chfr8.cloudfront.net/image/725136000567/image_b6tuhbk4a14dfa9b3v8vpd254u/-FJPG/248413-002_DET_4.jpg</t>
  </si>
  <si>
    <t>https://dd3ka9h4chfr8.cloudfront.net/image/725136000567/image_ff32rcfvvt4v1655psgh7scv1q/-FJPG/248413-002_DET_5.jpg</t>
  </si>
  <si>
    <t>https://dd3ka9h4chfr8.cloudfront.net/image/725136000567/image_u4qtamt2nh0ih6k8h8rsdg6q0f/-FJPG/248413-002_DET_9.tif</t>
  </si>
  <si>
    <t>Box 1: Top</t>
  </si>
  <si>
    <t>Box 2: Legs</t>
  </si>
  <si>
    <t>248413-004</t>
  </si>
  <si>
    <t>Paden Desk - Worn Oak</t>
  </si>
  <si>
    <t>Light, worn oak forms crescent-shaped legs and a long oval tabletop, bringing a fluid feel to your office setup.</t>
  </si>
  <si>
    <t>https://dd3ka9h4chfr8.cloudfront.net/image/725136000567/image_7nv1v20ihl55b6gkl47duss17v/-S150x150-FJPG/248413-004_PRM_1.jpg</t>
  </si>
  <si>
    <t>https://dd3ka9h4chfr8.cloudfront.net/image/725136000567/image_9vj5bdntid61b6oo1gingb7r28/-FJPG/248413-004_FRT_1.jpg</t>
  </si>
  <si>
    <t>https://dd3ka9h4chfr8.cloudfront.net/image/725136000567/image_7nv1v20ihl55b6gkl47duss17v/-FJPG/248413-004_PRM_1.jpg</t>
  </si>
  <si>
    <t>https://dd3ka9h4chfr8.cloudfront.net/image/725136000567/image_bvl831n7pp09v7kb8motdhfe41/-FJPG/248413-004_SID_1.jpg</t>
  </si>
  <si>
    <t>https://dd3ka9h4chfr8.cloudfront.net/image/725136000567/image_4ms25sptg93q73evvo9u6cbq7v/-FJPG/248413-004_ESS.tif</t>
  </si>
  <si>
    <t>https://dd3ka9h4chfr8.cloudfront.net/image/725136000567/image_uothic13995npf6j0ne5di947j/-FJPG/248413-004_DET_2.jpg</t>
  </si>
  <si>
    <t>https://dd3ka9h4chfr8.cloudfront.net/image/725136000567/image_vl5jdjki755fj3nn1vqdhfgj1m/-FJPG/248413-004_BCK_1.jpg</t>
  </si>
  <si>
    <t>https://dd3ka9h4chfr8.cloudfront.net/image/725136000567/image_6im42sovqd1h9e7l7nlpnskd3e/-FJPG/248413-004_DET_1.jpg</t>
  </si>
  <si>
    <t>https://dd3ka9h4chfr8.cloudfront.net/image/725136000567/image_6usen4lihh7j78hsa8qpri5h3b/-FJPG/248413-004_DET_3.jpg</t>
  </si>
  <si>
    <t>https://dd3ka9h4chfr8.cloudfront.net/image/725136000567/image_b34b3tfest2939b0rbp95lah2n/-FJPG/248413-004_TOP_1.jpg</t>
  </si>
  <si>
    <t>https://dd3ka9h4chfr8.cloudfront.net/image/725136000567/image_isnqfma7810r598oktgp5uvr26/-FJPG/248413-004_DET_4.jpg</t>
  </si>
  <si>
    <t>https://dd3ka9h4chfr8.cloudfront.net/image/725136000567/image_n2lmgr945h5e11k4f3e0kshf2c/-FJPG/248413-004_DET_5.jpg</t>
  </si>
  <si>
    <t>https://dd3ka9h4chfr8.cloudfront.net/image/725136000567/image_fb4aosmn997ub1m3ecuqk11b5b/-FJPG/248413-004_DET_6.jpg</t>
  </si>
  <si>
    <t>https://dd3ka9h4chfr8.cloudfront.net/image/725136000567/image_4d73ghfcrd7015f0rbdrfmm65l/-FJPG/248413-004_DET_7.jpg</t>
  </si>
  <si>
    <t>https://dd3ka9h4chfr8.cloudfront.net/image/725136000567/image_ep85vg3mgl6phc02f3f93c5n16/-FJPG/248413-004_DET_8.jpg</t>
  </si>
  <si>
    <t>https://dd3ka9h4chfr8.cloudfront.net/image/725136000567/image_ii6hfen34d17de4gmv66drgv1e/-FJPG/248413-004_DET_9.tif</t>
  </si>
  <si>
    <t>https://dd3ka9h4chfr8.cloudfront.net/image/725136000567/image_8i0k9qf3pl1pj2seqtur5qja7d/-FJPG/248413-004_DET_10.tif</t>
  </si>
  <si>
    <t>248465-001</t>
  </si>
  <si>
    <t>Maeve Bed - Laken Taupe</t>
  </si>
  <si>
    <t>Clean lines meet contoured curves for a timeless bedroom look. A petal-shaped shelter overlaps side rails for a unique,  comforting silhouette. Fully upholstered in a versatile taupe that complements a wide range of color palettes, all grounded by a rich oak base.</t>
  </si>
  <si>
    <t>https://dd3ka9h4chfr8.cloudfront.net/image/725136000567/image_3a1vio71rd2ch4crnhsrqpg50q/-S150x150-FJPG/248465-002_PRM_1.jpg</t>
  </si>
  <si>
    <t>https://dd3ka9h4chfr8.cloudfront.net/image/725136000567/image_peg9p4g4np3sjel896q50cob58/-FJPG/248465-002_FRT_1.jpg</t>
  </si>
  <si>
    <t>https://dd3ka9h4chfr8.cloudfront.net/image/725136000567/image_3a1vio71rd2ch4crnhsrqpg50q/-FJPG/248465-002_PRM_1.jpg</t>
  </si>
  <si>
    <t>https://dd3ka9h4chfr8.cloudfront.net/image/725136000567/image_2ofuhjcpb14iv0t1eumisvlj2s/-FJPG/248465-002_SID_1.jpg</t>
  </si>
  <si>
    <t>https://dd3ka9h4chfr8.cloudfront.net/image/725136000567/image_q0f1k94tep4apeh9db32nu8s0p/-FJPG/248465-002_ESS.tif</t>
  </si>
  <si>
    <t>https://dd3ka9h4chfr8.cloudfront.net/image/725136000567/image_d2daqinp1l04r3qqeafg7cb06i/-FJPG/248465-002_DET_2.jpg</t>
  </si>
  <si>
    <t>https://dd3ka9h4chfr8.cloudfront.net/image/725136000567/image_notio2lhqh3mpcm0co2cmh853n/-FJPG/248465-002_BCK_1.jpg</t>
  </si>
  <si>
    <t>https://dd3ka9h4chfr8.cloudfront.net/image/725136000567/image_k8pib9bomh0dl8cnba1g6had1f/-FJPG/248465-002_DET_1.jpg</t>
  </si>
  <si>
    <t>https://dd3ka9h4chfr8.cloudfront.net/image/725136000567/image_hvh5o369mp1ed3rnjf9juf1b7i/-FJPG/248465-002_DET_3.jpg</t>
  </si>
  <si>
    <t>https://dd3ka9h4chfr8.cloudfront.net/image/725136000567/image_6nub65pn215o13jvk43urqib64/-FJPG/248465-002_DET_4.jpg</t>
  </si>
  <si>
    <t>https://dd3ka9h4chfr8.cloudfront.net/image/725136000567/image_94467vgttt4cnbpprm18cvh04l/-FJPG/248465-002_DET_5.jpg</t>
  </si>
  <si>
    <t>https://dd3ka9h4chfr8.cloudfront.net/image/725136000567/image_f99flrmgq10kr1ulorikj1lc3i/-FJPG/248465-002_DET_6.jpg</t>
  </si>
  <si>
    <t>https://dd3ka9h4chfr8.cloudfront.net/image/725136000567/image_j4do45qgo17kr3g2364isupi2j/-FJPG/248465-002_DET_7.jpg</t>
  </si>
  <si>
    <t>https://dd3ka9h4chfr8.cloudfront.net/image/725136000567/image_q4qrmpcg951b19jd3g1ahmlq48/-FJPG/248465-002_DET_8.jpg</t>
  </si>
  <si>
    <t>Box 1: Hb And Fb</t>
  </si>
  <si>
    <t>Box 2: Siderails &amp; Slats</t>
  </si>
  <si>
    <t>62.83"</t>
  </si>
  <si>
    <t>248465-002</t>
  </si>
  <si>
    <t>https://dd3ka9h4chfr8.cloudfront.net/image/725136000567/image_6ds8s0iitl2j15t3tau9jd9i4j/-FJPG/248465-002_DET_9.tif</t>
  </si>
  <si>
    <t>https://dd3ka9h4chfr8.cloudfront.net/image/725136000567/image_972pc8lpe505l3b36tfmd6543c/-FJPG/248465-002_DET_10.tif</t>
  </si>
  <si>
    <t>78.98"</t>
  </si>
  <si>
    <t>248509-001</t>
  </si>
  <si>
    <t>Hepburn Media Console - Dark Anthracite Oak Veneer</t>
  </si>
  <si>
    <t>Dark Anthracite Oak Veneer</t>
  </si>
  <si>
    <t>Beautifully arched with a flush plinth base, a versatile oak cabinet features a dark, rich finish. A tempered glass front and generous interior shelving creates endless possibilities for your media storage.</t>
  </si>
  <si>
    <t>https://dd3ka9h4chfr8.cloudfront.net/image/725136000567/image_c80sacqgrt1m188k6calsfg13c/-S150x150-FJPG/248509-001_PRM_1.jpg</t>
  </si>
  <si>
    <t>https://dd3ka9h4chfr8.cloudfront.net/image/725136000567/image_vu8hlo2v292o71qmfjsdeoos6k/-FJPG/248509-001_FRT_1.jpg</t>
  </si>
  <si>
    <t>https://dd3ka9h4chfr8.cloudfront.net/image/725136000567/image_c80sacqgrt1m188k6calsfg13c/-FJPG/248509-001_PRM_1.jpg</t>
  </si>
  <si>
    <t>https://dd3ka9h4chfr8.cloudfront.net/image/725136000567/image_38kea6h90574v77ufpn45sfq0o/-FJPG/248509-001_SID_1.jpg</t>
  </si>
  <si>
    <t>https://dd3ka9h4chfr8.cloudfront.net/image/725136000567/image_6men6e6te55hr4pln2n2kuu84v/-FJPG/248509-001_ESS.tif</t>
  </si>
  <si>
    <t>https://dd3ka9h4chfr8.cloudfront.net/image/725136000567/image_vi8jukojmt2blbv61r5uphf00d/-FJPG/248509-001_DET_2.jpg</t>
  </si>
  <si>
    <t>https://dd3ka9h4chfr8.cloudfront.net/image/725136000567/image_dmfsssn02123jau5ve06sbbe0c/-FJPG/248509-001_BCK_1.jpg</t>
  </si>
  <si>
    <t>https://dd3ka9h4chfr8.cloudfront.net/image/725136000567/image_j5pembe9tl4d55guviudaid37k/-FJPG/248509-001_DET_1.jpg</t>
  </si>
  <si>
    <t>https://dd3ka9h4chfr8.cloudfront.net/image/725136000567/image_eg1a3rvh6h2gveaue83ng21m2g/-FJPG/248509-001_DET_3.jpg</t>
  </si>
  <si>
    <t>https://dd3ka9h4chfr8.cloudfront.net/image/725136000567/image_89lvt7ppl55ub1ad5l0cektu0v/-FJPG/248509-001_OPN_1.jpg</t>
  </si>
  <si>
    <t>https://dd3ka9h4chfr8.cloudfront.net/image/725136000567/image_btvvc0fo790v915cj5a9i5q82q/-FJPG/248509-001_TOP_1.jpg</t>
  </si>
  <si>
    <t>https://dd3ka9h4chfr8.cloudfront.net/image/725136000567/image_0mkr6vae452hbf5v120m2rel08/-FJPG/248509-001_DET_4.jpg</t>
  </si>
  <si>
    <t>Hepburn</t>
  </si>
  <si>
    <t>248620-001</t>
  </si>
  <si>
    <t>Wickham 2-Piece Sleeper Sectional - Alameda Snow</t>
  </si>
  <si>
    <t>A simple, stylish silhouette redefines the classic sofa bed, now as a sectional. With knife-edge pillows and high-performance fabric, the sleeper mechanism remains discreetly concealed, allowing for an easy one-step pullout. When unfolded, the sectional cushions form a comfortable bed, perfect for overnight guests or cozy movie nights?no extra mattress necessary. Plus, the addition of a storage chaise offers ample space for blankets and pillows, easily accessed by lifting the front of the chaise cushion. Comfort, storage, and style all in one. Performance fabrics are specially created to withstand spills, stains, high traffic and wear, ensuring long-term comfort and unmatched durability.</t>
  </si>
  <si>
    <t>https://dd3ka9h4chfr8.cloudfront.net/image/725136000567/image_7ed8s0k7gd3dfch1vou4n6r33e/-S150x150-FJPG/248620-001_PRM_1.jpg</t>
  </si>
  <si>
    <t>https://dd3ka9h4chfr8.cloudfront.net/image/725136000567/image_19fmh8qkd10s93kqdjq3romp7q/-FJPG/248620-001_FRT_1.jpg</t>
  </si>
  <si>
    <t>https://dd3ka9h4chfr8.cloudfront.net/image/725136000567/image_7ed8s0k7gd3dfch1vou4n6r33e/-FJPG/248620-001_PRM_1.jpg</t>
  </si>
  <si>
    <t>https://dd3ka9h4chfr8.cloudfront.net/image/725136000567/image_2i9vgr2mj53srdbsievm9gdn74/-FJPG/248620-001_SID_1.jpg</t>
  </si>
  <si>
    <t>https://dd3ka9h4chfr8.cloudfront.net/image/725136000567/image_uoqscirkc14kh66rjlnt4vur6h/-FJPG/248620-001_ESS.tif</t>
  </si>
  <si>
    <t>https://dd3ka9h4chfr8.cloudfront.net/image/725136000567/image_la7f3dpdet7k70f8v3ikqegv6u/-FJPG/248620-001_DET_2.jpg</t>
  </si>
  <si>
    <t>https://dd3ka9h4chfr8.cloudfront.net/image/725136000567/image_hc73pqse6969v1vp7hvp2v006q/-FJPG/248620-001_BCK_1.jpg</t>
  </si>
  <si>
    <t>https://dd3ka9h4chfr8.cloudfront.net/image/725136000567/image_4hvjsu39dp17f7v2apshu4mo55/-FJPG/248620-001_DET_1.jpg</t>
  </si>
  <si>
    <t>https://dd3ka9h4chfr8.cloudfront.net/image/725136000567/image_heo2d7pqfp7utfqasulosbgj5l/-FJPG/248620-001_DET_3.jpg</t>
  </si>
  <si>
    <t>https://dd3ka9h4chfr8.cloudfront.net/image/725136000567/image_etapob0fmt1837doqc7nuluc5e/-FJPG/248620-001_OPN_1.jpg</t>
  </si>
  <si>
    <t>https://dd3ka9h4chfr8.cloudfront.net/image/725136000567/image_h0m94o55bd13j92obnjmus0147/-FJPG/248620-001_TOP.jpg</t>
  </si>
  <si>
    <t>https://dd3ka9h4chfr8.cloudfront.net/image/725136000567/image_mm86942mud5uh1dkqocbetsg1a/-FJPG/248620-001_DET_4.jpg</t>
  </si>
  <si>
    <t>https://dd3ka9h4chfr8.cloudfront.net/image/725136000567/image_4emp3da4ct3ql2tvofnnpjrr3l/-FJPG/248620-001_DET_6.jpg</t>
  </si>
  <si>
    <t>https://dd3ka9h4chfr8.cloudfront.net/image/725136000567/image_2k03dajleh3m58qcbruc7knk5t/-FJPG/248620-001_DET_7.jpg</t>
  </si>
  <si>
    <t>https://dd3ka9h4chfr8.cloudfront.net/image/725136000567/image_dh8kfg5e7t4up15513f3t4o604/-FJPG/248620-001_DET_9.tif</t>
  </si>
  <si>
    <t>https://dd3ka9h4chfr8.cloudfront.net/image/725136000567/image_sr09ijrhh959h5kvh0vps4fu1s/-FJPG/248620-001_ESS_2.tif</t>
  </si>
  <si>
    <t>Chaise</t>
  </si>
  <si>
    <t>248621-001</t>
  </si>
  <si>
    <t>A simple, stylish silhouette redefines the classic sofa bed, now as a sectional. With knife-edge pillows and high-performance upholstery, the sleeper mechanism remains discreetly concealed, allowing for an easy one-step pullout. When unfolded, the sectional cushions form a comfortable bed, perfect for overnight guests or cozy movie nights?no extra mattress necessary. Plus, the addition of a storage chaise offers ample space for blankets and pillows, easily accessed by lifting the front of the chaise cushion. Comfort, storage, and style all in one. Performance fabrics are specially created to withstand spills, stains, high traffic and wear, ensuring long-term comfort and unmatched durability.</t>
  </si>
  <si>
    <t>https://dd3ka9h4chfr8.cloudfront.net/image/725136000567/image_ltjnb9vf7l14t6vbb5t2rbe617/-S150x150-FJPG/248621-001_PRM_1.jpg</t>
  </si>
  <si>
    <t>https://dd3ka9h4chfr8.cloudfront.net/image/725136000567/image_294as1b6o13mh6257fv94ood2c/-FJPG/248621-001_FRT_1.jpg</t>
  </si>
  <si>
    <t>https://dd3ka9h4chfr8.cloudfront.net/image/725136000567/image_ltjnb9vf7l14t6vbb5t2rbe617/-FJPG/248621-001_PRM_1.jpg</t>
  </si>
  <si>
    <t>https://dd3ka9h4chfr8.cloudfront.net/image/725136000567/image_9earhmhcnt581d8opc1a061u45/-FJPG/248621-001_SID_1.jpg</t>
  </si>
  <si>
    <t>https://dd3ka9h4chfr8.cloudfront.net/image/725136000567/image_sdr274g0r15g9bkjno2e97t007/-FJPG/248621-001_ESS.jpg</t>
  </si>
  <si>
    <t>https://dd3ka9h4chfr8.cloudfront.net/image/725136000567/image_se390ugbrl6f5cg4fknio3902p/-FJPG/248621-001_DET_2.jpg</t>
  </si>
  <si>
    <t>https://dd3ka9h4chfr8.cloudfront.net/image/725136000567/image_26aiafq7kt7ch5gh9dov0sus0f/-FJPG/248621-001_BCK_1.jpg</t>
  </si>
  <si>
    <t>https://dd3ka9h4chfr8.cloudfront.net/image/725136000567/image_lovjhvi019071ci82ruvdid17d/-FJPG/248621-001_DET_1.jpg</t>
  </si>
  <si>
    <t>https://dd3ka9h4chfr8.cloudfront.net/image/725136000567/image_rrabna13vd179dprr67rt40057/-FJPG/248621-001_DET_3.jpg</t>
  </si>
  <si>
    <t>https://dd3ka9h4chfr8.cloudfront.net/image/725136000567/image_unai0b723h3hp189isq1e1ne18/-FJPG/248621-001_OPN_1.jpg</t>
  </si>
  <si>
    <t>https://dd3ka9h4chfr8.cloudfront.net/image/725136000567/image_d3ue7cspil69rct38dgc0sm914/-FJPG/248621-001_TOP_1.jpg</t>
  </si>
  <si>
    <t>https://dd3ka9h4chfr8.cloudfront.net/image/725136000567/image_ecoe89r7a93kraquouuqhbc34g/-FJPG/248621-001_DET_4.jpg</t>
  </si>
  <si>
    <t>https://dd3ka9h4chfr8.cloudfront.net/image/725136000567/image_au5mt7q73l25j3lkaesb87ch33/-FJPG/248621-001_DET_6.jpg</t>
  </si>
  <si>
    <t>https://dd3ka9h4chfr8.cloudfront.net/image/725136000567/image_lg5ab6hhi56cbb7pdsc226f017/-FJPG/248621-001_DET_7.jpg</t>
  </si>
  <si>
    <t>https://dd3ka9h4chfr8.cloudfront.net/image/725136000567/image_tb9068hp494f19dlqvhk689b3o/-FJPG/248621-001_DET_9.jpg</t>
  </si>
  <si>
    <t>https://dd3ka9h4chfr8.cloudfront.net/image/725136000567/image_s2585ifmf57ah8icrh024k4e55/-FJPG/248621-001_ESS_2.jpg</t>
  </si>
  <si>
    <t>248644-001</t>
  </si>
  <si>
    <t>A simple, stylish silhouette redefines the classic sectional sofa bed. With knife-edge pillows and high-performance fabric, the sleeper mechanism remains discreetly concealed, allowing for an easy one-step pullout. When unfolded, the sectional cushions form a comfortable bed, perfect for overnight guests or movie nights. No extra mattress necessary. Performance fabrics are specially created to withstand spills, stains, high traffic and wear, ensuring long-term comfort and unmatched durability.</t>
  </si>
  <si>
    <t>https://dd3ka9h4chfr8.cloudfront.net/image/725136000567/image_8qrctb8d5t6cnconq49295hk4d/-S150x150-FJPG/248644-001_PRM_1.jpg</t>
  </si>
  <si>
    <t>https://dd3ka9h4chfr8.cloudfront.net/image/725136000567/image_qe01locqrt3ij276e6t6o2ts2e/-FJPG/248644-001_FRT_1.jpg</t>
  </si>
  <si>
    <t>https://dd3ka9h4chfr8.cloudfront.net/image/725136000567/image_8qrctb8d5t6cnconq49295hk4d/-FJPG/248644-001_PRM_1.jpg</t>
  </si>
  <si>
    <t>https://dd3ka9h4chfr8.cloudfront.net/image/725136000567/image_vi9s4r530t76j2fjic5dfgm143/-FJPG/248644-001_SID_1.jpg</t>
  </si>
  <si>
    <t>https://dd3ka9h4chfr8.cloudfront.net/image/725136000567/image_3dre0apjot071cjncrgredm718/-FJPG/248644-001_ESS.tif</t>
  </si>
  <si>
    <t>https://dd3ka9h4chfr8.cloudfront.net/image/725136000567/image_if1uir8s3p3on3q77f8f0j0s2l/-FJPG/248644-001_DET_2.jpg</t>
  </si>
  <si>
    <t>https://dd3ka9h4chfr8.cloudfront.net/image/725136000567/image_j42au8lu292ulafueajfstpp54/-FJPG/248644-001_BCK_1.jpg</t>
  </si>
  <si>
    <t>https://dd3ka9h4chfr8.cloudfront.net/image/725136000567/image_39c2b4qc6p1ltfomcq9ctdp86g/-FJPG/248644-001_DET_1.jpg</t>
  </si>
  <si>
    <t>https://dd3ka9h4chfr8.cloudfront.net/image/725136000567/image_lv7mdkimoh44ja6nnbumh9p64s/-FJPG/248644-001_DET_3.jpg</t>
  </si>
  <si>
    <t>https://dd3ka9h4chfr8.cloudfront.net/image/725136000567/image_d8gbdr5a4l11r209uosqq3tt28/-FJPG/248644-001_OPN_1.jpg</t>
  </si>
  <si>
    <t>https://dd3ka9h4chfr8.cloudfront.net/image/725136000567/image_l8b5s65gd50dt9qdi6q65pqq3q/-FJPG/248644-001_DET_4.jpg</t>
  </si>
  <si>
    <t>https://dd3ka9h4chfr8.cloudfront.net/image/725136000567/image_1a35vjk8mt7mn8j3k99eqbn161/-FJPG/248644-001_DET_5.jpg</t>
  </si>
  <si>
    <t>https://dd3ka9h4chfr8.cloudfront.net/image/725136000567/image_4ijb5f9ecl4cd4shr7euqk5m45/-FJPG/248644-001_DET_6.jpg</t>
  </si>
  <si>
    <t>https://dd3ka9h4chfr8.cloudfront.net/image/725136000567/image_d6l0rkeobp7i92k1hjse9lfc50/-FJPG/248644-001_DET_7.jpg</t>
  </si>
  <si>
    <t>https://dd3ka9h4chfr8.cloudfront.net/image/725136000567/image_h99fi5dknl0v3fdqkinecju01j/-FJPG/248644-001_DET_8.jpg</t>
  </si>
  <si>
    <t>https://dd3ka9h4chfr8.cloudfront.net/image/725136000567/image_he7k5op0ql0bnd9fqgpaquhp3i/-FJPG/248644-001_DET_9.jpg</t>
  </si>
  <si>
    <t>https://dd3ka9h4chfr8.cloudfront.net/image/725136000567/image_dt0vuf10dd0ddf35pmt0bpjc6j/-FJPG/248644-001_ESS_2.tif</t>
  </si>
  <si>
    <t>1 Laf Chaise</t>
  </si>
  <si>
    <t>248794-001</t>
  </si>
  <si>
    <t>Oman Dining Table - Rustic Black Veneer</t>
  </si>
  <si>
    <t>The timeless Parsons table is reimagined, with a rustic black finish and unique relief detail between the tabletop and apron.</t>
  </si>
  <si>
    <t>https://dd3ka9h4chfr8.cloudfront.net/image/725136000567/image_8thp5tlaa94dl7pmfnjd1opl3r/-S150x150-FJPG/248794-001_PRM_1.jpg</t>
  </si>
  <si>
    <t>https://dd3ka9h4chfr8.cloudfront.net/image/725136000567/image_uqmi9mv7hh6pbf69ggvqjiv16m/-FJPG/248794-001_FRT_1.jpg</t>
  </si>
  <si>
    <t>https://dd3ka9h4chfr8.cloudfront.net/image/725136000567/image_8thp5tlaa94dl7pmfnjd1opl3r/-FJPG/248794-001_PRM_1.jpg</t>
  </si>
  <si>
    <t>https://dd3ka9h4chfr8.cloudfront.net/image/725136000567/image_ijtb0v9qhp3sp93hgbsii0ia6f/-FJPG/248794-001_SID_1.jpg</t>
  </si>
  <si>
    <t>https://dd3ka9h4chfr8.cloudfront.net/image/725136000567/image_oi6pa2l1u10kt8oc8uml3duk7n/-FJPG/248794-001_ESS_1.tif</t>
  </si>
  <si>
    <t>https://dd3ka9h4chfr8.cloudfront.net/image/725136000567/image_kldpliv68d6crdr098i578d76c/-FJPG/248794-001_DET_2.jpg</t>
  </si>
  <si>
    <t>https://dd3ka9h4chfr8.cloudfront.net/image/725136000567/image_op9vactm2d5ercd82qchpq9a29/-FJPG/248794-001_DET_1.jpg</t>
  </si>
  <si>
    <t>https://dd3ka9h4chfr8.cloudfront.net/image/725136000567/image_bcgs95jpep45tdnpu3s8nsnm5v/-FJPG/248794-001_DET_3.jpg</t>
  </si>
  <si>
    <t>https://dd3ka9h4chfr8.cloudfront.net/image/725136000567/image_1hljn456cd38t22ffim81puj70/-FJPG/248794-001_TOP_1.jpg</t>
  </si>
  <si>
    <t>https://dd3ka9h4chfr8.cloudfront.net/image/725136000567/image_00bc834fsl50h8ks6n1uoemd1a/-FJPG/248794-001_DET_4.jpg</t>
  </si>
  <si>
    <t>https://dd3ka9h4chfr8.cloudfront.net/image/725136000567/image_cl295mluv57n75v5sbdop46k7d/-FJPG/248794-001_DET_5.jpg</t>
  </si>
  <si>
    <t>1 Table</t>
  </si>
  <si>
    <t>34.13"</t>
  </si>
  <si>
    <t>88.11"</t>
  </si>
  <si>
    <t>3.56"</t>
  </si>
  <si>
    <t>249260-003</t>
  </si>
  <si>
    <t>Lincoln Sofa - Savoy Parchment</t>
  </si>
  <si>
    <t>With its sleek profile and clean lines, this sofa is designed for effortless comfort and everyday lounging. Thin track arms and loose arm pillows bring a tailored, modern feel, while supportive cushions and S-spring suspension ensure itâ€™s as inviting as it is versatile.</t>
  </si>
  <si>
    <t>https://dd3ka9h4chfr8.cloudfront.net/image/725136000567/image_pf31mj7h2947f02cj95jdvhk7a/-S150x150-FJPG/249260-003_PRM_1.jpg</t>
  </si>
  <si>
    <t>https://dd3ka9h4chfr8.cloudfront.net/image/725136000567/image_jq546r3s7d7dp4ldbnjkbglb25/-FJPG/249260-003_FRT_1.jpg</t>
  </si>
  <si>
    <t>https://dd3ka9h4chfr8.cloudfront.net/image/725136000567/image_pf31mj7h2947f02cj95jdvhk7a/-FJPG/249260-003_PRM_1.jpg</t>
  </si>
  <si>
    <t>https://dd3ka9h4chfr8.cloudfront.net/image/725136000567/image_slt6o4o7up4eh7senuchhqmq5n/-FJPG/249260-003_SID_1.jpg</t>
  </si>
  <si>
    <t>https://dd3ka9h4chfr8.cloudfront.net/image/725136000567/image_jp9akuca4l0tl1c6l55440mj6t/-FJPG/249260-003_ESS.tif</t>
  </si>
  <si>
    <t>https://dd3ka9h4chfr8.cloudfront.net/image/725136000567/image_sumqonjpo57qfaqs7n1fhcia4j/-FJPG/249260-003_DET_2.jpg</t>
  </si>
  <si>
    <t>https://dd3ka9h4chfr8.cloudfront.net/image/725136000567/image_puru4lbupt0nr5eafep9i88j0r/-FJPG/249260-003_BCK_1.jpg</t>
  </si>
  <si>
    <t>https://dd3ka9h4chfr8.cloudfront.net/image/725136000567/image_hgho8bepqh1qt4nt7pd5mnf54r/-FJPG/249260-003_DET_1.jpg</t>
  </si>
  <si>
    <t>https://dd3ka9h4chfr8.cloudfront.net/image/725136000567/image_7ulj1kec5d5u7dlmiitfn3343f/-FJPG/249260-003_DET_3.jpg</t>
  </si>
  <si>
    <t>https://dd3ka9h4chfr8.cloudfront.net/image/725136000567/image_4j4pdudn2d04jf32uaki390p5f/-FJPG/249260-003_DET_4.jpg</t>
  </si>
  <si>
    <t>https://dd3ka9h4chfr8.cloudfront.net/image/725136000567/image_g0og2pnq451u58vpifeh5lc83j/-FJPG/249260-003_DET_9.tif</t>
  </si>
  <si>
    <t>249311-002</t>
  </si>
  <si>
    <t>Rosenell 6 Drawer Dresser - Natural Paper Cord</t>
  </si>
  <si>
    <t>Albert</t>
  </si>
  <si>
    <t>Elevate your bedroom styling with a storage-driven dresser of light, natural oak. A smooth top pairs with six spacious drawers covered with woven paper cord. The result: a clean, Scandinavian-inspired look that will work into your collection beautifully.</t>
  </si>
  <si>
    <t>https://dd3ka9h4chfr8.cloudfront.net/image/725136000567/image_abcj8tk7fl2n7e02qh27cjnc13/-S150x150-FJPG/249311-002_PRM_1.jpg</t>
  </si>
  <si>
    <t>https://dd3ka9h4chfr8.cloudfront.net/image/725136000567/image_d2iu3g4p1t6k38k5mu0areq35p/-FJPG/249311-002_FRT_1.jpg</t>
  </si>
  <si>
    <t>https://dd3ka9h4chfr8.cloudfront.net/image/725136000567/image_abcj8tk7fl2n7e02qh27cjnc13/-FJPG/249311-002_PRM_1.jpg</t>
  </si>
  <si>
    <t>https://dd3ka9h4chfr8.cloudfront.net/image/725136000567/image_khg1m21b3t2ilech28b22g6m4r/-FJPG/249311-002_SID_1.jpg</t>
  </si>
  <si>
    <t>https://dd3ka9h4chfr8.cloudfront.net/image/725136000567/image_3hu5n1fg8t23pb086kvf8qmj4r/-FJPG/249311-002_ESS.tif</t>
  </si>
  <si>
    <t>https://dd3ka9h4chfr8.cloudfront.net/image/725136000567/image_bs5vs3uf6t1ln2mjbgcvun8t7o/-FJPG/249311-002_DET_2.jpg</t>
  </si>
  <si>
    <t>https://dd3ka9h4chfr8.cloudfront.net/image/725136000567/image_i1u4u7sejl4a9d3v9qgvinff0o/-FJPG/249311-002_BCK_1.jpg</t>
  </si>
  <si>
    <t>https://dd3ka9h4chfr8.cloudfront.net/image/725136000567/image_icgm89hjt10n3amdmg5f643g16/-FJPG/249311-002_DET_1.jpg</t>
  </si>
  <si>
    <t>https://dd3ka9h4chfr8.cloudfront.net/image/725136000567/image_dnt68hikft14bbm6qs3dmkff0m/-FJPG/249311-002_DET_3.jpg</t>
  </si>
  <si>
    <t>https://dd3ka9h4chfr8.cloudfront.net/image/725136000567/image_9ge29jttp11qrbsb1etechac34/-FJPG/249311-002_OPN_1.jpg</t>
  </si>
  <si>
    <t>https://dd3ka9h4chfr8.cloudfront.net/image/725136000567/image_5kv0tit0317ilbq1129b6nmf15/-FJPG/249311-002_TOP_1.jpg</t>
  </si>
  <si>
    <t>https://dd3ka9h4chfr8.cloudfront.net/image/725136000567/image_bp9frt9fol687ftge7jf89ef11/-FJPG/249311-002_DET_4.jpg</t>
  </si>
  <si>
    <t>https://dd3ka9h4chfr8.cloudfront.net/image/725136000567/image_c283tse6u935n31ihhume8u51c/-FJPG/249311-002_DET_5.jpg</t>
  </si>
  <si>
    <t>https://dd3ka9h4chfr8.cloudfront.net/image/725136000567/image_5mbu41qbmp35177sulfr531448/-FJPG/249311-002_DET_6.jpg</t>
  </si>
  <si>
    <t>https://dd3ka9h4chfr8.cloudfront.net/image/725136000567/image_080inp95ah54d8hu21q8hab802/-FJPG/249311-002_DET_7.jpg</t>
  </si>
  <si>
    <t>https://dd3ka9h4chfr8.cloudfront.net/image/725136000567/image_d5gnli2n013sn4s1tk1768qf3f/-FJPG/249311-002_DET_9.tif</t>
  </si>
  <si>
    <t>Rosenell</t>
  </si>
  <si>
    <t>4.65"</t>
  </si>
  <si>
    <t>250140-002</t>
  </si>
  <si>
    <t>Miles 5Pc Sectional - Boden Pewter</t>
  </si>
  <si>
    <t>Boden Pewter</t>
  </si>
  <si>
    <t>Modularity at its best â€” and comfiest. Five piece sectional covered in a plush fabric that's luxuriously soft to the touch.</t>
  </si>
  <si>
    <t>https://dd3ka9h4chfr8.cloudfront.net/image/725136000567/image_coi4v5ckbl7s3bglmdedmog162/-S150x150-FJPG/250140-002_PRM_1.jpg</t>
  </si>
  <si>
    <t>https://dd3ka9h4chfr8.cloudfront.net/image/725136000567/image_0llco854l96nl665sf4a5te51l/-FJPG/250140-002_FRT_1.jpg</t>
  </si>
  <si>
    <t>https://dd3ka9h4chfr8.cloudfront.net/image/725136000567/image_coi4v5ckbl7s3bglmdedmog162/-FJPG/250140-002_PRM_1.jpg</t>
  </si>
  <si>
    <t>https://dd3ka9h4chfr8.cloudfront.net/image/725136000567/image_app3eq3ns17qbe5in213bhcc1b/-FJPG/250140-002_SID_1.jpg</t>
  </si>
  <si>
    <t>https://dd3ka9h4chfr8.cloudfront.net/image/725136000567/image_80j21ea3053r99cu1k76shdt71/-FJPG/250140-002_ESS.tif</t>
  </si>
  <si>
    <t>https://dd3ka9h4chfr8.cloudfront.net/image/725136000567/image_6nb741vnhh5rl1cjrcckrpan0k/-FJPG/250140-002_DET_2.jpg</t>
  </si>
  <si>
    <t>https://dd3ka9h4chfr8.cloudfront.net/image/725136000567/image_l5p7g1dou11cv64h5qmtvs4h46/-FJPG/250140-002_BCK_1.jpg</t>
  </si>
  <si>
    <t>https://dd3ka9h4chfr8.cloudfront.net/image/725136000567/image_217aqrfei53u56bmne1qcceh49/-FJPG/250140-002_DET_1.jpg</t>
  </si>
  <si>
    <t>https://dd3ka9h4chfr8.cloudfront.net/image/725136000567/image_bihqhkggd12av3ou4oqotrii6v/-FJPG/250140-002_DET_3.jpg</t>
  </si>
  <si>
    <t>https://dd3ka9h4chfr8.cloudfront.net/image/725136000567/image_k33g3deg6l0578bg8vrjbl1n3i/-FJPG/250140-002_DET_4.jpg</t>
  </si>
  <si>
    <t>https://dd3ka9h4chfr8.cloudfront.net/image/725136000567/image_vrptgqdgsl5l36ld1ssjun2t59/-FJPG/250140-002_DET_5.jpg</t>
  </si>
  <si>
    <t>https://dd3ka9h4chfr8.cloudfront.net/image/725136000567/image_mluh02horp1sb5i7bscmncrm1p/-FJPG/250140-002_DET_6.jpg</t>
  </si>
  <si>
    <t>https://dd3ka9h4chfr8.cloudfront.net/image/725136000567/image_udu922674l21f0stbkh06gse0v/-FJPG/250140-002_DET_7.jpg</t>
  </si>
  <si>
    <t>https://dd3ka9h4chfr8.cloudfront.net/image/725136000567/image_mv5vflrv0d2lt7mm80hapb4831/-FJPG/250140-002_DET_8.jpg</t>
  </si>
  <si>
    <t>Miles</t>
  </si>
  <si>
    <t>59% Polyurethane Foam Pad, 41% Polyester Fiber Batting</t>
  </si>
  <si>
    <t>250177-001</t>
  </si>
  <si>
    <t>Grand 6 Drawer Dresser - Honey  Brown Oak Veneer</t>
  </si>
  <si>
    <t>Honey  Brown Oak Veneer</t>
  </si>
  <si>
    <t>Bring generous storage space to the bedroom with a six-drawer oak dresser. Finished in a light honey brown, to work seamlessly into a wide range of spaces and styles.</t>
  </si>
  <si>
    <t>https://dd3ka9h4chfr8.cloudfront.net/image/725136000567/image_auurrodhhp5r984cgkrv7e3b74/-S150x150-FJPG/250177-001_PRM_1.jpg</t>
  </si>
  <si>
    <t>https://dd3ka9h4chfr8.cloudfront.net/image/725136000567/image_jl0l5ibcip5ef7cq7tg3j5tp1s/-FJPG/250177-001_FRT_1.jpg</t>
  </si>
  <si>
    <t>https://dd3ka9h4chfr8.cloudfront.net/image/725136000567/image_auurrodhhp5r984cgkrv7e3b74/-FJPG/250177-001_PRM_1.jpg</t>
  </si>
  <si>
    <t>https://dd3ka9h4chfr8.cloudfront.net/image/725136000567/image_4hptob4c193kpeglqv5ltrkd7r/-FJPG/250177-001_SID_1.jpg</t>
  </si>
  <si>
    <t>https://dd3ka9h4chfr8.cloudfront.net/image/725136000567/image_u9uf78pe6l47hd5h3n1cqbbd34/-FJPG/250177-001_DET_2.jpg</t>
  </si>
  <si>
    <t>https://dd3ka9h4chfr8.cloudfront.net/image/725136000567/image_fr4q9li3st2ar9pc6dqrd7en0u/-FJPG/250177-001_BCK_1.jpg</t>
  </si>
  <si>
    <t>https://dd3ka9h4chfr8.cloudfront.net/image/725136000567/image_ag1algrku93i14beubl232nl5a/-FJPG/250177-001_OPN_1.jpg</t>
  </si>
  <si>
    <t>https://dd3ka9h4chfr8.cloudfront.net/image/725136000567/image_jukruo2ad54et13umg3t3uqf78/-FJPG/250177-001_DET_5.jpg</t>
  </si>
  <si>
    <t>https://dd3ka9h4chfr8.cloudfront.net/image/725136000567/image_qjunue7skd5ltefntg1i2fo41o/-FJPG/250177-001_DET_6.jpg</t>
  </si>
  <si>
    <t>https://dd3ka9h4chfr8.cloudfront.net/image/725136000567/image_lf4426iuh93ct9695j97fsch1o/-FJPG/250177-001_DET_7.jpg</t>
  </si>
  <si>
    <t>Grand</t>
  </si>
  <si>
    <t>250632-001</t>
  </si>
  <si>
    <t>Wickham Sofa - 86.5" - Alameda Snow</t>
  </si>
  <si>
    <t>A simple, stylish silhouette covers all the bases. Covered in a soft high-performance fabric, this sofa is perfect for everything from afternoon naps to movie nights. Performance fabrics are specially created to withstand spills, stains, high traffic and wear, ensuring long-term comfort and unmatched durability.</t>
  </si>
  <si>
    <t>https://dd3ka9h4chfr8.cloudfront.net/image/725136000567/image_02jtkg043l79p7etuir7ra3336/-S150x150-FJPG/250632-001_PRM_1.jpg</t>
  </si>
  <si>
    <t>https://dd3ka9h4chfr8.cloudfront.net/image/725136000567/image_3rqikabjjp6mh20efpuuk3h96a/-FJPG/250632-001_FRT_1.jpg</t>
  </si>
  <si>
    <t>https://dd3ka9h4chfr8.cloudfront.net/image/725136000567/image_02jtkg043l79p7etuir7ra3336/-FJPG/250632-001_PRM_1.jpg</t>
  </si>
  <si>
    <t>https://dd3ka9h4chfr8.cloudfront.net/image/725136000567/image_jfb4hsdpf17kbcd84qenc7ea3o/-FJPG/250632-001_SID_1.jpg</t>
  </si>
  <si>
    <t>https://dd3ka9h4chfr8.cloudfront.net/image/725136000567/image_1tmsi45ill7ej6bd8a8dldhu1h/-FJPG/250632-001_ESS.tif</t>
  </si>
  <si>
    <t>https://dd3ka9h4chfr8.cloudfront.net/image/725136000567/image_ubfuema2m1529353itch6v6s3d/-FJPG/250632-001_DET_2.jpg</t>
  </si>
  <si>
    <t>https://dd3ka9h4chfr8.cloudfront.net/image/725136000567/image_j6qfdg2qnd3g32dh5kfp9pra54/-FJPG/250632-001_BCK_1.jpg</t>
  </si>
  <si>
    <t>https://dd3ka9h4chfr8.cloudfront.net/image/725136000567/image_dcadgsrpt929v2lr50to7j8i1i/-FJPG/250632-001_DET_1.jpg</t>
  </si>
  <si>
    <t>https://dd3ka9h4chfr8.cloudfront.net/image/725136000567/image_82ctrnm2ch68h9kceln3tc5v18/-FJPG/250632-001_DET_3.jpg</t>
  </si>
  <si>
    <t>https://dd3ka9h4chfr8.cloudfront.net/image/725136000567/image_086aui62j95333jtcfl51tdn0v/-FJPG/250632-001_TOP.jpg</t>
  </si>
  <si>
    <t>https://dd3ka9h4chfr8.cloudfront.net/image/725136000567/image_jt8pvrm4gp5k72eph4bq2lpb08/-FJPG/250632-001_DET_4.jpg</t>
  </si>
  <si>
    <t>https://dd3ka9h4chfr8.cloudfront.net/image/725136000567/image_fnu0mq7tgd1kfd4qs62f384503/-FJPG/250632-001_DET_9.tif</t>
  </si>
  <si>
    <t>73.25"</t>
  </si>
  <si>
    <t>250642-001</t>
  </si>
  <si>
    <t>https://dd3ka9h4chfr8.cloudfront.net/image/725136000567/image_bbd9m9kvg91s3dnnp2pk8ldr49/-S150x150-FJPG/242165-002_PRM_1.jpg</t>
  </si>
  <si>
    <t>https://dd3ka9h4chfr8.cloudfront.net/image/725136000567/image_4m721s9eip1i515scol2uhbe7f/-FJPG/242165-002_FRT_1.jpg</t>
  </si>
  <si>
    <t>https://dd3ka9h4chfr8.cloudfront.net/image/725136000567/image_bbd9m9kvg91s3dnnp2pk8ldr49/-FJPG/242165-002_PRM_1.jpg</t>
  </si>
  <si>
    <t>https://dd3ka9h4chfr8.cloudfront.net/image/725136000567/image_nelgepuh6l73hbqboq9tcb2q3p/-FJPG/242165-002_SID_1.jpg</t>
  </si>
  <si>
    <t>https://dd3ka9h4chfr8.cloudfront.net/image/725136000567/image_lipehpb08l4q3et9v73vb48e0l/-FJPG/242165-002_ESS_1.jpg</t>
  </si>
  <si>
    <t>https://dd3ka9h4chfr8.cloudfront.net/image/725136000567/image_9qslge75ot2cv3n9bbi6f2pc3v/-FJPG/242165-002_DET_2.jpg</t>
  </si>
  <si>
    <t>https://dd3ka9h4chfr8.cloudfront.net/image/725136000567/image_st53fhen796t1dhsvnmfccpj5o/-FJPG/242165-002_BCK_1.jpg</t>
  </si>
  <si>
    <t>https://dd3ka9h4chfr8.cloudfront.net/image/725136000567/image_d1mck8gfhd64be8vktpbaptn40/-FJPG/242165-002_DET_1.jpg</t>
  </si>
  <si>
    <t>https://dd3ka9h4chfr8.cloudfront.net/image/725136000567/image_099hupklod49nb1gemsbpf4o1q/-FJPG/242165-002_DET_3.jpg</t>
  </si>
  <si>
    <t>https://dd3ka9h4chfr8.cloudfront.net/image/725136000567/image_n7i5f4h7a96dregosgeedqej67/-FJPG/242165-002_DET_4.jpg</t>
  </si>
  <si>
    <t>https://dd3ka9h4chfr8.cloudfront.net/image/725136000567/image_l2566dcbet4vdbroa0afq9l616/-FJPG/242165-002_DET_5.jpg</t>
  </si>
  <si>
    <t>https://dd3ka9h4chfr8.cloudfront.net/image/725136000567/image_ns8juf8d2l1a36h93202mcsp2j/-FJPG/242165-002_DET_6.jpg</t>
  </si>
  <si>
    <t>https://dd3ka9h4chfr8.cloudfront.net/image/725136000567/image_bjbhcvtgot791d9tirmcaf6d4h/-FJPG/242165-002_DET_9.jpg</t>
  </si>
  <si>
    <t>Box 1: Hb</t>
  </si>
  <si>
    <t>Box 3: Sr/Slat</t>
  </si>
  <si>
    <t>Box 2: Fb</t>
  </si>
  <si>
    <t>93.90"</t>
  </si>
  <si>
    <t>118.11"</t>
  </si>
  <si>
    <t>250988-001</t>
  </si>
  <si>
    <t>Ping Pong Table - Aged Metal</t>
  </si>
  <si>
    <t>Aged Metal</t>
  </si>
  <si>
    <t>Bleached Guanacaste</t>
  </si>
  <si>
    <t>Handmade by skilled artisans, this one-of-a-kind game features a blend of bleached Guanacaste and metal thatâ€™s been aged through a manual month-long process which uses natural elements to bring unique character to each piece. Includes removable net that attaches and detaches with built-in magnets, plus 4 wood paddles and 4 balls. Designed for 2-4 players.</t>
  </si>
  <si>
    <t>https://dd3ka9h4chfr8.cloudfront.net/image/725136000567/image_ef3e02ddtl4692blom7n4p6r55/-S150x150-FJPG/234228-001_PRM_1.jpg</t>
  </si>
  <si>
    <t>https://dd3ka9h4chfr8.cloudfront.net/image/725136000567/image_ef3e02ddtl4692blom7n4p6r55/-FJPG/234228-001_PRM_1.jpg</t>
  </si>
  <si>
    <t>https://dd3ka9h4chfr8.cloudfront.net/image/725136000567/image_m5qju4uvn53hbb0vptjc31fh04/-FJPG/234228-001_DET_1.jpg</t>
  </si>
  <si>
    <t>https://dd3ka9h4chfr8.cloudfront.net/image/725136000567/image_lv7j39n0fd1vj8t2jgs4ntp848/-FJPG/234228-001_ESS_1.jpg</t>
  </si>
  <si>
    <t>https://dd3ka9h4chfr8.cloudfront.net/image/725136000567/image_nvbi02sk4t24fct9eag94mip56/-FJPG/234228-001_DET_2.jpg</t>
  </si>
  <si>
    <t>https://dd3ka9h4chfr8.cloudfront.net/image/725136000567/image_hgsnlf5ra97175e4gpmuhvc716/-FJPG/234228-001_DET_3.jpg</t>
  </si>
  <si>
    <t>https://dd3ka9h4chfr8.cloudfront.net/image/725136000567/image_td2mrbtdq16qvcasnj8b84u34r/-FJPG/234228-001_DET_4.jpg</t>
  </si>
  <si>
    <t>https://dd3ka9h4chfr8.cloudfront.net/image/725136000567/image_f0c9ld0gj55mjfm2cso01uic61/-FJPG/234228-001_DET_5.jpg</t>
  </si>
  <si>
    <t>https://dd3ka9h4chfr8.cloudfront.net/image/725136000567/image_qnaeosi19h6rj8n04pasqtkj0b/-FJPG/234228-001_DET_6.jpg</t>
  </si>
  <si>
    <t>https://dd3ka9h4chfr8.cloudfront.net/image/725136000567/image_qm629chs9927jfaa4pmerqab2l/-FJPG/234228-001_DET_7.jpg</t>
  </si>
  <si>
    <t>https://dd3ka9h4chfr8.cloudfront.net/image/725136000567/image_5jpccri9mp42d3rh4et6kaih3q/-FJPG/234228-001_DET_8.jpg</t>
  </si>
  <si>
    <t>https://dd3ka9h4chfr8.cloudfront.net/image/725136000567/image_63bjpvbu610g1cg7gfag4ci801/-FJPG/234228-001_DET_9.jpg</t>
  </si>
  <si>
    <t>https://dd3ka9h4chfr8.cloudfront.net/image/725136000567/image_fuv6i820sp3rvehtqmm44asl5l/-FJPG/234228-001_DET_10.jpg</t>
  </si>
  <si>
    <t>https://dd3ka9h4chfr8.cloudfront.net/image/725136000567/image_kb73r1tl0p0291p2e3mh79l67v/-FJPG/234228-001_FRT_1.jpg</t>
  </si>
  <si>
    <t>https://dd3ka9h4chfr8.cloudfront.net/image/725136000567/image_94hjhlc3390nfcj5oqlspuem2c/-FJPG/234228-001_SID_1.jpg</t>
  </si>
  <si>
    <t>https://dd3ka9h4chfr8.cloudfront.net/image/725136000567/image_kurt40r9v56bh7fv83qr9b383g/-FJPG/234228-001_ESS_2.jpg</t>
  </si>
  <si>
    <t>Top + Ping Pong Net</t>
  </si>
  <si>
    <t>Base + Mounting Plate + Paddles + Balls + Hardware</t>
  </si>
  <si>
    <t>Ping Pong</t>
  </si>
  <si>
    <t>40.13"</t>
  </si>
  <si>
    <t>29.38"</t>
  </si>
  <si>
    <t>Table</t>
  </si>
  <si>
    <t>0.38"</t>
  </si>
  <si>
    <t>58.25"</t>
  </si>
  <si>
    <t>250988-002</t>
  </si>
  <si>
    <t>Ping Pong Table - Natural Brown Oyster Guanacaste</t>
  </si>
  <si>
    <t>Natural Brown Oyster Guanacaste</t>
  </si>
  <si>
    <t>Natural Brown Guanacaste</t>
  </si>
  <si>
    <t>Handmade by skilled artisans, this one-of-a-kind game features a beautiful blend of hand-finished Guanacaste wood and metal thatâ€™s been aged through a manual, month-long process using natural elements to bring unique character to each piece. Includes removable net that attaches and detaches with built-in magnets, plus 4 wood paddles and 4 balls. Seats up to 10 as a dinner table; designed for 2-4 players.</t>
  </si>
  <si>
    <t>https://dd3ka9h4chfr8.cloudfront.net/image/725136000567/image_3flqtm1of569p95o2u1k2f144f/-S150x150-FJPG/234228-002_PRM_1.jpg</t>
  </si>
  <si>
    <t>https://dd3ka9h4chfr8.cloudfront.net/image/725136000567/image_3flqtm1of569p95o2u1k2f144f/-FJPG/234228-002_PRM_1.jpg</t>
  </si>
  <si>
    <t>https://dd3ka9h4chfr8.cloudfront.net/image/725136000567/image_4d2a2mc9kh3837vbneqvtvmv5r/-FJPG/234228-002_DET_1.jpg</t>
  </si>
  <si>
    <t>https://dd3ka9h4chfr8.cloudfront.net/image/725136000567/image_reo0moiead16p95jaat4fr5f2b/-FJPG/234228-002_ESS_1.jpg</t>
  </si>
  <si>
    <t>https://dd3ka9h4chfr8.cloudfront.net/image/725136000567/image_7vvqc2a2cl5g7dmsq39ieeej79/-FJPG/234228-002_DET_3.jpg</t>
  </si>
  <si>
    <t>https://dd3ka9h4chfr8.cloudfront.net/image/725136000567/image_vncdvlvmrt1dv7pajhaqc26i3b/-FJPG/234228-002_DET_4.jpg</t>
  </si>
  <si>
    <t>https://dd3ka9h4chfr8.cloudfront.net/image/725136000567/image_ufkv7s92m90tf7uiesolddmt4a/-FJPG/234228-002_DET_5.jpg</t>
  </si>
  <si>
    <t>https://dd3ka9h4chfr8.cloudfront.net/image/725136000567/image_h2pciech9500d80s3d0kngn325/-FJPG/234228-002_DET_6.jpg</t>
  </si>
  <si>
    <t>https://dd3ka9h4chfr8.cloudfront.net/image/725136000567/image_j15nb7m13d783b78pbo8rbkd34/-FJPG/234228-002_DET_7.jpg</t>
  </si>
  <si>
    <t>https://dd3ka9h4chfr8.cloudfront.net/image/725136000567/image_acgijlrnp15fpf7vkrfge6pe5o/-FJPG/234228-002_DET_8.jpg</t>
  </si>
  <si>
    <t>https://dd3ka9h4chfr8.cloudfront.net/image/725136000567/image_qcti8imirt0ntegcnuv5ju1836/-FJPG/234228-002_DET_9.jpg</t>
  </si>
  <si>
    <t>https://dd3ka9h4chfr8.cloudfront.net/image/725136000567/image_p5t56s07vt78p4mri1snhkhh4v/-FJPG/234228-002_FRT_1.jpg</t>
  </si>
  <si>
    <t>https://dd3ka9h4chfr8.cloudfront.net/image/725136000567/image_6bpvgrri6t5nnfq2drrcn1pf1c/-FJPG/234228-002_SID_1.jpg</t>
  </si>
  <si>
    <t>https://dd3ka9h4chfr8.cloudfront.net/image/725136000567/image_73gne4unth5pt3f0c8l2p88t2e/-FJPG/234228-002_TOP_1.jpg</t>
  </si>
  <si>
    <t>https://dd3ka9h4chfr8.cloudfront.net/image/725136000567/image_2ae35bdj011vldhcoh0rsmtv4q/-FJPG/234228-002_ESS_2.jpg</t>
  </si>
  <si>
    <t>https://dd3ka9h4chfr8.cloudfront.net/image/725136000567/image_4oq2o862r153102vai3d1kj30f/-FJPG/234228-002_TOP_2.jpg</t>
  </si>
  <si>
    <t>CABT-10849-092</t>
  </si>
  <si>
    <t>Copeland Chair - Orly Natural</t>
  </si>
  <si>
    <t>A tailored look inspired by modern menswear. Slim, cradled framing of black oak supports neutral grey-toned seating with a subtle herringbone pattern.</t>
  </si>
  <si>
    <t>https://dd3ka9h4chfr8.cloudfront.net/image/725136000567/image_qmmm39ns8d1ej8md8nttvt3t1u/-S150x150-FJPG/CABT-10849-092_PRM_1.jpg</t>
  </si>
  <si>
    <t>https://dd3ka9h4chfr8.cloudfront.net/image/725136000567/image_pbcu8a7k6d4d1cdtm1vrtmch06/-FJPG/CABT-10849-092_FRT_1.jpg</t>
  </si>
  <si>
    <t>https://dd3ka9h4chfr8.cloudfront.net/image/725136000567/image_qmmm39ns8d1ej8md8nttvt3t1u/-FJPG/CABT-10849-092_PRM_1.jpg</t>
  </si>
  <si>
    <t>https://dd3ka9h4chfr8.cloudfront.net/image/725136000567/image_vmsjjnke4d1tj80au7d3pfjs64/-FJPG/CABT-10849-092_SID_1.jpg</t>
  </si>
  <si>
    <t>https://dd3ka9h4chfr8.cloudfront.net/image/725136000567/image_6kvr00rhgl1if8k7qplkbpbc64/-FJPG/CABT-10849-092_DET_2.jpg</t>
  </si>
  <si>
    <t>https://dd3ka9h4chfr8.cloudfront.net/image/725136000567/image_orrfjtm5rd3pbab00g0jen057r/-FJPG/CABT-10849-092_BCK_1.jpg</t>
  </si>
  <si>
    <t>https://dd3ka9h4chfr8.cloudfront.net/image/725136000567/image_564t1f54ap2p775ff86bftoi5k/-FJPG/CABT-10849-092_DET_1.jpg</t>
  </si>
  <si>
    <t>https://dd3ka9h4chfr8.cloudfront.net/image/725136000567/image_38pip9a8a108te7kg5d1sg5p2m/-FJPG/CABT-10849-092_DET_3.jpg</t>
  </si>
  <si>
    <t>https://dd3ka9h4chfr8.cloudfront.net/image/725136000567/image_ldmd72kifl19f1eahiod1c3d3a/-FJPG/CABT-10849-092_DET_4.jpg</t>
  </si>
  <si>
    <t>https://dd3ka9h4chfr8.cloudfront.net/image/725136000567/image_3vehrrqopl1bda6sl77bsfro2d/-FJPG/CABT-10849-092_DET_5.jpg</t>
  </si>
  <si>
    <t>https://dd3ka9h4chfr8.cloudfront.net/image/725136000567/image_nlk99c2j0161dc2piag3t3k73c/-FJPG/CABT-10849-092_ROM_1.jpg</t>
  </si>
  <si>
    <t>CABT-79-40</t>
  </si>
  <si>
    <t>Alexandria Accent Chair - Honey Wheat</t>
  </si>
  <si>
    <t>Honey Wheat</t>
  </si>
  <si>
    <t>Burnt Birch Cane</t>
  </si>
  <si>
    <t>30% Viscose (Rayon)</t>
  </si>
  <si>
    <t>Mid-century modern inspiration with a French twist. Sleek, hand-shaped birch framing is accented by textural woven rattan back.</t>
  </si>
  <si>
    <t>https://dd3ka9h4chfr8.cloudfront.net/image/725136000567/image_qu51m4lldd3mf2mihphe9de76l/-S150x150-FJPG/CABT-79-40_PRM_1.jpg</t>
  </si>
  <si>
    <t>https://dd3ka9h4chfr8.cloudfront.net/image/725136000567/image_2c9204gm5h065f22tnuh57fm13/-FJPG/CABT-79-40_FRT_1.jpg</t>
  </si>
  <si>
    <t>https://dd3ka9h4chfr8.cloudfront.net/image/725136000567/image_qu51m4lldd3mf2mihphe9de76l/-FJPG/CABT-79-40_PRM_1.jpg</t>
  </si>
  <si>
    <t>https://dd3ka9h4chfr8.cloudfront.net/image/725136000567/image_5j2jbs529179jetf4qke7cn67g/-FJPG/CABT-79-40_SID_1.jpg</t>
  </si>
  <si>
    <t>https://dd3ka9h4chfr8.cloudfront.net/image/725136000567/image_l01jpd3s4h5nhfckj4ha7l4m2b/-FJPG/CABT-79-40_DET_2.jpg</t>
  </si>
  <si>
    <t>https://dd3ka9h4chfr8.cloudfront.net/image/725136000567/image_87bjrrg3i16q72je5q75tf8a7b/-FJPG/CABT-79-40_BCK_1.jpg</t>
  </si>
  <si>
    <t>https://dd3ka9h4chfr8.cloudfront.net/image/725136000567/image_ktn2pgdh516tt9527u5ijaje7i/-FJPG/CABT-79-40_DET_1.jpg</t>
  </si>
  <si>
    <t>https://dd3ka9h4chfr8.cloudfront.net/image/725136000567/image_3dpjr0gmed2ch29qku320p3j2h/-FJPG/CABT-79-40_DET_3.jpg</t>
  </si>
  <si>
    <t>https://dd3ka9h4chfr8.cloudfront.net/image/725136000567/image_oh9n8i727h5nfb576oq5o79v4s/-FJPG/CABT-79-40_DET_4.jpg</t>
  </si>
  <si>
    <t>https://dd3ka9h4chfr8.cloudfront.net/image/725136000567/image_c26jcv22ct3g9dt8p0kgchg472/-FJPG/CABT-79-40_DET_5.jpg</t>
  </si>
  <si>
    <t>https://dd3ka9h4chfr8.cloudfront.net/image/725136000567/image_n89jm9sn69139cjdl7q4sojr19/-FJPG/CABT-79-40_DET_6.jpg</t>
  </si>
  <si>
    <t>https://dd3ka9h4chfr8.cloudfront.net/image/725136000567/image_0fu05gru0t5il2ag0o1bdmnn0k/-FJPG/CABT-79-40_ROM_1.jpg</t>
  </si>
  <si>
    <t>Alexandria</t>
  </si>
  <si>
    <t>CABT-79-493</t>
  </si>
  <si>
    <t>Alexandria Accent Chair - Knoll Natural</t>
  </si>
  <si>
    <t>Distressed Natural Cane</t>
  </si>
  <si>
    <t>Mid-century modern inspiration with a French twist. Sleek, hand-shaped parawood framing is accented by a textural woven rattan back.</t>
  </si>
  <si>
    <t>https://dd3ka9h4chfr8.cloudfront.net/image/725136000567/image_lt5cpkjhmp0gv98g9sm07kmh3q/-S150x150-FJPG/CABT-79-493_PRM_1.jpg</t>
  </si>
  <si>
    <t>https://dd3ka9h4chfr8.cloudfront.net/image/725136000567/image_q2i8msafi933vb39h8s0c96o00/-FJPG/CABT-79-493_FRT_1.jpg</t>
  </si>
  <si>
    <t>https://dd3ka9h4chfr8.cloudfront.net/image/725136000567/image_lt5cpkjhmp0gv98g9sm07kmh3q/-FJPG/CABT-79-493_PRM_1.jpg</t>
  </si>
  <si>
    <t>https://dd3ka9h4chfr8.cloudfront.net/image/725136000567/image_45s6ms8bcp1450m2fq4enbfm5k/-FJPG/CABT-79-493_SID_1.jpg</t>
  </si>
  <si>
    <t>https://dd3ka9h4chfr8.cloudfront.net/image/725136000567/image_j4dq9o98th1q34f851lrp8165r/-FJPG/CABT-79-493_ESS_1.jpg</t>
  </si>
  <si>
    <t>https://dd3ka9h4chfr8.cloudfront.net/image/725136000567/image_aavi9lho355gpbv56u17o4bq2p/-FJPG/CABT-79-493_DET_2.jpg</t>
  </si>
  <si>
    <t>https://dd3ka9h4chfr8.cloudfront.net/image/725136000567/image_mk8h873e9152hbtsoibi9rn54o/-FJPG/CABT-79-493_BCK_1.jpg</t>
  </si>
  <si>
    <t>https://dd3ka9h4chfr8.cloudfront.net/image/725136000567/image_djf5rdnunp29v22gdmflo23f2l/-FJPG/CABT-79-493_INF_1.jpg</t>
  </si>
  <si>
    <t>https://dd3ka9h4chfr8.cloudfront.net/image/725136000567/image_2bakcr2ppl4i31b3854p6pme72/-FJPG/CABT-79-493_DET_1.jpg</t>
  </si>
  <si>
    <t>https://dd3ka9h4chfr8.cloudfront.net/image/725136000567/image_kg1b1shpl13hjdrbqlb3f8on3u/-FJPG/CABT-79-493_DET_3.jpg</t>
  </si>
  <si>
    <t>https://dd3ka9h4chfr8.cloudfront.net/image/725136000567/image_ils6eckcmp10r4pepn8n9bt165/-FJPG/CABT-79-493_DET_4.jpg</t>
  </si>
  <si>
    <t>https://dd3ka9h4chfr8.cloudfront.net/image/725136000567/image_ge4cbe2e4h5ef12fva7e7ejc2n/-FJPG/CABT-79-493_DET_5.jpg</t>
  </si>
  <si>
    <t>https://dd3ka9h4chfr8.cloudfront.net/image/725136000567/image_o0q6d520ep0of1l5lifj374v71/-FJPG/CABT-79-493_DET_6.jpg</t>
  </si>
  <si>
    <t>https://dd3ka9h4chfr8.cloudfront.net/image/725136000567/image_igdalod5dh5q1d0ol707h49a62/-FJPG/CABT-79-493_DET_7.jpg</t>
  </si>
  <si>
    <t>CASH-143J-084P</t>
  </si>
  <si>
    <t>Edmon Bench - Savile Flax</t>
  </si>
  <si>
    <t>Savile Flax</t>
  </si>
  <si>
    <t>Mixed materials and open styling allows for versatile placement options. Warm cedar-finished nettlewood forms clean lines to support performance-grade seating in a neutral flax. As perfect for dining as in entryway.</t>
  </si>
  <si>
    <t>https://dd3ka9h4chfr8.cloudfront.net/image/725136000567/image_tfh2620glt7891fsqh1fr8lj0f/-S150x150-FJPG/CASH-143J-084P_PRM_1.jpg</t>
  </si>
  <si>
    <t>https://dd3ka9h4chfr8.cloudfront.net/image/725136000567/image_retfjqsbad7anbuhlkbhbvta0b/-FJPG/CASH-143J-084P_FRT_1.jpg</t>
  </si>
  <si>
    <t>https://dd3ka9h4chfr8.cloudfront.net/image/725136000567/image_tfh2620glt7891fsqh1fr8lj0f/-FJPG/CASH-143J-084P_PRM_1.jpg</t>
  </si>
  <si>
    <t>https://dd3ka9h4chfr8.cloudfront.net/image/725136000567/image_tn1ovl7evh75pbtru37gnhbk7q/-FJPG/CASH-143J-084P_SID_1.jpg</t>
  </si>
  <si>
    <t>https://dd3ka9h4chfr8.cloudfront.net/image/725136000567/image_na74554no13033t1qb130g5m1h/-FJPG/CASH-143J-084P_DET_2.jpg</t>
  </si>
  <si>
    <t>https://dd3ka9h4chfr8.cloudfront.net/image/725136000567/image_11u93ufm9127l3rdj8u774q45u/-FJPG/CASH-143J-084P_INF_1.jpg</t>
  </si>
  <si>
    <t>https://dd3ka9h4chfr8.cloudfront.net/image/725136000567/image_rvmk64sd6l771b3vmvvrd3k20f/-FJPG/CASH-143J-084P_DET_1.jpg</t>
  </si>
  <si>
    <t>https://dd3ka9h4chfr8.cloudfront.net/image/725136000567/image_cf5arae9tt4qpfbs3edc88tc5e/-FJPG/CASH-143J-084P_DET_3.jpg</t>
  </si>
  <si>
    <t>https://dd3ka9h4chfr8.cloudfront.net/image/725136000567/image_rf61jhn5rl04b082bc194c3474/-FJPG/CASH-143J-084P_DET_4.jpg</t>
  </si>
  <si>
    <t>https://dd3ka9h4chfr8.cloudfront.net/image/725136000567/image_a04rfsuml120h71jdss2jo2p1h/-FJPG/CASH-143J-084P_DET_5.jpg</t>
  </si>
  <si>
    <t>https://dd3ka9h4chfr8.cloudfront.net/image/725136000567/image_rm9uq5qin5669b9120j9dd6o1a/-FJPG/CASH-143J-084P_ROM_1.jpg</t>
  </si>
  <si>
    <t>CASH-19955-889</t>
  </si>
  <si>
    <t>Reese Sofa - Eden Sage</t>
  </si>
  <si>
    <t>Eden Sage</t>
  </si>
  <si>
    <t>Effortlessly on-trend. Two-cushion seating of sage top-grain leather, with knife-edge pillows and welted track arms. Almond-finished legs taper for a modern touch atop mid-century influence.</t>
  </si>
  <si>
    <t>https://dd3ka9h4chfr8.cloudfront.net/image/725136000567/image_qoi08r3ll15ol1uas0c6pcfn78/-S150x150-FJPG/CASH-19955-889_PRM_1.jpg</t>
  </si>
  <si>
    <t>https://dd3ka9h4chfr8.cloudfront.net/image/725136000567/image_b026brkfkl3nd9fepf8auuhh7u/-FJPG/CASH-19955-889_FRT_1.jpg</t>
  </si>
  <si>
    <t>https://dd3ka9h4chfr8.cloudfront.net/image/725136000567/image_qoi08r3ll15ol1uas0c6pcfn78/-FJPG/CASH-19955-889_PRM_1.jpg</t>
  </si>
  <si>
    <t>https://dd3ka9h4chfr8.cloudfront.net/image/725136000567/image_mm2tuijvud0r9cb6rq8piseo0k/-FJPG/CASH-19955-889_SID_1.jpg</t>
  </si>
  <si>
    <t>https://dd3ka9h4chfr8.cloudfront.net/image/725136000567/image_7lnknia7ot7993rceli63b3g56/-FJPG/CASH-19955-889_DET_2.jpg</t>
  </si>
  <si>
    <t>https://dd3ka9h4chfr8.cloudfront.net/image/725136000567/image_a4ptj8aaf90136ahr5k481df0t/-FJPG/CASH-19955-889_BCK_1.jpg</t>
  </si>
  <si>
    <t>https://dd3ka9h4chfr8.cloudfront.net/image/725136000567/image_g1ckhiqp5h22tahtshvjk7ao4s/-FJPG/CASH-19955-889_DET_1.jpg</t>
  </si>
  <si>
    <t>https://dd3ka9h4chfr8.cloudfront.net/image/725136000567/image_mgmp47hq2p7lj9ueamdmicjd36/-FJPG/CASH-19955-889_DET_3.jpg</t>
  </si>
  <si>
    <t>https://dd3ka9h4chfr8.cloudfront.net/image/725136000567/image_e8k7o0u4kh137b4c8g6h3bv937/-FJPG/CASH-19955-889_DET_4.jpg</t>
  </si>
  <si>
    <t>https://dd3ka9h4chfr8.cloudfront.net/image/725136000567/image_0vnmkmg6dd0pj3m5fag2md4j4u/-FJPG/CASH-19955-889_DET_5.jpg</t>
  </si>
  <si>
    <t>https://dd3ka9h4chfr8.cloudfront.net/image/725136000567/image_vmfvaua9td0a9ecr0fba6q0d7u/-FJPG/CASH-19955-889_DET_6.jpg</t>
  </si>
  <si>
    <t>https://dd3ka9h4chfr8.cloudfront.net/image/725136000567/image_8hfp2rfeb96sr0h9md2hj34l21/-FJPG/CASH-19955-889_DET_7.jpg</t>
  </si>
  <si>
    <t>https://dd3ka9h4chfr8.cloudfront.net/image/725136000567/image_jsnnam2q555q71s4t9nn79637g/-FJPG/CASH-19955-889_DET_8.jpg</t>
  </si>
  <si>
    <t>https://dd3ka9h4chfr8.cloudfront.net/image/725136000567/image_1vdpbr6m3d57hf9qsi9aukcg0h/-FJPG/CASH-19955-889_ROM_1.jpg</t>
  </si>
  <si>
    <t>https://dd3ka9h4chfr8.cloudfront.net/image/725136000567/image_oah7v6kkql5vd8ae0q85utgh46/-FJPG/CASH-19955-889_VIG_1.jpg</t>
  </si>
  <si>
    <t>CASH-8317-889</t>
  </si>
  <si>
    <t>Braden Chair - Eden Sage</t>
  </si>
  <si>
    <t>Dramatic arms and a deeper seat offer relaxation with mid-century modern sophistication. Sculpted oak framing adds an architectural feel to rich top-grain leather in a mossy sage.</t>
  </si>
  <si>
    <t>https://dd3ka9h4chfr8.cloudfront.net/image/725136000567/image_h2is3bi67h7jtf3besfd281141/-S150x150-FJPG/CASH-8317-889_PRM_1.jpg</t>
  </si>
  <si>
    <t>https://dd3ka9h4chfr8.cloudfront.net/image/725136000567/image_ilfteq7ltt009584urnkndq31l/-FJPG/CASH-8317-889_FRT_1.jpg</t>
  </si>
  <si>
    <t>https://dd3ka9h4chfr8.cloudfront.net/image/725136000567/image_h2is3bi67h7jtf3besfd281141/-FJPG/CASH-8317-889_PRM_1.jpg</t>
  </si>
  <si>
    <t>https://dd3ka9h4chfr8.cloudfront.net/image/725136000567/image_0bc0ddmrm92g58l1em68hsuk4u/-FJPG/CASH-8317-889_SID_1.jpg</t>
  </si>
  <si>
    <t>https://dd3ka9h4chfr8.cloudfront.net/image/725136000567/image_43hss96291101b5p69hkh13h2r/-FJPG/CASH-8317-889_ESS_1.jpg</t>
  </si>
  <si>
    <t>https://dd3ka9h4chfr8.cloudfront.net/image/725136000567/image_dkcvlg7ko53vtc9erqu9hji22d/-FJPG/CASH-8317-889_DET_2.jpg</t>
  </si>
  <si>
    <t>https://dd3ka9h4chfr8.cloudfront.net/image/725136000567/image_b2cue9vvc94s1232qjengfin5e/-FJPG/CASH-8317-889_BCK_1.jpg</t>
  </si>
  <si>
    <t>https://dd3ka9h4chfr8.cloudfront.net/image/725136000567/image_665r6r4mnt37la0gfudn8r962k/-FJPG/CASH-8317-889_DET_1.jpg</t>
  </si>
  <si>
    <t>https://dd3ka9h4chfr8.cloudfront.net/image/725136000567/image_k3iv03vdqh4up4vtgfq70ltm3e/-FJPG/CASH-8317-889_DET_3.jpg</t>
  </si>
  <si>
    <t>https://dd3ka9h4chfr8.cloudfront.net/image/725136000567/image_u3g6stevk12qt2uof4ej9pnc0v/-FJPG/CASH-8317-889_DET_4.jpg</t>
  </si>
  <si>
    <t>https://dd3ka9h4chfr8.cloudfront.net/image/725136000567/image_115ep8n5m57gjdvvn9hsuljn55/-FJPG/CASH-8317-889_DET_5.jpg</t>
  </si>
  <si>
    <t>https://dd3ka9h4chfr8.cloudfront.net/image/725136000567/image_ba30pdmg7168jbvvcn9hrf7o3n/-FJPG/CASH-8317-889_DET_6.jpg</t>
  </si>
  <si>
    <t>https://dd3ka9h4chfr8.cloudfront.net/image/725136000567/image_7712enjkkl6ar7kb6ukm826t4g/-FJPG/CASH-8317-889_ROM_1.jpg</t>
  </si>
  <si>
    <t>Complete Item/ L-Shape</t>
  </si>
  <si>
    <t>CBSH-004-102</t>
  </si>
  <si>
    <t>Silas Chair - Patina Copper</t>
  </si>
  <si>
    <t>Ash Natural</t>
  </si>
  <si>
    <t>A striking silhouette with design-forward details any way you look at it. Top-grain, hand-finished leather sits in a natural ash wood frame held by parachute strapping made of canvas, leather and metal buckles.</t>
  </si>
  <si>
    <t>https://dd3ka9h4chfr8.cloudfront.net/image/725136000567/image_ah2mgls9553l3b9v31joo9ib6j/-S150x150-FJPG/CBSH-004-102_PRM_1.jpg</t>
  </si>
  <si>
    <t>https://dd3ka9h4chfr8.cloudfront.net/image/725136000567/image_vl0bbksp6p36jc08aiesnb5f3d/-FJPG/CBSH-004-102_FRT_1.jpg</t>
  </si>
  <si>
    <t>https://dd3ka9h4chfr8.cloudfront.net/image/725136000567/image_ah2mgls9553l3b9v31joo9ib6j/-FJPG/CBSH-004-102_PRM_1.jpg</t>
  </si>
  <si>
    <t>https://dd3ka9h4chfr8.cloudfront.net/image/725136000567/image_n4f3p76v3h1c7dhm1i2oo26r3c/-FJPG/CBSH-004-102_SID_1.jpg</t>
  </si>
  <si>
    <t>https://dd3ka9h4chfr8.cloudfront.net/image/725136000567/image_vq2t0v18e10tt14s5ha82c446n/-FJPG/CBSH-004-102_ESS_1.jpg</t>
  </si>
  <si>
    <t>https://dd3ka9h4chfr8.cloudfront.net/image/725136000567/image_b5d6d63qa54bt6crigbek51v4h/-FJPG/CBSH-004-102_DET_2.jpg</t>
  </si>
  <si>
    <t>https://dd3ka9h4chfr8.cloudfront.net/image/725136000567/image_u5an5tm4210ap2pl0of6ili738/-FJPG/CBSH-004-102_BCK_1.jpg</t>
  </si>
  <si>
    <t>https://dd3ka9h4chfr8.cloudfront.net/image/725136000567/image_khctbubvld5pp0g10nkq8i4v12/-FJPG/CBSH-004-102_DET_1.jpg</t>
  </si>
  <si>
    <t>https://dd3ka9h4chfr8.cloudfront.net/image/725136000567/image_8ptg9pd8ql16n0hin3s257oc2l/-FJPG/CBSH-004-102_DET_3.jpg</t>
  </si>
  <si>
    <t>https://dd3ka9h4chfr8.cloudfront.net/image/725136000567/image_fjf9hcd5hp0c35mnahbodr3l50/-FJPG/CBSH-004-102_DET_4.jpg</t>
  </si>
  <si>
    <t>https://dd3ka9h4chfr8.cloudfront.net/image/725136000567/image_glv8gf7ach6b9av0qerlfv0c2m/-FJPG/CBSH-004-102_DET_5.jpg</t>
  </si>
  <si>
    <t>https://dd3ka9h4chfr8.cloudfront.net/image/725136000567/image_a9178sehhh34fd4frksf75ft64/-FJPG/CBSH-004-102_DET_6.jpg</t>
  </si>
  <si>
    <t>https://dd3ka9h4chfr8.cloudfront.net/image/725136000567/image_0cq9mqr8od0r1fegqdn6g50d5r/-FJPG/CBSH-004-102_DET_7.jpg</t>
  </si>
  <si>
    <t>https://dd3ka9h4chfr8.cloudfront.net/image/725136000567/image_6sbjc4sb1h6n522nd9jagml90j/-FJPG/CBSH-004-102_ROM_1.jpg</t>
  </si>
  <si>
    <t>https://dd3ka9h4chfr8.cloudfront.net/image/725136000567/image_eb52hj3uad4np5lglprbq92d2p/-FJPG/CBSH-004-102_ROM_2.jpg</t>
  </si>
  <si>
    <t>https://dd3ka9h4chfr8.cloudfront.net/image/725136000567/image_88svjcr7dd7kdfho8g3is4hi1a/-FJPG/CBSH-004-102_SID_2.jpg</t>
  </si>
  <si>
    <t>https://dd3ka9h4chfr8.cloudfront.net/image/725136000567/image_pn5u4nv4gd3pv4d2p88ki23d3a/-FJPG/CBSH-004-102_ROM_3.jpg</t>
  </si>
  <si>
    <t>60% Polyurethane Foam</t>
  </si>
  <si>
    <t xml:space="preserve"> 25% Fiber</t>
  </si>
  <si>
    <t xml:space="preserve"> 15% Duck Feather</t>
  </si>
  <si>
    <t>Silas</t>
  </si>
  <si>
    <t>98% Polyurethane Foam Pad</t>
  </si>
  <si>
    <t xml:space="preserve"> 2% Polyester Fiber Batting</t>
  </si>
  <si>
    <t>CBSH-013-031</t>
  </si>
  <si>
    <t>Aesop Magazine Rack - Patina Brown</t>
  </si>
  <si>
    <t>Room DÃ©cor</t>
  </si>
  <si>
    <t>Decorative Objects</t>
  </si>
  <si>
    <t>Patina Brown</t>
  </si>
  <si>
    <t>Smooth Jet Black</t>
  </si>
  <si>
    <t>Mid-century styling meets modern detail. Brown leather slings from a slim, black metal frame to hold papers and periodicals. Top handle is leather-bound for easy transport. Cross-stitching adds an artisan touch.</t>
  </si>
  <si>
    <t>https://dd3ka9h4chfr8.cloudfront.net/image/725136000567/image_j9ll3v51tp2hd2nocpl7do3g2b/-S150x150-FJPG/CBSH-013-031_PRM_1.jpg</t>
  </si>
  <si>
    <t>https://dd3ka9h4chfr8.cloudfront.net/image/725136000567/image_j9ll3v51tp2hd2nocpl7do3g2b/-FJPG/CBSH-013-031_PRM_1.jpg</t>
  </si>
  <si>
    <t>https://dd3ka9h4chfr8.cloudfront.net/image/725136000567/image_4ok3efu8vd1jt8786e60i4v57i/-FJPG/CBSH-013-031_PRM_2.jpg</t>
  </si>
  <si>
    <t>https://dd3ka9h4chfr8.cloudfront.net/image/725136000567/image_s2jq5vvr1d0kj0ido9c95qtg17/-FJPG/CBSH-013-031_DET_1.jpg</t>
  </si>
  <si>
    <t>https://dd3ka9h4chfr8.cloudfront.net/image/725136000567/image_c8f45ds6ul195dsh7l3i9vqj6g/-FJPG/CBSH-013-031_ESS_1.jpg</t>
  </si>
  <si>
    <t>https://dd3ka9h4chfr8.cloudfront.net/image/725136000567/image_e9ncifuadd4d7e6khio4uubf06/-FJPG/CBSH-013-031_DET_2.jpg</t>
  </si>
  <si>
    <t>https://dd3ka9h4chfr8.cloudfront.net/image/725136000567/image_jum3o6ttsh7s56dlso9qf8335j/-FJPG/CBSH-013-031_DET_3.jpg</t>
  </si>
  <si>
    <t>https://dd3ka9h4chfr8.cloudfront.net/image/725136000567/image_ruamtanm7p2j53mngd850hp55a/-FJPG/CBSH-013-031_DET_4.jpg</t>
  </si>
  <si>
    <t>https://dd3ka9h4chfr8.cloudfront.net/image/725136000567/image_kp72u2l83p7h34vb8ag2rmtm0g/-FJPG/CBSH-013-031_VIG_1.jpg</t>
  </si>
  <si>
    <t>https://dd3ka9h4chfr8.cloudfront.net/image/725136000567/image_332sm6j7h9053bt59ej5jma167/-FJPG/CBSH-013-031_SID_1.jpg</t>
  </si>
  <si>
    <t>https://dd3ka9h4chfr8.cloudfront.net/image/725136000567/image_74hqeq7jp95clbi7u70p90bs6m/-FJPG/CBSH-013-031_FRT_1.jpg</t>
  </si>
  <si>
    <t>Aesop</t>
  </si>
  <si>
    <t>CBSH-024</t>
  </si>
  <si>
    <t>Aliza End Table - Natural Pine</t>
  </si>
  <si>
    <t>Solid natural pine fashions into an hourglass silhouette for an organic look with shapely allure. Makes for a handy extra surface solo or paired. Due to materials' natural essence, cracks are to be expected and may develop over time. Knots, color variance and blue stain will vary from piece to piece - no two are alike.</t>
  </si>
  <si>
    <t>https://dd3ka9h4chfr8.cloudfront.net/image/725136000567/image_vdktbe3rct0fv0jg7n8688sb5a/-S150x150-FJPG/CBSH-024_PRM_1.jpg</t>
  </si>
  <si>
    <t>https://dd3ka9h4chfr8.cloudfront.net/image/725136000567/image_vdktbe3rct0fv0jg7n8688sb5a/-FJPG/CBSH-024_PRM_1.jpg</t>
  </si>
  <si>
    <t>https://dd3ka9h4chfr8.cloudfront.net/image/725136000567/image_dnsbc0trhl2s37vfg64ve1eq5b/-FJPG/CBSH-024_DET_2.jpg</t>
  </si>
  <si>
    <t>https://dd3ka9h4chfr8.cloudfront.net/image/725136000567/image_mq4bcuipop7pn7va4e3ricqu09/-FJPG/CBSH-024_DET_1.jpg</t>
  </si>
  <si>
    <t>https://dd3ka9h4chfr8.cloudfront.net/image/725136000567/image_tur2iq8fgd09tdvkj7pj98oj4l/-FJPG/CBSH-024_DET_3.jpg</t>
  </si>
  <si>
    <t>https://dd3ka9h4chfr8.cloudfront.net/image/725136000567/image_ho44r20m1l79f8q124lkcnf07a/-FJPG/CBSH-024_TOP_1.jpg</t>
  </si>
  <si>
    <t>https://dd3ka9h4chfr8.cloudfront.net/image/725136000567/image_0c77bku0op6lfaqo95mf6p4m1m/-FJPG/CBSH-024_DET_4.jpg</t>
  </si>
  <si>
    <t>https://dd3ka9h4chfr8.cloudfront.net/image/725136000567/image_4pulr4rslt2b5a11b1911kas5u/-FJPG/CBSH-024_DET_5.jpg</t>
  </si>
  <si>
    <t>https://dd3ka9h4chfr8.cloudfront.net/image/725136000567/image_ptl8cdvqnt52t56fliao8egm00/-FJPG/CBSH-024_DET_9.jpg</t>
  </si>
  <si>
    <t>https://dd3ka9h4chfr8.cloudfront.net/image/725136000567/image_83bc1cusd91f50u8i5v5d2e87q/-FJPG/CBSH-024_ROM_1.jpg</t>
  </si>
  <si>
    <t>https://dd3ka9h4chfr8.cloudfront.net/image/725136000567/image_gkqgmfgtj50b37i66mod3shr5u/-FJPG/CBSH-024_ROM_2.jpg</t>
  </si>
  <si>
    <t>https://dd3ka9h4chfr8.cloudfront.net/image/725136000567/image_i2ae77cjq161b0sf2mbcm1iu7s/-FJPG/CBSH-024_VIG_1.jpg</t>
  </si>
  <si>
    <t>CCAR-010W-307</t>
  </si>
  <si>
    <t>Nolita Reverse Stitch Sofa - Natural Washed Sand</t>
  </si>
  <si>
    <t>Natural Washed Sand</t>
  </si>
  <si>
    <t>Sophisticated Italian styling with distinctly casual appeal. Top-grain leather takes on a natural sand color with contrast stitching along the welt.</t>
  </si>
  <si>
    <t>https://dd3ka9h4chfr8.cloudfront.net/image/725136000567/image_dnvssk4f4t7cv9jssinpp27o5u/-S150x150-FJPG/CCAR-010W-307_PRM_1.jpg</t>
  </si>
  <si>
    <t>https://dd3ka9h4chfr8.cloudfront.net/image/725136000567/image_os8kq7ufd53a3cimlcq36nq65i/-FJPG/CCAR-010W-307_FRT_1.jpg</t>
  </si>
  <si>
    <t>https://dd3ka9h4chfr8.cloudfront.net/image/725136000567/image_dnvssk4f4t7cv9jssinpp27o5u/-FJPG/CCAR-010W-307_PRM_1.jpg</t>
  </si>
  <si>
    <t>https://dd3ka9h4chfr8.cloudfront.net/image/725136000567/image_vmbe9ms2rt5kp3qq8m0ndgj92k/-FJPG/CCAR-010W-307_SID_1.jpg</t>
  </si>
  <si>
    <t>https://dd3ka9h4chfr8.cloudfront.net/image/725136000567/image_o3u79sd3rp41b59a7abu5qbc24/-FJPG/CCAR-010W-307_ESS.tif</t>
  </si>
  <si>
    <t>https://dd3ka9h4chfr8.cloudfront.net/image/725136000567/image_netsdc4d0p0jn40fea24v4b737/-FJPG/CCAR-010W-307_DET_2.jpg</t>
  </si>
  <si>
    <t>https://dd3ka9h4chfr8.cloudfront.net/image/725136000567/image_0djh4hohi16ht8p4s1v2hbs36t/-FJPG/CCAR-010W-307_BCK_1.jpg</t>
  </si>
  <si>
    <t>https://dd3ka9h4chfr8.cloudfront.net/image/725136000567/image_i9gna0hrnt1k76qg8pijkc9e1j/-FJPG/CCAR-010W-307_DET_1.jpg</t>
  </si>
  <si>
    <t>https://dd3ka9h4chfr8.cloudfront.net/image/725136000567/image_1sb8cciglp7tndrcjddvva7c4r/-FJPG/CCAR-010W-307_DET_3.jpg</t>
  </si>
  <si>
    <t>https://dd3ka9h4chfr8.cloudfront.net/image/725136000567/image_bkos83n9b921tal56dhqeakn4l/-FJPG/CCAR-010W-307_DET_4.jpg</t>
  </si>
  <si>
    <t>https://dd3ka9h4chfr8.cloudfront.net/image/725136000567/image_rlubqh2mkt19pc8gnseefjjt0f/-FJPG/CCAR-010W-307_DET_5.jpg</t>
  </si>
  <si>
    <t>https://dd3ka9h4chfr8.cloudfront.net/image/725136000567/image_illfalp5pt061cqdd6lncd0a6v/-FJPG/CCAR-010W-307_DET_6.jpg</t>
  </si>
  <si>
    <t>https://dd3ka9h4chfr8.cloudfront.net/image/725136000567/image_e7ct8lk7n95dj68l1fu0q0f46h/-FJPG/CCAR-010W-307_ROM_1.jpg</t>
  </si>
  <si>
    <t>8-Way Hand Tie</t>
  </si>
  <si>
    <t>Nolita</t>
  </si>
  <si>
    <t>40.25"</t>
  </si>
  <si>
    <t>31.10"</t>
  </si>
  <si>
    <t>68% Polyurethane Foam Pad, 32% Polyester Fiber Batting</t>
  </si>
  <si>
    <t>CCAR-22</t>
  </si>
  <si>
    <t>Larkin Club Chair - Cigar</t>
  </si>
  <si>
    <t>Timeless comfort is captured in a favorite chair. Contemporary lines, casual cushioning, and clean track arms are covered in distressed, cigar-toned leather with antique brass nailhead detailing.</t>
  </si>
  <si>
    <t>https://dd3ka9h4chfr8.cloudfront.net/image/725136000567/image_nikhsnd2mp0kj4b6u20c55vs5f/-S150x150-FJPG/CCAR-22_PRM_1.jpg</t>
  </si>
  <si>
    <t>https://dd3ka9h4chfr8.cloudfront.net/image/725136000567/image_a2kr45q5bh1hleko4rvbf2ob4m/-FJPG/CCAR-22_FRT_1.jpg</t>
  </si>
  <si>
    <t>https://dd3ka9h4chfr8.cloudfront.net/image/725136000567/image_nikhsnd2mp0kj4b6u20c55vs5f/-FJPG/CCAR-22_PRM_1.jpg</t>
  </si>
  <si>
    <t>https://dd3ka9h4chfr8.cloudfront.net/image/725136000567/image_ptqmlr0lqp7tpd6p3p4osh0n7o/-FJPG/CCAR-22_SID_1.jpg</t>
  </si>
  <si>
    <t>https://dd3ka9h4chfr8.cloudfront.net/image/725136000567/image_c9a3r2ib8l2kh4ctkua8qc9i7o/-FJPG/CCAR-22_ESS_1.jpg</t>
  </si>
  <si>
    <t>https://dd3ka9h4chfr8.cloudfront.net/image/725136000567/image_chke9b411d3nhbk7j0slcnc43k/-FJPG/CCAR-22_DET_2.jpg</t>
  </si>
  <si>
    <t>https://dd3ka9h4chfr8.cloudfront.net/image/725136000567/image_n0t3m5h4vl573b07288ftabo1b/-FJPG/CCAR-22_BCK_1.jpg</t>
  </si>
  <si>
    <t>https://dd3ka9h4chfr8.cloudfront.net/image/725136000567/image_27f3pfrqlp1fb6231b5id8jf4d/-FJPG/CCAR-22_DET_1.jpg</t>
  </si>
  <si>
    <t>https://dd3ka9h4chfr8.cloudfront.net/image/725136000567/image_oqtinto80t1kpd4knbi06ab11u/-FJPG/CCAR-22_DET_3.jpg</t>
  </si>
  <si>
    <t>78% Polyurethane Foam Pad, 22% Polyester Fiber Batting</t>
  </si>
  <si>
    <t>Larkin</t>
  </si>
  <si>
    <t>39.37"</t>
  </si>
  <si>
    <t>83% Polyurethane Foam Pad, 17% Polyester Fiber Batting</t>
  </si>
  <si>
    <t>CCAR-24</t>
  </si>
  <si>
    <t>Larkin Sofa - Cigar</t>
  </si>
  <si>
    <t>Timeless comfort. Contemporary lines, casual cushioning, and clean track arms are covered in distressed, cigar-toned leather with antique brass nailhead detailing.</t>
  </si>
  <si>
    <t>https://dd3ka9h4chfr8.cloudfront.net/image/725136000567/image_hqtgkhmsp97m9463po0ujk9p73/-S150x150-FJPG/CCAR-24_PRM_1.jpg</t>
  </si>
  <si>
    <t>https://dd3ka9h4chfr8.cloudfront.net/image/725136000567/image_uj14rm2krh2ff3036d69j22a1v/-FJPG/CCAR-24_FRT_1.jpg</t>
  </si>
  <si>
    <t>https://dd3ka9h4chfr8.cloudfront.net/image/725136000567/image_hqtgkhmsp97m9463po0ujk9p73/-FJPG/CCAR-24_PRM_1.jpg</t>
  </si>
  <si>
    <t>https://dd3ka9h4chfr8.cloudfront.net/image/725136000567/image_glolb6edhp0kl5e2go2iblri7r/-FJPG/CCAR-24_SID_1.jpg</t>
  </si>
  <si>
    <t>https://dd3ka9h4chfr8.cloudfront.net/image/725136000567/image_h9jmptcp457sf6l5lm3vgank2g/-FJPG/CCAR-24_DET_2.jpg</t>
  </si>
  <si>
    <t>https://dd3ka9h4chfr8.cloudfront.net/image/725136000567/image_2omm8v8t6p7cbdihoalgrr7a6i/-FJPG/CCAR-24_BCK_1.jpg</t>
  </si>
  <si>
    <t>https://dd3ka9h4chfr8.cloudfront.net/image/725136000567/image_6ikabfskqh0ul8tppnh1ljsn5m/-FJPG/CCAR-24_DET_1.jpg</t>
  </si>
  <si>
    <t>https://dd3ka9h4chfr8.cloudfront.net/image/725136000567/image_nnbrbfg7mp0grdefo77or9b911/-FJPG/CCAR-24_DET_3.jpg</t>
  </si>
  <si>
    <t>https://dd3ka9h4chfr8.cloudfront.net/image/725136000567/image_81inev7ndp3rlaguom21rc8v4e/-FJPG/CCAR-24_ROM_1.jpg</t>
  </si>
  <si>
    <t>https://dd3ka9h4chfr8.cloudfront.net/image/725136000567/image_ggi1ddjeol66j4qi326thi8b71/-FJPG/CCAR-24_ROM_2.jpg</t>
  </si>
  <si>
    <t>https://dd3ka9h4chfr8.cloudfront.net/image/725136000567/image_3jp60l31090ov2krj8u96ekt7t/-FJPG/CCAR-24_ROM_3.jpg</t>
  </si>
  <si>
    <t>https://dd3ka9h4chfr8.cloudfront.net/image/725136000567/image_3t2v1qvbf90lf3up4is0auvh3a/-FJPG/CCAR-24_ROM_4.jpg</t>
  </si>
  <si>
    <t>61.81"</t>
  </si>
  <si>
    <t>88% Polyurethane Foam Pad, 12% Polyester Fiber Batting</t>
  </si>
  <si>
    <t>35.63"</t>
  </si>
  <si>
    <t>30.11"</t>
  </si>
  <si>
    <t>61.96"</t>
  </si>
  <si>
    <t>CCAR-25</t>
  </si>
  <si>
    <t>https://dd3ka9h4chfr8.cloudfront.net/image/725136000567/image_mvnmqsh9a16pr9lkoum5m4e86q/-S150x150-FJPG/CCAR-25_PRM_1.jpg</t>
  </si>
  <si>
    <t>https://dd3ka9h4chfr8.cloudfront.net/image/725136000567/image_ehu5po5er10j5end9mjl4pef4c/-FJPG/CCAR-25_FRT_1.jpg</t>
  </si>
  <si>
    <t>https://dd3ka9h4chfr8.cloudfront.net/image/725136000567/image_mvnmqsh9a16pr9lkoum5m4e86q/-FJPG/CCAR-25_PRM_1.jpg</t>
  </si>
  <si>
    <t>https://dd3ka9h4chfr8.cloudfront.net/image/725136000567/image_627747qrf14sj6k0oae0gkfi7j/-FJPG/CCAR-25_SID_1.jpg</t>
  </si>
  <si>
    <t>https://dd3ka9h4chfr8.cloudfront.net/image/725136000567/image_d0e335visp2kl8qd4muu85qd0o/-FJPG/CCAR-25_DET_2.jpg</t>
  </si>
  <si>
    <t>https://dd3ka9h4chfr8.cloudfront.net/image/725136000567/image_m4kf0v6tpt4ml7usdj7ks1rc5b/-FJPG/CCAR-25_BCK_1.jpg</t>
  </si>
  <si>
    <t>https://dd3ka9h4chfr8.cloudfront.net/image/725136000567/image_p7e1dith0p5dr4hsss245duu6r/-FJPG/CCAR-25_DET_1.jpg</t>
  </si>
  <si>
    <t>https://dd3ka9h4chfr8.cloudfront.net/image/725136000567/image_lq2nk3801943n90uo6phlja03e/-FJPG/CCAR-25_ROM_1.jpg</t>
  </si>
  <si>
    <t>39.17"</t>
  </si>
  <si>
    <t>76% Polyurethane Foam Pad, 24% Polyester Fiber Batting</t>
  </si>
  <si>
    <t>43.90"</t>
  </si>
  <si>
    <t>78.50"</t>
  </si>
  <si>
    <t>77% Polyurethane Foam Pad, 23% Polyester Fiber Batting</t>
  </si>
  <si>
    <t>CCAR-36</t>
  </si>
  <si>
    <t>Conrad Sofa - Cigar</t>
  </si>
  <si>
    <t>This dramatic Chesterfield sofa has a grand, men's club feel. Saddle-toned, top-grain leather is lovingly aged â€” an effect that will intensify beautifully in time.</t>
  </si>
  <si>
    <t>https://dd3ka9h4chfr8.cloudfront.net/image/725136000567/image_3ao3mub7n949l9q3245o4i5350/-S150x150-FJPG/CCAR-36_PRM_1.jpg</t>
  </si>
  <si>
    <t>https://dd3ka9h4chfr8.cloudfront.net/image/725136000567/image_j7fku4q4h576v1nlbdd4ek4c5u/-FJPG/CCAR-36_FRT_1.jpg</t>
  </si>
  <si>
    <t>https://dd3ka9h4chfr8.cloudfront.net/image/725136000567/image_3ao3mub7n949l9q3245o4i5350/-FJPG/CCAR-36_PRM_1.jpg</t>
  </si>
  <si>
    <t>https://dd3ka9h4chfr8.cloudfront.net/image/725136000567/image_k0e825s8v51t5b3554djj6rm1l/-FJPG/CCAR-36_SID_1.jpg</t>
  </si>
  <si>
    <t>https://dd3ka9h4chfr8.cloudfront.net/image/725136000567/image_u0kpj43qj97hn7r12mrut59m1g/-FJPG/CCAR-36_DET_2.jpg</t>
  </si>
  <si>
    <t>https://dd3ka9h4chfr8.cloudfront.net/image/725136000567/image_05er1rv6p93653bik2ee2uje17/-FJPG/CCAR-36_BCK_1.jpg</t>
  </si>
  <si>
    <t>https://dd3ka9h4chfr8.cloudfront.net/image/725136000567/image_83ev9pfv750kpcsv7cvcj6562q/-FJPG/CCAR-36_DET_1.jpg</t>
  </si>
  <si>
    <t>https://dd3ka9h4chfr8.cloudfront.net/image/725136000567/image_4umitua3l53tn0om3nl8vhki4p/-FJPG/CCAR-36_DET_3.jpg</t>
  </si>
  <si>
    <t>85% Polyurethane Foam Pad, 15% Polyester Fiber</t>
  </si>
  <si>
    <t>Conrad</t>
  </si>
  <si>
    <t>38.58"</t>
  </si>
  <si>
    <t>94% Polyurethane Foam Pad, 6% Polyester Fiber Batting</t>
  </si>
  <si>
    <t>360-degree spin</t>
  </si>
  <si>
    <t>CCAR-36-OSB</t>
  </si>
  <si>
    <t>Conrad Sofa - Rider Black</t>
  </si>
  <si>
    <t>Rider Black</t>
  </si>
  <si>
    <t>This dramatic Chesterfield sofa has a grand, men's club feel. Black saddle-toned, top-grain leather is lovingly aged â€” an effect that will intensify beautifully in time.</t>
  </si>
  <si>
    <t>https://dd3ka9h4chfr8.cloudfront.net/image/725136000567/image_j1l932ue0956rdm04h2pa4hv6i/-S150x150-FJPG/CCAR-36-OSB_PRM_1.jpg</t>
  </si>
  <si>
    <t>https://dd3ka9h4chfr8.cloudfront.net/image/725136000567/image_2q9unhgt712u384ejvcr00lr0h/-FJPG/CCAR-36-OSB_FRT_1.jpg</t>
  </si>
  <si>
    <t>https://dd3ka9h4chfr8.cloudfront.net/image/725136000567/image_j1l932ue0956rdm04h2pa4hv6i/-FJPG/CCAR-36-OSB_PRM_1.jpg</t>
  </si>
  <si>
    <t>https://dd3ka9h4chfr8.cloudfront.net/image/725136000567/image_dkmdrpiqpt777053ioh1stdv3s/-FJPG/CCAR-36-OSB_SID_1.jpg</t>
  </si>
  <si>
    <t>https://dd3ka9h4chfr8.cloudfront.net/image/725136000567/image_sk61m8t17t6j34r2rn5vtl4f6g/-FJPG/CCAR-36-OSB_DET_2.jpg</t>
  </si>
  <si>
    <t>https://dd3ka9h4chfr8.cloudfront.net/image/725136000567/image_8gn5gsbvot79t003posri4ru3j/-FJPG/CCAR-36-OSB_BCK_1.jpg</t>
  </si>
  <si>
    <t>https://dd3ka9h4chfr8.cloudfront.net/image/725136000567/image_ln68llrt2h39p9iv934ibmse7k/-FJPG/CCAR-36-OSB_DET_1.jpg</t>
  </si>
  <si>
    <t>https://dd3ka9h4chfr8.cloudfront.net/image/725136000567/image_a75oghi44549faop4ujqifro5c/-FJPG/CCAR-36-OSB_DET_3.jpg</t>
  </si>
  <si>
    <t>CGRY-013-092</t>
  </si>
  <si>
    <t>Augustine Sofa - Orly Natural</t>
  </si>
  <si>
    <t>A dramatically channeled sofa with textural grey upholstery offers a clean look inspired by modern menswear.</t>
  </si>
  <si>
    <t>https://dd3ka9h4chfr8.cloudfront.net/image/725136000567/image_kvn9de5dtp1djae9uf8dnmrt30/-S150x150-FJPG/CGRY-013-092_PRM_1.jpg</t>
  </si>
  <si>
    <t>https://dd3ka9h4chfr8.cloudfront.net/image/725136000567/image_8garr7kfvh3s114hmeaakaf437/-FJPG/CGRY-013-092_FRT_1.jpg</t>
  </si>
  <si>
    <t>https://dd3ka9h4chfr8.cloudfront.net/image/725136000567/image_kvn9de5dtp1djae9uf8dnmrt30/-FJPG/CGRY-013-092_PRM_1.jpg</t>
  </si>
  <si>
    <t>https://dd3ka9h4chfr8.cloudfront.net/image/725136000567/image_s7l8q9135l6dr12g2se4ldm64s/-FJPG/CGRY-013-092_SID_1.jpg</t>
  </si>
  <si>
    <t>https://dd3ka9h4chfr8.cloudfront.net/image/725136000567/image_prtfqur5n13o9f86i7rete3s2o/-FJPG/CGRY-013-092_ESS_1.jpg</t>
  </si>
  <si>
    <t>https://dd3ka9h4chfr8.cloudfront.net/image/725136000567/image_2vr5943co56sb2ib2d3g1pbo27/-FJPG/CGRY-013-092_BCK_1.jpg</t>
  </si>
  <si>
    <t>https://dd3ka9h4chfr8.cloudfront.net/image/725136000567/image_u7vjt9clpl5jj0ss57u4q94t3v/-FJPG/CGRY-013-092_TOP_1.jpg</t>
  </si>
  <si>
    <t>CGRY-013-213</t>
  </si>
  <si>
    <t>A dramatically channeled sofa with white linen-blend upholstery offers a crisp, clean look and sumptuous sit.</t>
  </si>
  <si>
    <t>https://dd3ka9h4chfr8.cloudfront.net/image/725136000567/image_ch17vb2ln93htatfkbsmg8gt2e/-S150x150-FJPG/CGRY-013-213_PRM_1.jpg</t>
  </si>
  <si>
    <t>https://dd3ka9h4chfr8.cloudfront.net/image/725136000567/image_jsqhfekoqt7a1163undvhodj5f/-FJPG/CGRY-013-213_FRT_1.jpg</t>
  </si>
  <si>
    <t>https://dd3ka9h4chfr8.cloudfront.net/image/725136000567/image_ch17vb2ln93htatfkbsmg8gt2e/-FJPG/CGRY-013-213_PRM_1.jpg</t>
  </si>
  <si>
    <t>https://dd3ka9h4chfr8.cloudfront.net/image/725136000567/image_p4c7is79st14f0db2utlgqmm0r/-FJPG/CGRY-013-213_SID_1.jpg</t>
  </si>
  <si>
    <t>https://dd3ka9h4chfr8.cloudfront.net/image/725136000567/image_3vs1isf1sp4udbcegavhjgnv5u/-FJPG/CGRY-013-213_ESS_1.jpg</t>
  </si>
  <si>
    <t>https://dd3ka9h4chfr8.cloudfront.net/image/725136000567/image_g0abu3i9r91f11vlul9j9rkn04/-FJPG/CGRY-013-213_BCK_1.jpg</t>
  </si>
  <si>
    <t>https://dd3ka9h4chfr8.cloudfront.net/image/725136000567/image_cqj6oo2kth371egvgh3tf7lp6j/-FJPG/CGRY-013-213_INF_1.jpg</t>
  </si>
  <si>
    <t>https://dd3ka9h4chfr8.cloudfront.net/image/725136000567/image_9qsololjol199f77h6s9kj895b/-FJPG/CGRY-013-213_TOP_1.jpg</t>
  </si>
  <si>
    <t>https://dd3ka9h4chfr8.cloudfront.net/image/725136000567/image_oup1euh5lh1tv3gb3sv3m0l30l/-FJPG/CGRY-013-213_ROM_1.jpg</t>
  </si>
  <si>
    <t>CGRY-013-660</t>
  </si>
  <si>
    <t>Augustine Sofa - Deacon Wolf</t>
  </si>
  <si>
    <t>Luxurious top-grain leather seating takes on a deep brown hue with dramatic channeling, for trend-forward texture and sumptuous sit.</t>
  </si>
  <si>
    <t>https://dd3ka9h4chfr8.cloudfront.net/image/725136000567/image_ej209ptvf551jfkq72q8j8tv68/-S150x150-FJPG/CGRY-013-660_PRM_1.jpg</t>
  </si>
  <si>
    <t>https://dd3ka9h4chfr8.cloudfront.net/image/725136000567/image_7637mckp5l0sra3ihfuec52e4p/-FJPG/CGRY-013-660_FRT_1.jpg</t>
  </si>
  <si>
    <t>https://dd3ka9h4chfr8.cloudfront.net/image/725136000567/image_ej209ptvf551jfkq72q8j8tv68/-FJPG/CGRY-013-660_PRM_1.jpg</t>
  </si>
  <si>
    <t>https://dd3ka9h4chfr8.cloudfront.net/image/725136000567/image_reaurfnd4t527bj20pr260d02q/-FJPG/CGRY-013-660_SID_1.jpg</t>
  </si>
  <si>
    <t>https://dd3ka9h4chfr8.cloudfront.net/image/725136000567/image_gladqn8cph6h99pleol4cmc958/-FJPG/CGRY-013-660_ESS_1.jpg</t>
  </si>
  <si>
    <t>https://dd3ka9h4chfr8.cloudfront.net/image/725136000567/image_c6a4cv6i6p20132jp1npug9717/-FJPG/CGRY-013-660_BCK_1.jpg</t>
  </si>
  <si>
    <t>https://dd3ka9h4chfr8.cloudfront.net/image/725136000567/image_1pfgk0lhr523nafrjb5ugfld5i/-FJPG/CGRY-013-660_TOP_1.jpg</t>
  </si>
  <si>
    <t>https://dd3ka9h4chfr8.cloudfront.net/image/725136000567/image_v07u9i6ngp5fnch1h6ibqvfg5c/-FJPG/CGRY-013-660_ROM_2.jpg</t>
  </si>
  <si>
    <t>CGRY-02407-867P</t>
  </si>
  <si>
    <t>Luna Chaise - Capri Oatmeal</t>
  </si>
  <si>
    <t>Capri Oatmeal</t>
  </si>
  <si>
    <t>Inspired by Italian design. Four Hands-exclusive high-performance boucle strikes a sultry S shape, with cone-tapered brown oak legs adding to this sculptural chaiseâ€™s classic look. Dual pillows measure 17â€ x 6â€ x 17â€.</t>
  </si>
  <si>
    <t>https://dd3ka9h4chfr8.cloudfront.net/image/725136000567/image_n2kn7rcop10j3236qhotuike4v/-S150x150-FJPG/CGRY-02407-867P_PRM_1.jpg</t>
  </si>
  <si>
    <t>https://dd3ka9h4chfr8.cloudfront.net/image/725136000567/image_2aeo49qg7518dc4o0gouebv60m/-FJPG/CGRY-02407-867P_FRT_1.jpg</t>
  </si>
  <si>
    <t>https://dd3ka9h4chfr8.cloudfront.net/image/725136000567/image_n2kn7rcop10j3236qhotuike4v/-FJPG/CGRY-02407-867P_PRM_1.jpg</t>
  </si>
  <si>
    <t>https://dd3ka9h4chfr8.cloudfront.net/image/725136000567/image_j93mjca3dt2rnc3eij811f1e0s/-FJPG/CGRY-02407-867P_SID_1.jpg</t>
  </si>
  <si>
    <t>https://dd3ka9h4chfr8.cloudfront.net/image/725136000567/image_jsagm0aqf54f5a2t72sj48l129/-FJPG/CGRY-02407-867P_ESS_1.jpg</t>
  </si>
  <si>
    <t>https://dd3ka9h4chfr8.cloudfront.net/image/725136000567/image_lks5j6o9ll1lp86ki92ajilj41/-FJPG/105774-002_ESS_1.jpg</t>
  </si>
  <si>
    <t>https://dd3ka9h4chfr8.cloudfront.net/image/725136000567/image_4u44smubnd5id345pjsgvun50v/-FJPG/CGRY-02407-867P_DET_2.jpg</t>
  </si>
  <si>
    <t>https://dd3ka9h4chfr8.cloudfront.net/image/725136000567/image_5a77uurp6t46dau2qpm7m8982h/-FJPG/CGRY-02407-867P_BCK_1.jpg</t>
  </si>
  <si>
    <t>https://dd3ka9h4chfr8.cloudfront.net/image/725136000567/image_8k610kpgo17kf7pkobhonmna11/-FJPG/CGRY-02407-867P_INF_1.jpg</t>
  </si>
  <si>
    <t>https://dd3ka9h4chfr8.cloudfront.net/image/725136000567/image_l7te9rv6l979l86jpqcf7iiq6p/-FJPG/CGRY-02407-867P_DET_1.jpg</t>
  </si>
  <si>
    <t>https://dd3ka9h4chfr8.cloudfront.net/image/725136000567/image_5pnu3c9q3h01105a73hbivsk7l/-FJPG/CGRY-02407-867P_DET_3.jpg</t>
  </si>
  <si>
    <t>https://dd3ka9h4chfr8.cloudfront.net/image/725136000567/image_r303t04lcp66j6b0ht9t9np265/-FJPG/CGRY-02407-867P_DET_4.jpg</t>
  </si>
  <si>
    <t>https://dd3ka9h4chfr8.cloudfront.net/image/725136000567/image_9fsar8en6t33n9sdr6pvpja206/-FJPG/CGRY-02407-867P_DET_5.jpg</t>
  </si>
  <si>
    <t>https://dd3ka9h4chfr8.cloudfront.net/image/725136000567/image_bes8hluldl1eb3611n2k2sld65/-FJPG/CGRY-02407-867P_DET_6.jpg</t>
  </si>
  <si>
    <t>Luna</t>
  </si>
  <si>
    <t>CIMP-134B</t>
  </si>
  <si>
    <t>Powell Dining Table - Bluestone</t>
  </si>
  <si>
    <t>Classic tulip shaping is recast with a rustic black iron finish. Bistro style perfectly sized for a cozy breakfast nook. White mineral lines and subtle color, texture and pattern variations are to be expected and speak to each stone's individual nature.</t>
  </si>
  <si>
    <t>https://dd3ka9h4chfr8.cloudfront.net/image/725136000567/image_0bc5svrldd7vpddcpqjq28rm79/-S150x150-FJPG/CIMP-134B_PRM_1.jpg</t>
  </si>
  <si>
    <t>https://dd3ka9h4chfr8.cloudfront.net/image/725136000567/image_0bc5svrldd7vpddcpqjq28rm79/-FJPG/CIMP-134B_PRM_1.jpg</t>
  </si>
  <si>
    <t>https://dd3ka9h4chfr8.cloudfront.net/image/725136000567/image_4gdmamtrkd1kd61msegi87l068/-FJPG/CIMP-134B_DET_2.jpg</t>
  </si>
  <si>
    <t>https://dd3ka9h4chfr8.cloudfront.net/image/725136000567/image_upjhco7a4912vfuvaj151ue93m/-FJPG/CIMP-134B_INF_1.jpg</t>
  </si>
  <si>
    <t>https://dd3ka9h4chfr8.cloudfront.net/image/725136000567/image_0nm8kge62l6khetqobl2fsga09/-FJPG/CIMP-134B_DET_1.jpg</t>
  </si>
  <si>
    <t>https://dd3ka9h4chfr8.cloudfront.net/image/725136000567/image_ta7a7jki6h65pce2eu0uuivg5q/-FJPG/CIMP-134B_DET_3.jpg</t>
  </si>
  <si>
    <t>https://dd3ka9h4chfr8.cloudfront.net/image/725136000567/image_o53i7lc84h7052ubt7bgvv2i1m/-FJPG/CIMP-134B_TOP_1.jpg</t>
  </si>
  <si>
    <t>https://dd3ka9h4chfr8.cloudfront.net/image/725136000567/image_pop3lot57t3f33696m6gdpj57e/-FJPG/CIMP-134B_DET_4.jpg</t>
  </si>
  <si>
    <t>https://dd3ka9h4chfr8.cloudfront.net/image/725136000567/image_4154o1sm557et6fq6c3795262s/-FJPG/CIMP-134B_DET_5.jpg</t>
  </si>
  <si>
    <t>CIMP-134C</t>
  </si>
  <si>
    <t>Powell Dining Table - White Marble</t>
  </si>
  <si>
    <t>Mixed materials make the table. Classic tulip shaping is recast with a rustic black iron base and rounded top of white marble. Bistro style perfectly sized for a cozy breakfast nook.</t>
  </si>
  <si>
    <t>https://dd3ka9h4chfr8.cloudfront.net/image/725136000567/image_ljimggg4gd4pbccb74jhsira35/-S150x150-FJPG/CIMP-134C_PRM_1.jpg</t>
  </si>
  <si>
    <t>https://dd3ka9h4chfr8.cloudfront.net/image/725136000567/image_ljimggg4gd4pbccb74jhsira35/-FJPG/CIMP-134C_PRM_1.jpg</t>
  </si>
  <si>
    <t>https://dd3ka9h4chfr8.cloudfront.net/image/725136000567/image_jk62197j3t5fb6sisj3a9os96l/-FJPG/CIMP-134C_ESS_1.jpg</t>
  </si>
  <si>
    <t>https://dd3ka9h4chfr8.cloudfront.net/image/725136000567/image_fl37l7elm57d97047g160mv60l/-FJPG/CIMP-134C_DET_2.jpg</t>
  </si>
  <si>
    <t>https://dd3ka9h4chfr8.cloudfront.net/image/725136000567/image_td08sn5q6d5lv731u2504nn57p/-FJPG/CIMP-134C_DET_1.jpg</t>
  </si>
  <si>
    <t>https://dd3ka9h4chfr8.cloudfront.net/image/725136000567/image_phaj23vl5946n2pcim6puq5c27/-FJPG/CIMP-134C_DET_3.jpg</t>
  </si>
  <si>
    <t>https://dd3ka9h4chfr8.cloudfront.net/image/725136000567/image_ud5iau8n5l09tdd4t35mbbdo6d/-FJPG/CIMP-134C_DET_4.jpg</t>
  </si>
  <si>
    <t>https://dd3ka9h4chfr8.cloudfront.net/image/725136000567/image_6tnpk01k7l08d9sr92shk5041k/-FJPG/CIMP-134C_VIG_1.jpg</t>
  </si>
  <si>
    <t>CIMP-181</t>
  </si>
  <si>
    <t>Corin End Table - Bluestone</t>
  </si>
  <si>
    <t>Powder Black</t>
  </si>
  <si>
    <t>A classic tripod base of powder black-finished iron supports a rounded bluestone top, adding elegance to slim, simple styling. White mineral lines and subtle color, texture and pattern variations are to be expected and speak to each stone's individual nature.</t>
  </si>
  <si>
    <t>https://dd3ka9h4chfr8.cloudfront.net/image/725136000567/image_1b41no5n1l4rp9acs96d0s7o4c/-S150x150-FJPG/CIMP-181_PRM_1.jpg</t>
  </si>
  <si>
    <t>https://dd3ka9h4chfr8.cloudfront.net/image/725136000567/image_1b41no5n1l4rp9acs96d0s7o4c/-FJPG/CIMP-181_PRM_1.jpg</t>
  </si>
  <si>
    <t>https://dd3ka9h4chfr8.cloudfront.net/image/725136000567/image_13teban9tl2q10auksjgdosi2q/-FJPG/CIMP-181_BCK_1.jpg</t>
  </si>
  <si>
    <t>https://dd3ka9h4chfr8.cloudfront.net/image/725136000567/image_a1ruhe3pm1185eb8g5bq2rnj6f/-FJPG/CIMP-181_INF_1.jpg</t>
  </si>
  <si>
    <t>https://dd3ka9h4chfr8.cloudfront.net/image/725136000567/image_9t88j4uo6l5clftocdu3gscg2m/-FJPG/CIMP-181_DET_1.jpg</t>
  </si>
  <si>
    <t>https://dd3ka9h4chfr8.cloudfront.net/image/725136000567/image_he6pvoe6nt2td1ohvdci6pqs2n/-FJPG/CIMP-181_DET_6.jpg</t>
  </si>
  <si>
    <t>https://dd3ka9h4chfr8.cloudfront.net/image/725136000567/image_9alssruv294p3d9ln34v5l2777/-FJPG/CIMP-181_ROM_1.jpg</t>
  </si>
  <si>
    <t>https://dd3ka9h4chfr8.cloudfront.net/image/725136000567/image_267gr30rgh5mndl4av89dk7p4e/-FJPG/CIMP-181_ROM_2.jpg</t>
  </si>
  <si>
    <t>Corin</t>
  </si>
  <si>
    <t>CIMP-193</t>
  </si>
  <si>
    <t>https://dd3ka9h4chfr8.cloudfront.net/image/725136000567/image_r64srai5216qh9ba37kf6r5d0o/-S150x150-FJPG/CIMP-193_PRM_1.jpg</t>
  </si>
  <si>
    <t>https://dd3ka9h4chfr8.cloudfront.net/image/725136000567/image_v4vu7pbgsl1ah4711ubh5g2j4m/-FJPG/CIMP-193_FRT_1.jpg</t>
  </si>
  <si>
    <t>https://dd3ka9h4chfr8.cloudfront.net/image/725136000567/image_r64srai5216qh9ba37kf6r5d0o/-FJPG/CIMP-193_PRM_1.jpg</t>
  </si>
  <si>
    <t>https://dd3ka9h4chfr8.cloudfront.net/image/725136000567/image_2r32vvrdl91cj937q8pk707p3d/-FJPG/CIMP-193_SID_1.jpg</t>
  </si>
  <si>
    <t>https://dd3ka9h4chfr8.cloudfront.net/image/725136000567/image_klug3n1c2l6cb4bc8t05fcnq0a/-FJPG/CIMP-193_DET_2.jpg</t>
  </si>
  <si>
    <t>https://dd3ka9h4chfr8.cloudfront.net/image/725136000567/image_gsu3edce4p1o1004orupcnsc3n/-FJPG/CIMP-193_DET_1.jpg</t>
  </si>
  <si>
    <t>https://dd3ka9h4chfr8.cloudfront.net/image/725136000567/image_61ebm2b62p5lf6ab75tpn8s27a/-FJPG/CIMP-193_DET_3.jpg</t>
  </si>
  <si>
    <t>https://dd3ka9h4chfr8.cloudfront.net/image/725136000567/image_icn4mqru8l5mbav2rtd7qamf6b/-FJPG/CIMP-193_TOP_1.jpg</t>
  </si>
  <si>
    <t>https://dd3ka9h4chfr8.cloudfront.net/image/725136000567/image_isqs7bccjd0s738am5jpk5he6j/-FJPG/CIMP-193_DET_4.jpg</t>
  </si>
  <si>
    <t>CIMP-193B</t>
  </si>
  <si>
    <t>Mixed materials make the table. Classic tulip shaping is recast with a rustic black iron base and rounded top of white marble.</t>
  </si>
  <si>
    <t>https://dd3ka9h4chfr8.cloudfront.net/image/725136000567/image_5e4sdjh7dl6ut2mr9s5evftv4d/-S150x150-FJPG/CIMP-193B_PRM_1.jpg</t>
  </si>
  <si>
    <t>https://dd3ka9h4chfr8.cloudfront.net/image/725136000567/image_5e4sdjh7dl6ut2mr9s5evftv4d/-FJPG/CIMP-193B_PRM_1.jpg</t>
  </si>
  <si>
    <t>https://dd3ka9h4chfr8.cloudfront.net/image/725136000567/image_8bhvseghil0dr84jbhlq7hsu3s/-FJPG/CIMP-193B_ESS_1.jpg</t>
  </si>
  <si>
    <t>https://dd3ka9h4chfr8.cloudfront.net/image/725136000567/image_vd8ehl7ue56bl8v9mvbcm3l55g/-FJPG/CIMP-193B_DET_2.jpg</t>
  </si>
  <si>
    <t>https://dd3ka9h4chfr8.cloudfront.net/image/725136000567/image_pfk0tarljp329dvsfpo9nc3l0g/-FJPG/CIMP-193B_DET_1.jpg</t>
  </si>
  <si>
    <t>https://dd3ka9h4chfr8.cloudfront.net/image/725136000567/image_kkudl3rf0l1cv5tulhi7oonn61/-FJPG/CIMP-193B_DET_3.jpg</t>
  </si>
  <si>
    <t>https://dd3ka9h4chfr8.cloudfront.net/image/725136000567/image_0k82qcj7at707ahsd58gk3f11e/-FJPG/CIMP-193B_DET_4.jpg</t>
  </si>
  <si>
    <t>https://dd3ka9h4chfr8.cloudfront.net/image/725136000567/image_bp5ui7461d3a1b9avj0lrnjt25/-FJPG/CIMP-193B_ROM_1.jpg</t>
  </si>
  <si>
    <t>CIMP-193C</t>
  </si>
  <si>
    <t>Classic tulip shaping is recast with a rustic black iron finish, for an industrial look and feminine feel. White mineral lines and subtle color, texture and pattern variations are to be expected and speak to each stone's individual nature.</t>
  </si>
  <si>
    <t>https://dd3ka9h4chfr8.cloudfront.net/image/725136000567/image_9mjpvj5hfh3n9c9ctok5v3is10/-S150x150-FJPG/CIMP-193C_PRM_1.jpg</t>
  </si>
  <si>
    <t>https://dd3ka9h4chfr8.cloudfront.net/image/725136000567/image_9mjpvj5hfh3n9c9ctok5v3is10/-FJPG/CIMP-193C_PRM_1.jpg</t>
  </si>
  <si>
    <t>https://dd3ka9h4chfr8.cloudfront.net/image/725136000567/image_dc67pn1rn16jt35p92mic0uf00/-FJPG/CIMP-193C_ESS_1.jpg</t>
  </si>
  <si>
    <t>https://dd3ka9h4chfr8.cloudfront.net/image/725136000567/image_h2f5el5khd33jd205824fijc1t/-FJPG/CIMP-193C_DET_2.jpg</t>
  </si>
  <si>
    <t>https://dd3ka9h4chfr8.cloudfront.net/image/725136000567/image_n5bor0rih501l4t657krom8h0k/-FJPG/CIMP-193C_INF_1.jpg</t>
  </si>
  <si>
    <t>https://dd3ka9h4chfr8.cloudfront.net/image/725136000567/image_knf5mkpoid3nt8t800crrqra5d/-FJPG/CIMP-193C_DET_1.jpg</t>
  </si>
  <si>
    <t>https://dd3ka9h4chfr8.cloudfront.net/image/725136000567/image_qc1g5m67hd2a97b0ptvq9fgn5p/-FJPG/CIMP-193C_DET_3.jpg</t>
  </si>
  <si>
    <t>https://dd3ka9h4chfr8.cloudfront.net/image/725136000567/image_uqu6cbo8j51vn8n89e7bhln74m/-FJPG/CIMP-193C_DET_4.jpg</t>
  </si>
  <si>
    <t>https://dd3ka9h4chfr8.cloudfront.net/image/725136000567/image_1gfh6mdb6h1m10ig0d82rc3b77/-FJPG/CIMP-193C_VIG_2.jpg</t>
  </si>
  <si>
    <t>CIMP-205</t>
  </si>
  <si>
    <t>Spider Console Table - Bright Brass Clad</t>
  </si>
  <si>
    <t>Bright Brass Clad</t>
  </si>
  <si>
    <t>Light Rustic Black</t>
  </si>
  <si>
    <t>Sandy Oak</t>
  </si>
  <si>
    <t>Atomic lines in rustic black iron support a brass-clad table top framed in sandy oak. Woodblock details accent and warm a dramatically angled, industrial base.</t>
  </si>
  <si>
    <t>https://dd3ka9h4chfr8.cloudfront.net/image/725136000567/image_61td7h1nat3c92dml00hj7au15/-S150x150-FJPG/CIMP-205_PRM_1.jpg</t>
  </si>
  <si>
    <t>https://dd3ka9h4chfr8.cloudfront.net/image/725136000567/image_kcmbgtcko93njersc9camepk0b/-FJPG/CIMP-205_FRT_1.jpg</t>
  </si>
  <si>
    <t>https://dd3ka9h4chfr8.cloudfront.net/image/725136000567/image_61td7h1nat3c92dml00hj7au15/-FJPG/CIMP-205_PRM_1.jpg</t>
  </si>
  <si>
    <t>https://dd3ka9h4chfr8.cloudfront.net/image/725136000567/image_vasppafhid27f6hpetf8r5lp6a/-FJPG/CIMP-205_SID_1.jpg</t>
  </si>
  <si>
    <t>https://dd3ka9h4chfr8.cloudfront.net/image/725136000567/image_933sqo8iap62hc93cgbtmh9k0d/-FJPG/CIMP-205_DET_2.jpg</t>
  </si>
  <si>
    <t>https://dd3ka9h4chfr8.cloudfront.net/image/725136000567/image_807o2hq80549l1niaelc8od521/-FJPG/CIMP-205_DET_1.jpg</t>
  </si>
  <si>
    <t>https://dd3ka9h4chfr8.cloudfront.net/image/725136000567/image_g5q0f9rqkh03v59m66p203lf67/-FJPG/CIMP-205_DET_3.jpg</t>
  </si>
  <si>
    <t>https://dd3ka9h4chfr8.cloudfront.net/image/725136000567/image_fosfk11hql1dv897qc3uhgsu5v/-FJPG/CIMP-205_TOP_1.jpg</t>
  </si>
  <si>
    <t>https://dd3ka9h4chfr8.cloudfront.net/image/725136000567/image_3ko3k6092d7hhe63ul49a2dq5g/-FJPG/CIMP-205_DET_4.jpg</t>
  </si>
  <si>
    <t>https://dd3ka9h4chfr8.cloudfront.net/image/725136000567/image_3v0jrsiev14q1962j4hjthcc2a/-FJPG/CIMP-205_DET_5.jpg</t>
  </si>
  <si>
    <t>https://dd3ka9h4chfr8.cloudfront.net/image/725136000567/image_4ifqrt434d159enffql883tn4g/-FJPG/CIMP-205_ROM_1.jpg</t>
  </si>
  <si>
    <t>Spider</t>
  </si>
  <si>
    <t>11.40"</t>
  </si>
  <si>
    <t>51.25"</t>
  </si>
  <si>
    <t>1.10"</t>
  </si>
  <si>
    <t>CIMP-209</t>
  </si>
  <si>
    <t>Cybil Sideboard - Dark Walnut</t>
  </si>
  <si>
    <t>Dark Walnut</t>
  </si>
  <si>
    <t>Polished Brass</t>
  </si>
  <si>
    <t>Antique Mirror</t>
  </si>
  <si>
    <t>Ornate detailing places a trend-forward spin on streamlined shaping. Dark walnut encases glass doors of antique mirror with a honeycomb pattern, adding artistic intrigue to statement storage. Stainless steel hardware is finished in polished brass for a look of effortless sophistication.</t>
  </si>
  <si>
    <t>https://dd3ka9h4chfr8.cloudfront.net/image/725136000567/image_spgscndblt1v94v22mi3ah996o/-S150x150-FJPG/CIMP-209_PRM_1.jpg</t>
  </si>
  <si>
    <t>https://dd3ka9h4chfr8.cloudfront.net/image/725136000567/image_6gfnejhgip19f3s80u742vr34u/-FJPG/CIMP-209_FRT_1.jpg</t>
  </si>
  <si>
    <t>https://dd3ka9h4chfr8.cloudfront.net/image/725136000567/image_spgscndblt1v94v22mi3ah996o/-FJPG/CIMP-209_PRM_1.jpg</t>
  </si>
  <si>
    <t>https://dd3ka9h4chfr8.cloudfront.net/image/725136000567/image_fmpq0h2inp1659oa985nen495l/-FJPG/CIMP-209_SID_1.jpg</t>
  </si>
  <si>
    <t>https://dd3ka9h4chfr8.cloudfront.net/image/725136000567/image_oiiu4655494t1a2545e33mq90c/-FJPG/CIMP-209_ESS_1.jpg</t>
  </si>
  <si>
    <t>https://dd3ka9h4chfr8.cloudfront.net/image/725136000567/image_jcjknfsi0106vfb6jie78auf6l/-FJPG/CIMP-209_DET_2.jpg</t>
  </si>
  <si>
    <t>https://dd3ka9h4chfr8.cloudfront.net/image/725136000567/image_l2rumvq5pt4vb06f6u0a2jhr3h/-FJPG/CIMP-209_DET_1.jpg</t>
  </si>
  <si>
    <t>https://dd3ka9h4chfr8.cloudfront.net/image/725136000567/image_cg1au644d10jt5i79bg7khfv1p/-FJPG/CIMP-209_OPN_1.jpg</t>
  </si>
  <si>
    <t>https://dd3ka9h4chfr8.cloudfront.net/image/725136000567/image_chvs710c1h0b9b5joj0po3c054/-FJPG/CIMP-209_ROM_1.jpg</t>
  </si>
  <si>
    <t>https://dd3ka9h4chfr8.cloudfront.net/image/725136000567/image_r0qvns5rtd6g76gu6b143hsa1l/-FJPG/CIMP-209_ROM_2.jpg</t>
  </si>
  <si>
    <t>Cybil</t>
  </si>
  <si>
    <t>CIMP-C52-BO</t>
  </si>
  <si>
    <t>Durham Dining Table - Waxed Bleached Reclaimed Pine</t>
  </si>
  <si>
    <t>Waxed Bleached Reclaimed Pine</t>
  </si>
  <si>
    <t>Turned trestle legs and a thick, honey-finished pine table top create a fine-dining focal point. Reclaimed woods are bleached to remove years of paint and stain, then finished with a neutral stain, soft lacquer, and layers of wax.</t>
  </si>
  <si>
    <t>https://dd3ka9h4chfr8.cloudfront.net/image/725136000567/image_jgcqimliqh4qt2dfkjtgf27l7c/-S150x150-FJPG/CIMP-C52-BO_PRM_1.jpg</t>
  </si>
  <si>
    <t>https://dd3ka9h4chfr8.cloudfront.net/image/725136000567/image_6ue7bujtkh2fb7qakvnov2sm0r/-FJPG/CIMP-C52-BO_FRT_1.jpg</t>
  </si>
  <si>
    <t>https://dd3ka9h4chfr8.cloudfront.net/image/725136000567/image_jgcqimliqh4qt2dfkjtgf27l7c/-FJPG/CIMP-C52-BO_PRM_1.jpg</t>
  </si>
  <si>
    <t>https://dd3ka9h4chfr8.cloudfront.net/image/725136000567/image_k5ncahn9el2a906rii8dkt2960/-FJPG/CIMP-C52-BO_SID_1.jpg</t>
  </si>
  <si>
    <t>https://dd3ka9h4chfr8.cloudfront.net/image/725136000567/image_fhnm4nf2mt09r2r5nqdtso4l16/-FJPG/CIMP-C52-BO_ESS_1.jpg</t>
  </si>
  <si>
    <t>https://dd3ka9h4chfr8.cloudfront.net/image/725136000567/image_3ddvqcakj17056lvbd6e1ves4p/-FJPG/CIMP-C52-BO_DET_2.jpg</t>
  </si>
  <si>
    <t>https://dd3ka9h4chfr8.cloudfront.net/image/725136000567/image_kd58anu1ah7o57s4mepa2bq821/-FJPG/CIMP-C52-BO_DET_1.jpg</t>
  </si>
  <si>
    <t>https://dd3ka9h4chfr8.cloudfront.net/image/725136000567/image_qel1q1clep47754utrpr8tpb6n/-FJPG/CIMP-C52-BO_DET_3.jpg</t>
  </si>
  <si>
    <t>https://dd3ka9h4chfr8.cloudfront.net/image/725136000567/image_ca1hd182j13qp696333r827r0v/-FJPG/CIMP-C52-BO_ROM_1.jpg</t>
  </si>
  <si>
    <t>https://dd3ka9h4chfr8.cloudfront.net/image/725136000567/image_354an25q9d5ah178jdcli4182c/-FJPG/CIMP-C52-BO_ROM_2.jpg</t>
  </si>
  <si>
    <t>https://dd3ka9h4chfr8.cloudfront.net/image/725136000567/image_q0adrbts616ibfb1potevv0o7t/-FJPG/CIMP-C52-BO_ROM_3.jpg</t>
  </si>
  <si>
    <t>Durham</t>
  </si>
  <si>
    <t>74.02"</t>
  </si>
  <si>
    <t>87.40"</t>
  </si>
  <si>
    <t>CIRD-144</t>
  </si>
  <si>
    <t>Oxford Accent Stool - Rialto Ebony</t>
  </si>
  <si>
    <t>Traditional library style meets modern sensibilities. Blind-tufted, top-grain leather tops float inside an antique brass Parsons base with cage-like detailing.</t>
  </si>
  <si>
    <t>https://dd3ka9h4chfr8.cloudfront.net/image/725136000567/image_2ubneoprnp4h3fqid6gdmoar5d/-S150x150-FJPG/CIRD-144_PRM_1.jpg</t>
  </si>
  <si>
    <t>https://dd3ka9h4chfr8.cloudfront.net/image/725136000567/image_9cs7nfo0nl7mb3livbkjj13q1i/-FJPG/CIRD-144_FRT_1.jpg</t>
  </si>
  <si>
    <t>https://dd3ka9h4chfr8.cloudfront.net/image/725136000567/image_2ubneoprnp4h3fqid6gdmoar5d/-FJPG/CIRD-144_PRM_1.jpg</t>
  </si>
  <si>
    <t>https://dd3ka9h4chfr8.cloudfront.net/image/725136000567/image_s3lnj2ecql5lr0kb3dilvfog3p/-FJPG/CIRD-144_SID_1.jpg</t>
  </si>
  <si>
    <t>https://dd3ka9h4chfr8.cloudfront.net/image/725136000567/image_44529nu1d53udcg34fr409mg39/-FJPG/CIRD-144_DET_2.jpg</t>
  </si>
  <si>
    <t>https://dd3ka9h4chfr8.cloudfront.net/image/725136000567/image_ef5m5us1915cpau0lu49ua982k/-FJPG/CIRD-144_DET_1.jpg</t>
  </si>
  <si>
    <t>https://dd3ka9h4chfr8.cloudfront.net/image/725136000567/image_62vplkj42t74f8ladn8lj8lm7j/-FJPG/CIRD-144_DET_3.jpg</t>
  </si>
  <si>
    <t>https://dd3ka9h4chfr8.cloudfront.net/image/725136000567/image_gcoctiaa8p4lv2vdj5ojrea524/-FJPG/CIRD-144_GRP_1.jpg</t>
  </si>
  <si>
    <t>https://dd3ka9h4chfr8.cloudfront.net/image/725136000567/image_er1pcvfuct4036ia7jb28p8s25/-FJPG/CIRD-144_DET_4.jpg</t>
  </si>
  <si>
    <t>97% Polyurethane Foam Pad, 3% Polyester Fiber Batting</t>
  </si>
  <si>
    <t>CIRD-158</t>
  </si>
  <si>
    <t>Oxford Small Coffee Table - Rialto Ebony</t>
  </si>
  <si>
    <t>https://dd3ka9h4chfr8.cloudfront.net/image/725136000567/image_otgccqredl6i9eallij13uj557/-S150x150-FJPG/CIRD-158_PRM_1.jpg</t>
  </si>
  <si>
    <t>https://dd3ka9h4chfr8.cloudfront.net/image/725136000567/image_r85ic9bmnh2k3fm1kblq1iua2b/-FJPG/CIRD-158_FRT_1.jpg</t>
  </si>
  <si>
    <t>https://dd3ka9h4chfr8.cloudfront.net/image/725136000567/image_otgccqredl6i9eallij13uj557/-FJPG/CIRD-158_PRM_1.jpg</t>
  </si>
  <si>
    <t>https://dd3ka9h4chfr8.cloudfront.net/image/725136000567/image_c1os1j8me54vpe17i1v164576r/-FJPG/CIRD-158_SID_1.jpg</t>
  </si>
  <si>
    <t>https://dd3ka9h4chfr8.cloudfront.net/image/725136000567/image_9ul9sl8hcd5ij0nrhemgbr0908/-FJPG/CIRD-158_DET_2.jpg</t>
  </si>
  <si>
    <t>https://dd3ka9h4chfr8.cloudfront.net/image/725136000567/image_s1dkh05jcd44323m0evgf7gq2n/-FJPG/CIRD-158_DET_1.jpg</t>
  </si>
  <si>
    <t>https://dd3ka9h4chfr8.cloudfront.net/image/725136000567/image_f0rj8gc25t1df3d0gplhdtr05n/-FJPG/CIRD-158_DET_3.jpg</t>
  </si>
  <si>
    <t>32.09"</t>
  </si>
  <si>
    <t>CIRD-35237-B2</t>
  </si>
  <si>
    <t>Leigh Upholstered Bed - Palm Ecru</t>
  </si>
  <si>
    <t>Palm Ecru</t>
  </si>
  <si>
    <t>Distressed Brown</t>
  </si>
  <si>
    <t>85% Polyester</t>
  </si>
  <si>
    <t>67% Polyurethane</t>
  </si>
  <si>
    <t>30% Polyester</t>
  </si>
  <si>
    <t>3% Rayon</t>
  </si>
  <si>
    <t>Safari styling gets a modern reboot. Linen-blend upholstery of neutral taupe lays a texture-rich base for a forward-thinking bedroom look. Brown leather straps secure decorative headboard pillows, suspended for eye-catching effect. Box spring required.</t>
  </si>
  <si>
    <t>https://dd3ka9h4chfr8.cloudfront.net/image/725136000567/image_k8d2s6a0p54m1aejhv6sk2s97a/-S150x150-FJPG/CIRD-35237-B2_PRM_1.jpg</t>
  </si>
  <si>
    <t>https://dd3ka9h4chfr8.cloudfront.net/image/725136000567/image_7u0qm517t17s1eaf6cj29ddq7r/-FJPG/CIRD-35237-B2_FRT_1.jpg</t>
  </si>
  <si>
    <t>https://dd3ka9h4chfr8.cloudfront.net/image/725136000567/image_k8d2s6a0p54m1aejhv6sk2s97a/-FJPG/CIRD-35237-B2_PRM_1.jpg</t>
  </si>
  <si>
    <t>https://dd3ka9h4chfr8.cloudfront.net/image/725136000567/image_2464k8vmch447cli9mfrdao61h/-FJPG/CIRD-35237-B2_SID_1.jpg</t>
  </si>
  <si>
    <t>https://dd3ka9h4chfr8.cloudfront.net/image/725136000567/image_prl7hg2jvd133ah7p8jlhtad2o/-FJPG/CIRD-35237-B2_DET_2.jpg</t>
  </si>
  <si>
    <t>https://dd3ka9h4chfr8.cloudfront.net/image/725136000567/image_i6fe7l95fp3vp6up0l7apr0023/-FJPG/CIRD-35237-B2_DET_1.jpg</t>
  </si>
  <si>
    <t>https://dd3ka9h4chfr8.cloudfront.net/image/725136000567/image_bko6qshq216ap4a3pfdlt7k33t/-FJPG/CIRD-35237-B2_DET_3.jpg</t>
  </si>
  <si>
    <t>https://dd3ka9h4chfr8.cloudfront.net/image/725136000567/image_qcu582shpp2m54nkfk2nhg2n1j/-FJPG/CIRD-35237-B2_DET_4.jpg</t>
  </si>
  <si>
    <t>https://dd3ka9h4chfr8.cloudfront.net/image/725136000567/image_8qbms1msot2v548fo2os9k0e3f/-FJPG/CIRD-35237-B2_DET_5.jpg</t>
  </si>
  <si>
    <t>https://dd3ka9h4chfr8.cloudfront.net/image/725136000567/image_44lcipeqgd04pftd9uv2lfhk4i/-FJPG/CIRD-35237-B2_ROM_1.jpg</t>
  </si>
  <si>
    <t>https://dd3ka9h4chfr8.cloudfront.net/image/725136000567/image_5ar3eafmc57a38t7nvu6rkbl75/-FJPG/CIRD-35237-B2_ROM_2.jpg</t>
  </si>
  <si>
    <t>CIRD-35237K-999</t>
  </si>
  <si>
    <t>Leigh Upholstered Bed - San Remo Ash</t>
  </si>
  <si>
    <t>San Remo Ash</t>
  </si>
  <si>
    <t>15% Polyurethane Fibre</t>
  </si>
  <si>
    <t>Safari styling gets a modern reboot. Linen-blend upholstery of ash grey lays a texture-rich base for a forward-thinking bedroom look. Black leather straps secure decorative headboard pillows, suspended for eye-catching effect. Box spring required.</t>
  </si>
  <si>
    <t>https://dd3ka9h4chfr8.cloudfront.net/image/725136000567/image_viv1c9rlmp6bv0mhaehshr1o58/-S150x150-FJPG/CIRD-35237K-999_PRM_1.jpg</t>
  </si>
  <si>
    <t>https://dd3ka9h4chfr8.cloudfront.net/image/725136000567/image_4um08d3mst7lv6e5lc958gef0d/-FJPG/CIRD-35237K-999_FRT_1.jpg</t>
  </si>
  <si>
    <t>https://dd3ka9h4chfr8.cloudfront.net/image/725136000567/image_viv1c9rlmp6bv0mhaehshr1o58/-FJPG/CIRD-35237K-999_PRM_1.jpg</t>
  </si>
  <si>
    <t>https://dd3ka9h4chfr8.cloudfront.net/image/725136000567/image_kkgc851lmh1hbd3771v9c6ug5e/-FJPG/CIRD-35237K-999_SID_1.jpg</t>
  </si>
  <si>
    <t>https://dd3ka9h4chfr8.cloudfront.net/image/725136000567/image_ol9fq8slct69r04ij7dfq26s66/-FJPG/CIRD-35237K-999_DET_2.jpg</t>
  </si>
  <si>
    <t>https://dd3ka9h4chfr8.cloudfront.net/image/725136000567/image_o3ohq7d0j151rbbks7gq42ut6j/-FJPG/CIRD-35237K-999_DET_1.jpg</t>
  </si>
  <si>
    <t>https://dd3ka9h4chfr8.cloudfront.net/image/725136000567/image_hq3kr3u1pp5kj7lecspsoioq6d/-FJPG/CIRD-35237K-999_DET_3.jpg</t>
  </si>
  <si>
    <t>https://dd3ka9h4chfr8.cloudfront.net/image/725136000567/image_lcvu5i0ev97dpa10l96bf4fp6r/-FJPG/CIRD-35237K-999_DET_4.jpg</t>
  </si>
  <si>
    <t>https://dd3ka9h4chfr8.cloudfront.net/image/725136000567/image_mquc4j9mr95cp5kbajqo0d5e7u/-FJPG/CIRD-35237K-999_DET_5.jpg</t>
  </si>
  <si>
    <t>https://dd3ka9h4chfr8.cloudfront.net/image/725136000567/image_q3m3thtd7p5p1fovfv3qfcj41s/-FJPG/CIRD-35237K-999_DET_6.jpg</t>
  </si>
  <si>
    <t>CIRD-35237K-B2</t>
  </si>
  <si>
    <t>https://dd3ka9h4chfr8.cloudfront.net/image/725136000567/image_3sbn69ra2l30p3hkgrrcb9c74a/-S150x150-FJPG/CIRD-35237K-B2_PRM_1.jpg</t>
  </si>
  <si>
    <t>https://dd3ka9h4chfr8.cloudfront.net/image/725136000567/image_dt1vj7huhh09hel7j6ikte1577/-FJPG/CIRD-35237K-B2_FRT_1.jpg</t>
  </si>
  <si>
    <t>https://dd3ka9h4chfr8.cloudfront.net/image/725136000567/image_3sbn69ra2l30p3hkgrrcb9c74a/-FJPG/CIRD-35237K-B2_PRM_1.jpg</t>
  </si>
  <si>
    <t>https://dd3ka9h4chfr8.cloudfront.net/image/725136000567/image_dj17uf3mid02p08f1c4r0eon7v/-FJPG/CIRD-35237K-B2_SID_1.jpg</t>
  </si>
  <si>
    <t>https://dd3ka9h4chfr8.cloudfront.net/image/725136000567/image_5931244o7d685aqpghsnm5ca19/-FJPG/CIRD-35237K-B2_DET_2.jpg</t>
  </si>
  <si>
    <t>https://dd3ka9h4chfr8.cloudfront.net/image/725136000567/image_jmfrf41q554971tl8lup7bvs13/-FJPG/CIRD-35237K-B2_DET_1.jpg</t>
  </si>
  <si>
    <t>https://dd3ka9h4chfr8.cloudfront.net/image/725136000567/image_2qtkpfdk7h0qpbkok4cvvvh45n/-FJPG/CIRD-35237K-B2_DET_3.jpg</t>
  </si>
  <si>
    <t>https://dd3ka9h4chfr8.cloudfront.net/image/725136000567/image_48s4vjbdul3k12fl3ntpf3uu30/-FJPG/CIRD-35237K-B2_DET_4.jpg</t>
  </si>
  <si>
    <t>https://dd3ka9h4chfr8.cloudfront.net/image/725136000567/image_qvrlid3ocd41h33s23mqere86h/-FJPG/CIRD-35237K-B2_DET_5.jpg</t>
  </si>
  <si>
    <t>https://dd3ka9h4chfr8.cloudfront.net/image/725136000567/image_2rmfveud3t2et29qb4kr862v2u/-FJPG/CIRD-35237K-B2_ROM_1.jpg</t>
  </si>
  <si>
    <t>https://dd3ka9h4chfr8.cloudfront.net/image/725136000567/image_rbf7gbo17d4c9eruib0t93i709/-FJPG/CIRD-35237K-B2_ROM_2.jpg</t>
  </si>
  <si>
    <t>CIRD-35237Q-999</t>
  </si>
  <si>
    <t>https://dd3ka9h4chfr8.cloudfront.net/image/725136000567/image_a05c1uaf156m3bkpaa4l0vnf49/-S150x150-FJPG/CIRD-35237Q-999_PRM_1.jpg</t>
  </si>
  <si>
    <t>https://dd3ka9h4chfr8.cloudfront.net/image/725136000567/image_9s9siod4al2b54hrr0t9lpm105/-FJPG/CIRD-35237Q-999_FRT_1.jpg</t>
  </si>
  <si>
    <t>https://dd3ka9h4chfr8.cloudfront.net/image/725136000567/image_a05c1uaf156m3bkpaa4l0vnf49/-FJPG/CIRD-35237Q-999_PRM_1.jpg</t>
  </si>
  <si>
    <t>https://dd3ka9h4chfr8.cloudfront.net/image/725136000567/image_qidp7egd257lf00lmiqdc5i42q/-FJPG/CIRD-35237Q-999_SID_1.jpg</t>
  </si>
  <si>
    <t>https://dd3ka9h4chfr8.cloudfront.net/image/725136000567/image_m0tctpnsjl3lv3moomt86b1n0u/-FJPG/CIRD-35237Q-999_ESS_1.jpg</t>
  </si>
  <si>
    <t>https://dd3ka9h4chfr8.cloudfront.net/image/725136000567/image_mao2ltto5936j09gjlie43g75u/-FJPG/CIRD-35237Q-999_DET_2.jpg</t>
  </si>
  <si>
    <t>https://dd3ka9h4chfr8.cloudfront.net/image/725136000567/image_c4a85g6snl3kt9aion12dkm45c/-FJPG/CIRD-35237Q-999_DET_1.jpg</t>
  </si>
  <si>
    <t>https://dd3ka9h4chfr8.cloudfront.net/image/725136000567/image_5pclldn1vp1kjcrdhn70gl7r4q/-FJPG/CIRD-35237Q-999_DET_3.jpg</t>
  </si>
  <si>
    <t>https://dd3ka9h4chfr8.cloudfront.net/image/725136000567/image_mvvbfsn0651f560i050g651935/-FJPG/CIRD-35237Q-999_DET_4.jpg</t>
  </si>
  <si>
    <t>https://dd3ka9h4chfr8.cloudfront.net/image/725136000567/image_29o5fhl8cl2jf7gu1qd3ju5q3d/-FJPG/CIRD-35237Q-999_DET_5.jpg</t>
  </si>
  <si>
    <t>https://dd3ka9h4chfr8.cloudfront.net/image/725136000567/image_6in03lgth17c12tn8jg70q8c17/-FJPG/CIRD-35237Q-999_DET_6.jpg</t>
  </si>
  <si>
    <t>CKEN-11247-08</t>
  </si>
  <si>
    <t>Chance Chair - Dakota Warm Taupe</t>
  </si>
  <si>
    <t>Invitingly curved seat with dramatic horizontal channels is covered in soft, camel-colored top-grain leather. Rich, tonal frame captures alluring negativeâ€”and positiveâ€”spaces.</t>
  </si>
  <si>
    <t>https://dd3ka9h4chfr8.cloudfront.net/image/725136000567/image_jbe5i5vcq12n90uplltp4ovo48/-S150x150-FJPG/CKEN-11247-08_PRM_1.jpg</t>
  </si>
  <si>
    <t>https://dd3ka9h4chfr8.cloudfront.net/image/725136000567/image_dqu5u84o4d6ld89hrjhao75h0h/-FJPG/CKEN-11247-08_FRT_1.jpg</t>
  </si>
  <si>
    <t>https://dd3ka9h4chfr8.cloudfront.net/image/725136000567/image_jbe5i5vcq12n90uplltp4ovo48/-FJPG/CKEN-11247-08_PRM_1.jpg</t>
  </si>
  <si>
    <t>https://dd3ka9h4chfr8.cloudfront.net/image/725136000567/image_a2uhascfbl3175almlitcpst16/-FJPG/CKEN-11247-08_SID_1.jpg</t>
  </si>
  <si>
    <t>https://dd3ka9h4chfr8.cloudfront.net/image/725136000567/image_872biiab3l44l30sc80lept52n/-FJPG/CKEN-11247-08_DET_2.jpg</t>
  </si>
  <si>
    <t>https://dd3ka9h4chfr8.cloudfront.net/image/725136000567/image_so9buqdu457gl0tunvu3q8b37l/-FJPG/CKEN-11247-08_BCK_1.jpg</t>
  </si>
  <si>
    <t>https://dd3ka9h4chfr8.cloudfront.net/image/725136000567/image_0muvtdst2p6t756panlk526l39/-FJPG/CKEN-11247-08_DET_1.jpg</t>
  </si>
  <si>
    <t>https://dd3ka9h4chfr8.cloudfront.net/image/725136000567/image_8ttpsge6g97473h4an8eu3lc42/-FJPG/CKEN-11247-08_DET_3.jpg</t>
  </si>
  <si>
    <t>https://dd3ka9h4chfr8.cloudfront.net/image/725136000567/image_4bfgou995t6f9evtnkobqedu5b/-FJPG/CKEN-11247-08_DET_4.jpg</t>
  </si>
  <si>
    <t>https://dd3ka9h4chfr8.cloudfront.net/image/725136000567/image_gghfng85q55v3ci2t02mb90p36/-FJPG/CKEN-11247-08_DET_5.jpg</t>
  </si>
  <si>
    <t>https://dd3ka9h4chfr8.cloudfront.net/image/725136000567/image_9teslm0li14296f979brsnnn5t/-FJPG/CKEN-11247-08_DET_6.jpg</t>
  </si>
  <si>
    <t>https://dd3ka9h4chfr8.cloudfront.net/image/725136000567/image_f4t3t1ojn52r5fgr2mmgj4l16a/-FJPG/CKEN-11247-08_DET_7.jpg</t>
  </si>
  <si>
    <t>https://dd3ka9h4chfr8.cloudfront.net/image/725136000567/image_a71al8v47l5rp02v2mf9hgcv1j/-FJPG/CKEN-11247-08_ROM_1.jpg</t>
  </si>
  <si>
    <t>https://dd3ka9h4chfr8.cloudfront.net/image/725136000567/image_h6ple0jj0d4sha18iibg0no152/-FJPG/CKEN-11247-08_ROM_2.jpg</t>
  </si>
  <si>
    <t>https://dd3ka9h4chfr8.cloudfront.net/image/725136000567/image_9etjvmcrft5on1ppqhe93rgn2u/-FJPG/CKEN-11247-08_BCK_2.jpg</t>
  </si>
  <si>
    <t>L Shape Box</t>
  </si>
  <si>
    <t>CKEN-154C-557</t>
  </si>
  <si>
    <t>Dylan Chaise Lounge - Sapphire Olive</t>
  </si>
  <si>
    <t>Sapphire Olive</t>
  </si>
  <si>
    <t>A low, spacious mid-century chaise silhouette is covered in velvety upholstery in an intriguing sapphire olive, with blind tufting.</t>
  </si>
  <si>
    <t>https://dd3ka9h4chfr8.cloudfront.net/image/725136000567/image_33r6d4tk5l4k33fkvpj5ssvq7n/-S150x150-FJPG/CKEN-154C-557_PRM_1.jpg</t>
  </si>
  <si>
    <t>https://dd3ka9h4chfr8.cloudfront.net/image/725136000567/image_v81hpbo2912kj8u30keqi0vg7k/-FJPG/CKEN-154C-557_FRT_1.jpg</t>
  </si>
  <si>
    <t>https://dd3ka9h4chfr8.cloudfront.net/image/725136000567/image_33r6d4tk5l4k33fkvpj5ssvq7n/-FJPG/CKEN-154C-557_PRM_1.jpg</t>
  </si>
  <si>
    <t>https://dd3ka9h4chfr8.cloudfront.net/image/725136000567/image_3in978h39174feepifeqq64812/-FJPG/CKEN-154C-557_SID_1.jpg</t>
  </si>
  <si>
    <t>https://dd3ka9h4chfr8.cloudfront.net/image/725136000567/image_1fgl20561l27d5csbi2mbdf028/-FJPG/CKEN-154C-557_DET_2.jpg</t>
  </si>
  <si>
    <t>https://dd3ka9h4chfr8.cloudfront.net/image/725136000567/image_h3glrnofj11ad534pc73gt0057/-FJPG/CKEN-154C-557_BCK_1.jpg</t>
  </si>
  <si>
    <t>https://dd3ka9h4chfr8.cloudfront.net/image/725136000567/image_elh0frf2kt6qh3og98l4qa124s/-FJPG/CKEN-154C-557_DET_1.jpg</t>
  </si>
  <si>
    <t>https://dd3ka9h4chfr8.cloudfront.net/image/725136000567/image_o2vsekh54168779t5s15tru33m/-FJPG/CKEN-154C-557_DET_3.jpg</t>
  </si>
  <si>
    <t>https://dd3ka9h4chfr8.cloudfront.net/image/725136000567/image_duq066uj315ff3bkd25om8ol52/-FJPG/CKEN-154C-557_DET_4.jpg</t>
  </si>
  <si>
    <t>https://dd3ka9h4chfr8.cloudfront.net/image/725136000567/image_0tm9jd5nbl01rbvpcjqae4r450/-FJPG/CKEN-154C-557_DET_5.jpg</t>
  </si>
  <si>
    <t>https://dd3ka9h4chfr8.cloudfront.net/image/725136000567/image_2b4m7sg8g12vj7oh1vahbqe56g/-FJPG/CKEN-154C-557_DET_6.jpg</t>
  </si>
  <si>
    <t>https://dd3ka9h4chfr8.cloudfront.net/image/725136000567/image_0e0c4ivbm555neoichgipg1v2c/-FJPG/CKEN-154C-557_DET_7.jpg</t>
  </si>
  <si>
    <t>https://dd3ka9h4chfr8.cloudfront.net/image/725136000567/image_1dcqh55vvd16tb659e5amq803t/-FJPG/CKEN-154C-557_ROM_1.jpg</t>
  </si>
  <si>
    <t>CKEN-17347-188</t>
  </si>
  <si>
    <t>Chance Recliner - Linen Natural</t>
  </si>
  <si>
    <t>Linen Natural</t>
  </si>
  <si>
    <t>82% Viscose (Rayon)</t>
  </si>
  <si>
    <t>4% Polyester</t>
  </si>
  <si>
    <t>A dramatically shaped mid-century frame meets with on-trend channel tufting. Pale, neutral upholstery contrasts with dark sienna brown parawood. A push recliner takes this forward-thinking lounger to the next level.</t>
  </si>
  <si>
    <t>https://dd3ka9h4chfr8.cloudfront.net/image/725136000567/image_akke4vlepd2rvbl2ol2d46kj5q/-S150x150-FJPG/CKEN-17347-188_PRM_1.jpg</t>
  </si>
  <si>
    <t>https://dd3ka9h4chfr8.cloudfront.net/image/725136000567/image_at3b068km51gvb06j12u03n71c/-FJPG/CKEN-17347-188_FRT_1.jpg</t>
  </si>
  <si>
    <t>https://dd3ka9h4chfr8.cloudfront.net/image/725136000567/image_akke4vlepd2rvbl2ol2d46kj5q/-FJPG/CKEN-17347-188_PRM_1.jpg</t>
  </si>
  <si>
    <t>https://dd3ka9h4chfr8.cloudfront.net/image/725136000567/image_0htt1sj3455jl1mkodmc3ct04g/-FJPG/CKEN-17347-188_SID_1.jpg</t>
  </si>
  <si>
    <t>https://dd3ka9h4chfr8.cloudfront.net/image/725136000567/image_6mo9t7ni3h08j59vrgjhjuip1v/-FJPG/CKEN-17347-188_DET_2.jpg</t>
  </si>
  <si>
    <t>https://dd3ka9h4chfr8.cloudfront.net/image/725136000567/image_t6oq3g3nhd0r9ao1mc5a8jae17/-FJPG/CKEN-17347-188_BCK_1.jpg</t>
  </si>
  <si>
    <t>https://dd3ka9h4chfr8.cloudfront.net/image/725136000567/image_eu2v07rcb958jctig991pdsf47/-FJPG/CKEN-17347-188_DET_1.jpg</t>
  </si>
  <si>
    <t>https://dd3ka9h4chfr8.cloudfront.net/image/725136000567/image_vns4tkc9vp5lvernhj1sgbq83s/-FJPG/CKEN-17347-188_DET_3.jpg</t>
  </si>
  <si>
    <t>https://dd3ka9h4chfr8.cloudfront.net/image/725136000567/image_9j9118r0c91hbcossjra36r85s/-FJPG/CKEN-17347-188_OPN_1.jpg</t>
  </si>
  <si>
    <t>https://dd3ka9h4chfr8.cloudfront.net/image/725136000567/image_hdhvamfd952b903sa858lofg4u/-FJPG/CKEN-17347-188_DET_4.jpg</t>
  </si>
  <si>
    <t>https://dd3ka9h4chfr8.cloudfront.net/image/725136000567/image_5ek886nbd56m35bneap472622p/-FJPG/CKEN-17347-188_DET_5.jpg</t>
  </si>
  <si>
    <t>https://dd3ka9h4chfr8.cloudfront.net/image/725136000567/image_4jju0enffh70d79icunqpmnj2u/-FJPG/CKEN-17347-188_DET_6.jpg</t>
  </si>
  <si>
    <t>https://dd3ka9h4chfr8.cloudfront.net/image/725136000567/image_aat50aaot929t3ee85u8na275o/-FJPG/CKEN-17347-188_DET_7.jpg</t>
  </si>
  <si>
    <t>https://dd3ka9h4chfr8.cloudfront.net/image/725136000567/image_ilkdf835qh0b956a8hm6j5vu6o/-FJPG/CKEN-17347-188_ROM_1.jpg</t>
  </si>
  <si>
    <t>https://dd3ka9h4chfr8.cloudfront.net/image/725136000567/image_bk9q6b44ap6pl43r79pojsj46t/-FJPG/CKEN-17347-188_ROM_2.jpg</t>
  </si>
  <si>
    <t>Complete Item, L Shape</t>
  </si>
  <si>
    <t>CKEN-17347-208</t>
  </si>
  <si>
    <t>Chance Recliner - Dakota Warm Taupe</t>
  </si>
  <si>
    <t>Invitingly curved seat with dramatic horizontal channels is covered in soft, camel-colored top-grain leather. Rich, tonal frame captures alluring negativeâ€”and positiveâ€”spaces. A push recliner takes this forward-thinking lounger to the next level.</t>
  </si>
  <si>
    <t>https://dd3ka9h4chfr8.cloudfront.net/image/725136000567/image_fjj9pfbpn14in77echag3rsr62/-S150x150-FJPG/CKEN-17347-208_PRM_1.jpg</t>
  </si>
  <si>
    <t>https://dd3ka9h4chfr8.cloudfront.net/image/725136000567/image_al41o91o716d14vj5dva8jbh0s/-FJPG/CKEN-17347-208_FRT_1.jpg</t>
  </si>
  <si>
    <t>https://dd3ka9h4chfr8.cloudfront.net/image/725136000567/image_fjj9pfbpn14in77echag3rsr62/-FJPG/CKEN-17347-208_PRM_1.jpg</t>
  </si>
  <si>
    <t>https://dd3ka9h4chfr8.cloudfront.net/image/725136000567/image_knfo954hv91qn6rqmn39b6do43/-FJPG/CKEN-17347-208_SID_1.jpg</t>
  </si>
  <si>
    <t>https://dd3ka9h4chfr8.cloudfront.net/image/725136000567/image_gp3pfaqkil20765lu88na4uq31/-FJPG/CKEN-17347-208_DET_2.jpg</t>
  </si>
  <si>
    <t>https://dd3ka9h4chfr8.cloudfront.net/image/725136000567/image_s8e92qvdl50at4fbhehbtgaj1p/-FJPG/CKEN-17347-208_BCK_1.jpg</t>
  </si>
  <si>
    <t>https://dd3ka9h4chfr8.cloudfront.net/image/725136000567/image_vjq9bqbda96r13skrkjk0fb66d/-FJPG/CKEN-17347-208_DET_1.jpg</t>
  </si>
  <si>
    <t>https://dd3ka9h4chfr8.cloudfront.net/image/725136000567/image_7l4h3496ih32990dvplfcnan1l/-FJPG/CKEN-17347-208_DET_3.jpg</t>
  </si>
  <si>
    <t>https://dd3ka9h4chfr8.cloudfront.net/image/725136000567/image_332uajn9kh2rh5rb4car769s0i/-FJPG/CKEN-17347-208_OPN_1.jpg</t>
  </si>
  <si>
    <t>https://dd3ka9h4chfr8.cloudfront.net/image/725136000567/image_ut6t07p5n93ml3grvp4rstid2h/-FJPG/CKEN-17347-208_DET_4.jpg</t>
  </si>
  <si>
    <t>https://dd3ka9h4chfr8.cloudfront.net/image/725136000567/image_buiqdkug6t3indr3tg6b9fjp4a/-FJPG/CKEN-17347-208_DET_5.jpg</t>
  </si>
  <si>
    <t>https://dd3ka9h4chfr8.cloudfront.net/image/725136000567/image_qngft9o2up1blb565hqdi2d14f/-FJPG/CKEN-17347-208_DET_6.jpg</t>
  </si>
  <si>
    <t>https://dd3ka9h4chfr8.cloudfront.net/image/725136000567/image_j8f9nsph990116f06rji06s065/-FJPG/CKEN-17347-208_DET_7.jpg</t>
  </si>
  <si>
    <t>https://dd3ka9h4chfr8.cloudfront.net/image/725136000567/image_4rp0nccusd3dp3tpu5orhmnk7q/-FJPG/CKEN-17347-208_ROM_1.jpg</t>
  </si>
  <si>
    <t>https://dd3ka9h4chfr8.cloudfront.net/image/725136000567/image_qk0akbq4b9569ct0p4l32jgp4f/-FJPG/CKEN-17347-208_ROM_2.jpg</t>
  </si>
  <si>
    <t>https://dd3ka9h4chfr8.cloudfront.net/image/725136000567/image_403p2cg07h25p4j3p6v5m08c2q/-FJPG/CKEN-17347-208_OPN_2.jpg</t>
  </si>
  <si>
    <t>https://dd3ka9h4chfr8.cloudfront.net/image/725136000567/image_51n7jril9h3fb2ta8hnq14j10d/-FJPG/CKEN-17347-208_PRM_3.gif</t>
  </si>
  <si>
    <t>CKEN-17371-849</t>
  </si>
  <si>
    <t>Chance Recliner - Dakota Black</t>
  </si>
  <si>
    <t>A dramatically shaped mid-century frame, modernized by channel tufting. Black top-grain leather contrasts with natural parawood, for a clean, cool look with vintage airs. A push recliner takes this forward-thinking lounger to the next level.</t>
  </si>
  <si>
    <t>https://dd3ka9h4chfr8.cloudfront.net/image/725136000567/image_2hek6hl4e97rf2p5d2gfgelr7k/-S150x150-FJPG/CKEN-17371-849_PRM_1.jpg</t>
  </si>
  <si>
    <t>https://dd3ka9h4chfr8.cloudfront.net/image/725136000567/image_3b3l797ubl5o3d9bepiueqsk1u/-FJPG/CKEN-17371-849_FRT_1.jpg</t>
  </si>
  <si>
    <t>https://dd3ka9h4chfr8.cloudfront.net/image/725136000567/image_2hek6hl4e97rf2p5d2gfgelr7k/-FJPG/CKEN-17371-849_PRM_1.jpg</t>
  </si>
  <si>
    <t>https://dd3ka9h4chfr8.cloudfront.net/image/725136000567/image_rk2gcpoifl39lc7s9ii0p7ol7n/-FJPG/CKEN-17371-849_SID_1.jpg</t>
  </si>
  <si>
    <t>https://dd3ka9h4chfr8.cloudfront.net/image/725136000567/image_575b3llue519p176ck0vkh5b65/-FJPG/CKEN-17371-849_ESS_1.jpg</t>
  </si>
  <si>
    <t>https://dd3ka9h4chfr8.cloudfront.net/image/725136000567/image_075eaoolo5371b4u70mu1vfm0i/-FJPG/CKEN-17371-849_DET_2.jpg</t>
  </si>
  <si>
    <t>https://dd3ka9h4chfr8.cloudfront.net/image/725136000567/image_149nudpk2d0sr03ub11pbv276i/-FJPG/CKEN-17371-849_BCK_1.jpg</t>
  </si>
  <si>
    <t>https://dd3ka9h4chfr8.cloudfront.net/image/725136000567/image_0p56q89d2l6m34264htqpj1e6h/-FJPG/CKEN-17371-849_DET_1.jpg</t>
  </si>
  <si>
    <t>https://dd3ka9h4chfr8.cloudfront.net/image/725136000567/image_n67445nfrl607ave8mlvsudm5b/-FJPG/CKEN-17371-849_DET_3.jpg</t>
  </si>
  <si>
    <t>https://dd3ka9h4chfr8.cloudfront.net/image/725136000567/image_tvgnrdrqip5dvdvhrs5o92kq7t/-FJPG/CKEN-17371-849_DET_4.jpg</t>
  </si>
  <si>
    <t>https://dd3ka9h4chfr8.cloudfront.net/image/725136000567/image_i87cgtfq254stcje8fvuju1a37/-FJPG/CKEN-17371-849_DET_5.jpg</t>
  </si>
  <si>
    <t>https://dd3ka9h4chfr8.cloudfront.net/image/725136000567/image_hsihmtl9fh7kn0g5qjq6j84o6t/-FJPG/CKEN-17371-849_DET_6.jpg</t>
  </si>
  <si>
    <t>https://dd3ka9h4chfr8.cloudfront.net/image/725136000567/image_gmpq5ehlud09vbkatqp72lu02i/-FJPG/CKEN-17371-849_DET_7.jpg</t>
  </si>
  <si>
    <t>https://dd3ka9h4chfr8.cloudfront.net/image/725136000567/image_mgfshqaetp5c16echra36a4g3b/-FJPG/CKEN-17371-849_ESS_2.jpg</t>
  </si>
  <si>
    <t>https://dd3ka9h4chfr8.cloudfront.net/image/725136000567/image_tefhb5uls90ab9a8si8unecm43/-FJPG/CKEN-17371-849_PRM_2.jpg</t>
  </si>
  <si>
    <t>https://dd3ka9h4chfr8.cloudfront.net/image/725136000567/image_vn9n7g64615rn2nruaionj5071/-FJPG/CKEN-17371-849_SID_2.jpg</t>
  </si>
  <si>
    <t>https://dd3ka9h4chfr8.cloudfront.net/image/725136000567/image_90vqrhakr17epdo8e8umq7gr1o/-FJPG/CKEN-17371-849_PRM_3.jpg</t>
  </si>
  <si>
    <t>CKEN-23671-493</t>
  </si>
  <si>
    <t>Leonie Chair - Knoll Natural</t>
  </si>
  <si>
    <t>Boldly unique, lushly inviting. Low-styled seating is upholstered in a soothing off-white bouclÃ©, for a textural take on armless styling. Natural, wire-brushed framing slants in all the right spots for angular allure.</t>
  </si>
  <si>
    <t>https://dd3ka9h4chfr8.cloudfront.net/image/725136000567/image_jc2hnta7qd1q9fcr1665hm590j/-S150x150-FJPG/CKEN-23671-493_PRM_1.jpg</t>
  </si>
  <si>
    <t>https://dd3ka9h4chfr8.cloudfront.net/image/725136000567/image_rge28sbe8p5n7chcffu1o35q5d/-FJPG/CKEN-23671-493_FRT_1.jpg</t>
  </si>
  <si>
    <t>https://dd3ka9h4chfr8.cloudfront.net/image/725136000567/image_jc2hnta7qd1q9fcr1665hm590j/-FJPG/CKEN-23671-493_PRM_1.jpg</t>
  </si>
  <si>
    <t>https://dd3ka9h4chfr8.cloudfront.net/image/725136000567/image_d9vrsqoopt5v1cokor5dhrba67/-FJPG/CKEN-23671-493_SID_1.jpg</t>
  </si>
  <si>
    <t>https://dd3ka9h4chfr8.cloudfront.net/image/725136000567/image_5t6purt3jd6832e72k59e5c568/-FJPG/CKEN-23671-493_DET_2.jpg</t>
  </si>
  <si>
    <t>https://dd3ka9h4chfr8.cloudfront.net/image/725136000567/image_kns3go1tb1179aqsbba9d0dr35/-FJPG/CKEN-23671-493_BCK_1.jpg</t>
  </si>
  <si>
    <t>https://dd3ka9h4chfr8.cloudfront.net/image/725136000567/image_uta4jh485h32199im13thhv722/-FJPG/CKEN-23671-493_INF_1.jpg</t>
  </si>
  <si>
    <t>https://dd3ka9h4chfr8.cloudfront.net/image/725136000567/image_56eda6imqd6d5ct8e6g19jqq5m/-FJPG/CKEN-23671-493_DET_1.jpg</t>
  </si>
  <si>
    <t>https://dd3ka9h4chfr8.cloudfront.net/image/725136000567/image_qo4nrhreql3mbbgpgpdralt22b/-FJPG/CKEN-23671-493_DET_3.jpg</t>
  </si>
  <si>
    <t>https://dd3ka9h4chfr8.cloudfront.net/image/725136000567/image_ahnl90u0910vpbd44ustal660i/-FJPG/CKEN-23671-493_DET_4.jpg</t>
  </si>
  <si>
    <t>https://dd3ka9h4chfr8.cloudfront.net/image/725136000567/image_l8tt471h755dlep3895oqqi442/-FJPG/CKEN-23671-493_DET_5.jpg</t>
  </si>
  <si>
    <t>https://dd3ka9h4chfr8.cloudfront.net/image/725136000567/image_6m8728k8j95516k69gvsomgi3l/-FJPG/CKEN-23671-493_DET_6.jpg</t>
  </si>
  <si>
    <t>https://dd3ka9h4chfr8.cloudfront.net/image/725136000567/image_9gaavd64i51sj5ps8lr03svi7p/-FJPG/CKEN-23671-493_ROM_1.jpg</t>
  </si>
  <si>
    <t>Leonie</t>
  </si>
  <si>
    <t>CKEN-294N-671</t>
  </si>
  <si>
    <t>Diana Chair - Sonoma Butterscotch</t>
  </si>
  <si>
    <t>Effortlessly cool. Upholstered in a butterscotch top-grain leather exclusive to Four Hands, angular track arms complement supple cushioning, with exposed parawood framing delivering the drama.</t>
  </si>
  <si>
    <t>https://dd3ka9h4chfr8.cloudfront.net/image/725136000567/image_s7r4b9d2ap4fpbk2cj77udk31s/-S150x150-FJPG/CKEN-294N-671_PRM_1.jpg</t>
  </si>
  <si>
    <t>https://dd3ka9h4chfr8.cloudfront.net/image/725136000567/image_fppsvvvmcp21t6au645tgl224v/-FJPG/CKEN-294N-671_FRT_1.jpg</t>
  </si>
  <si>
    <t>https://dd3ka9h4chfr8.cloudfront.net/image/725136000567/image_s7r4b9d2ap4fpbk2cj77udk31s/-FJPG/CKEN-294N-671_PRM_1.jpg</t>
  </si>
  <si>
    <t>https://dd3ka9h4chfr8.cloudfront.net/image/725136000567/image_rcbgpcvlpp4o7dqtss1fnqe65s/-FJPG/CKEN-294N-671_SID_1.jpg</t>
  </si>
  <si>
    <t>https://dd3ka9h4chfr8.cloudfront.net/image/725136000567/image_vok2cj3k3h6ql6oilvg7f38l3b/-FJPG/CKEN-294N-671_ESS_1.jpg</t>
  </si>
  <si>
    <t>https://dd3ka9h4chfr8.cloudfront.net/image/725136000567/image_t0dn8hiv5h0c99matgg5a0b10f/-FJPG/CKEN-294N-671_BCK_1.jpg</t>
  </si>
  <si>
    <t>https://dd3ka9h4chfr8.cloudfront.net/image/725136000567/image_6g1m8o4irt7gh98i8kdtbic50j/-FJPG/CKEN-294N-671_DET_1.jpg</t>
  </si>
  <si>
    <t>https://dd3ka9h4chfr8.cloudfront.net/image/725136000567/image_ko1svs5epl2fj90buss5ghl003/-FJPG/CKEN-294N-671_DET_3.jpg</t>
  </si>
  <si>
    <t>https://dd3ka9h4chfr8.cloudfront.net/image/725136000567/image_ncuura1buh5dh1865rfsfamf2j/-FJPG/CKEN-294N-671_GRP_1.jpg</t>
  </si>
  <si>
    <t>https://dd3ka9h4chfr8.cloudfront.net/image/725136000567/image_9ap73qpstt6nff96onmpek2902/-FJPG/CKEN-294N-671_DET_4.jpg</t>
  </si>
  <si>
    <t>https://dd3ka9h4chfr8.cloudfront.net/image/725136000567/image_e7bi2h55kh5jtfddvmsth76k2m/-FJPG/CKEN-294N-671_DET_5.jpg</t>
  </si>
  <si>
    <t>https://dd3ka9h4chfr8.cloudfront.net/image/725136000567/image_sp4kqmledl2dn7q79ab3tvol7u/-FJPG/CKEN-294N-671_DET_6.jpg</t>
  </si>
  <si>
    <t>CKEN-297A6-663P</t>
  </si>
  <si>
    <t>Everly Sofa - Irving Taupe</t>
  </si>
  <si>
    <t>Classic goes contemporary. A cocoa-finished parawood base supports low, deep seating of performance-grade upholstery in an invitingly neutral taupe, with track arms for a clean touch.</t>
  </si>
  <si>
    <t>https://dd3ka9h4chfr8.cloudfront.net/image/725136000567/image_mvhc217i0d0c51u4k12m01bu6q/-S150x150-FJPG/CKEN-297A6-663P_PRM_1.jpg</t>
  </si>
  <si>
    <t>https://dd3ka9h4chfr8.cloudfront.net/image/725136000567/image_rr2v1tl7815gja24naoec5jr3l/-FJPG/CKEN-297A6-663P_FRT_1.jpg</t>
  </si>
  <si>
    <t>https://dd3ka9h4chfr8.cloudfront.net/image/725136000567/image_mvhc217i0d0c51u4k12m01bu6q/-FJPG/CKEN-297A6-663P_PRM_1.jpg</t>
  </si>
  <si>
    <t>https://dd3ka9h4chfr8.cloudfront.net/image/725136000567/image_lsmhmtd3n11qbd3mf5cdrnsr1d/-FJPG/CKEN-297A6-663P_SID_1.jpg</t>
  </si>
  <si>
    <t>https://dd3ka9h4chfr8.cloudfront.net/image/725136000567/image_evsaug1e052ghcj261bt98gh5r/-FJPG/CKEN-297A6-663P_ESS_1.jpg</t>
  </si>
  <si>
    <t>https://dd3ka9h4chfr8.cloudfront.net/image/725136000567/image_49b22nefkt30rai355bdlra37i/-FJPG/CKEN-297A6-663P_DET_2.jpg</t>
  </si>
  <si>
    <t>https://dd3ka9h4chfr8.cloudfront.net/image/725136000567/image_l2fvttphe546henim032cevf4b/-FJPG/CKEN-297A6-663P_BCK_1.jpg</t>
  </si>
  <si>
    <t>https://dd3ka9h4chfr8.cloudfront.net/image/725136000567/image_t5bdmqr6m119v45di2hnn9jh2m/-FJPG/CKEN-297A6-663P_INF_1.jpg</t>
  </si>
  <si>
    <t>https://dd3ka9h4chfr8.cloudfront.net/image/725136000567/image_1bp18ntse13qn0cbupq7mum825/-FJPG/CKEN-297A6-663P_DET_1.jpg</t>
  </si>
  <si>
    <t>https://dd3ka9h4chfr8.cloudfront.net/image/725136000567/image_999oabn6rt6djc65kmromb8p44/-FJPG/CKEN-297A6-663P_DET_3.jpg</t>
  </si>
  <si>
    <t>https://dd3ka9h4chfr8.cloudfront.net/image/725136000567/image_ovhcnc2o5p5195i4oonlarfn77/-FJPG/CKEN-297A6-663P_DET_4.jpg</t>
  </si>
  <si>
    <t>https://dd3ka9h4chfr8.cloudfront.net/image/725136000567/image_8t4nif0q212jv89r8o3eip1d7q/-FJPG/CKEN-297A6-663P_DET_5.jpg</t>
  </si>
  <si>
    <t>https://dd3ka9h4chfr8.cloudfront.net/image/725136000567/image_t5b7b4vjn96l9a32g08teu0960/-FJPG/CKEN-297A6-663P_DET_6.jpg</t>
  </si>
  <si>
    <t>CKEN-29864-829P</t>
  </si>
  <si>
    <t>Boone Sofa - Thames Coal</t>
  </si>
  <si>
    <t>Sink-right-in seating ideal for daily lounging, with grey performance-grade upholstery exclusive to Four Hands.</t>
  </si>
  <si>
    <t>https://dd3ka9h4chfr8.cloudfront.net/image/725136000567/image_sfqhv2q3mt1k5bonhlur4gib2c/-S150x150-FJPG/CKEN-29864-829P_PRM_1.jpg</t>
  </si>
  <si>
    <t>https://dd3ka9h4chfr8.cloudfront.net/image/725136000567/image_tobekvm93d33vbs7j36u52po57/-FJPG/CKEN-29864-829P_FRT_1.jpg</t>
  </si>
  <si>
    <t>https://dd3ka9h4chfr8.cloudfront.net/image/725136000567/image_sfqhv2q3mt1k5bonhlur4gib2c/-FJPG/CKEN-29864-829P_PRM_1.jpg</t>
  </si>
  <si>
    <t>https://dd3ka9h4chfr8.cloudfront.net/image/725136000567/image_up9lloi6894jj6gkukt6sruc2h/-FJPG/CKEN-29864-829P_SID_1.jpg</t>
  </si>
  <si>
    <t>https://dd3ka9h4chfr8.cloudfront.net/image/725136000567/image_47e7qvkcqd27ven6ta8luj0k5q/-FJPG/CKEN-29864-829P_ESS_1.jpg</t>
  </si>
  <si>
    <t>https://dd3ka9h4chfr8.cloudfront.net/image/725136000567/image_v7kkav3ahl4a5boudk501mvs6h/-FJPG/CKEN-29864-829P_DET_2.jpg</t>
  </si>
  <si>
    <t>https://dd3ka9h4chfr8.cloudfront.net/image/725136000567/image_4q3c7d689h4v3e5br2u7lst44v/-FJPG/CKEN-29864-829P_BCK_1.jpg</t>
  </si>
  <si>
    <t>https://dd3ka9h4chfr8.cloudfront.net/image/725136000567/image_2riam03lrh5rjcfq96l52dhi5o/-FJPG/CKEN-29864-829P_INF_1.jpg</t>
  </si>
  <si>
    <t>https://dd3ka9h4chfr8.cloudfront.net/image/725136000567/image_pn1kl66p3915hf4mvjui1j9v4r/-FJPG/CKEN-29864-829P_DET_1.jpg</t>
  </si>
  <si>
    <t>https://dd3ka9h4chfr8.cloudfront.net/image/725136000567/image_h9h99bh5ql0er5ddv5379q1t5a/-FJPG/CKEN-29864-829P_DET_3.jpg</t>
  </si>
  <si>
    <t>https://dd3ka9h4chfr8.cloudfront.net/image/725136000567/image_m5830thga530leoup3sktbrl7c/-FJPG/CKEN-29864-829P_DET_4.jpg</t>
  </si>
  <si>
    <t>https://dd3ka9h4chfr8.cloudfront.net/image/725136000567/image_6541gdc3c57and7491etgg8d3d/-FJPG/CKEN-29864-829P_DET_5.jpg</t>
  </si>
  <si>
    <t>https://dd3ka9h4chfr8.cloudfront.net/image/725136000567/image_imf6l1gqbd3sf0n0kcavvbgt0p/-FJPG/CKEN-29864-829P_DET_6.jpg</t>
  </si>
  <si>
    <t>CKEN-32371-859P</t>
  </si>
  <si>
    <t>Kerry Chaise-85" - Thames Cream</t>
  </si>
  <si>
    <t>Made for stretching out or sinking in, cream-colored pillowtop cushioning is cradled by a natural parawood frame, with taupe top-grain leather buckles lending an edgy finishing touch.</t>
  </si>
  <si>
    <t>https://dd3ka9h4chfr8.cloudfront.net/image/725136000567/image_oau4f8ps1p1716ah5h3853jp74/-S150x150-FJPG/CKEN-32371-859P_PRM_1.jpg</t>
  </si>
  <si>
    <t>https://dd3ka9h4chfr8.cloudfront.net/image/725136000567/image_0728es3r2l6hlfs3bp0v521f4r/-FJPG/CKEN-32371-859P_FRT_1.jpg</t>
  </si>
  <si>
    <t>https://dd3ka9h4chfr8.cloudfront.net/image/725136000567/image_oau4f8ps1p1716ah5h3853jp74/-FJPG/CKEN-32371-859P_PRM_1.jpg</t>
  </si>
  <si>
    <t>https://dd3ka9h4chfr8.cloudfront.net/image/725136000567/image_g6ho619np54ppegbvjilgf4q2j/-FJPG/CKEN-32371-859P_SID_1.jpg</t>
  </si>
  <si>
    <t>https://dd3ka9h4chfr8.cloudfront.net/image/725136000567/image_5k3hqv02it7hl6d335km563h1s/-FJPG/CKEN-32371-859P_DET_2.jpg</t>
  </si>
  <si>
    <t>https://dd3ka9h4chfr8.cloudfront.net/image/725136000567/image_8f3s3i0h5552h3nj86e95ubn09/-FJPG/CKEN-32371-859P_INF_1.jpg</t>
  </si>
  <si>
    <t>https://dd3ka9h4chfr8.cloudfront.net/image/725136000567/image_pqkk3e5neh0j14tdfdeacppn0p/-FJPG/CKEN-32371-859P_DET_1.jpg</t>
  </si>
  <si>
    <t>https://dd3ka9h4chfr8.cloudfront.net/image/725136000567/image_g6l0cdk6g52vt7nchta8cam67u/-FJPG/CKEN-32371-859P_DET_3.jpg</t>
  </si>
  <si>
    <t>https://dd3ka9h4chfr8.cloudfront.net/image/725136000567/image_t4rq5u6m21599484mpen5jeo6p/-FJPG/CKEN-32371-859P_DET_4.jpg</t>
  </si>
  <si>
    <t>https://dd3ka9h4chfr8.cloudfront.net/image/725136000567/image_5dj6me4tr97h166ok0126a7g7n/-FJPG/CKEN-32371-859P_DET_5.jpg</t>
  </si>
  <si>
    <t>https://dd3ka9h4chfr8.cloudfront.net/image/725136000567/image_dl4c8q91i573lcd3fp7p1iip4n/-FJPG/CKEN-32371-859P_DET_6.jpg</t>
  </si>
  <si>
    <t>Kerry</t>
  </si>
  <si>
    <t>CKEN-329N-829P</t>
  </si>
  <si>
    <t>Ariel Chair - Thames Coal</t>
  </si>
  <si>
    <t>Spindle detailing for an airy look, with angular wooden arms and cleverly positioned legs, plus feather-blend cushioning covered in a textural performance-grade upholstery exclusive to Four Hands.</t>
  </si>
  <si>
    <t>https://dd3ka9h4chfr8.cloudfront.net/image/725136000567/image_3gbkfrt4v50fr6j1ufu16n1u68/-S150x150-FJPG/CKEN-329N-829P_PRM_1.jpg</t>
  </si>
  <si>
    <t>https://dd3ka9h4chfr8.cloudfront.net/image/725136000567/image_hvnv4h6mh528p94efsf9csu80h/-FJPG/CKEN-329N-829P_FRT_1.jpg</t>
  </si>
  <si>
    <t>https://dd3ka9h4chfr8.cloudfront.net/image/725136000567/image_3gbkfrt4v50fr6j1ufu16n1u68/-FJPG/CKEN-329N-829P_PRM_1.jpg</t>
  </si>
  <si>
    <t>https://dd3ka9h4chfr8.cloudfront.net/image/725136000567/image_nen9pk13893gp6qppu8s5itm7j/-FJPG/CKEN-329N-829P_SID_1.jpg</t>
  </si>
  <si>
    <t>https://dd3ka9h4chfr8.cloudfront.net/image/725136000567/image_2hftlp25vl0h1b96ms5oplo05a/-FJPG/CKEN-329N-829P_ESS_1.jpg</t>
  </si>
  <si>
    <t>https://dd3ka9h4chfr8.cloudfront.net/image/725136000567/image_eceg1ghat978ralrv4kecf2n20/-FJPG/CKEN-329N-829P_DET_2.jpg</t>
  </si>
  <si>
    <t>https://dd3ka9h4chfr8.cloudfront.net/image/725136000567/image_bn3umi8cht6et8p20isu1nm42a/-FJPG/CKEN-329N-829P_BCK_1.jpg</t>
  </si>
  <si>
    <t>https://dd3ka9h4chfr8.cloudfront.net/image/725136000567/image_06h6rbrial2q749um3lujc0q1k/-FJPG/CKEN-329N-829P_INF_1.jpg</t>
  </si>
  <si>
    <t>https://dd3ka9h4chfr8.cloudfront.net/image/725136000567/image_7mllfor6tl4afctkrhnccgq77r/-FJPG/CKEN-329N-829P_DET_1.jpg</t>
  </si>
  <si>
    <t>https://dd3ka9h4chfr8.cloudfront.net/image/725136000567/image_i0evu8lb2t4vt3mfj01ovahq62/-FJPG/CKEN-329N-829P_DET_3.jpg</t>
  </si>
  <si>
    <t>https://dd3ka9h4chfr8.cloudfront.net/image/725136000567/image_q23sbcd10l2j12eoqo1b2mqt7h/-FJPG/CKEN-329N-829P_DET_4.jpg</t>
  </si>
  <si>
    <t>https://dd3ka9h4chfr8.cloudfront.net/image/725136000567/image_e4s0se4hht35h3ai59ed03r83h/-FJPG/CKEN-329N-829P_DET_5.jpg</t>
  </si>
  <si>
    <t>https://dd3ka9h4chfr8.cloudfront.net/image/725136000567/image_3s8vreftt55atd17hds6ib5r2m/-FJPG/CKEN-329N-829P_DET_6.jpg</t>
  </si>
  <si>
    <t>Ariel</t>
  </si>
  <si>
    <t>CKEN-52C-557</t>
  </si>
  <si>
    <t>Dylan Chair - Sapphire Olive</t>
  </si>
  <si>
    <t>A low, spacious mid-century silhouette is covered in velvety upholstery in an intriguing sapphire olive, with blind tufting.</t>
  </si>
  <si>
    <t>https://dd3ka9h4chfr8.cloudfront.net/image/725136000567/image_mbm4aiv5mp1pv4r4k9njesvs3r/-S150x150-FJPG/CKEN-52C-557_PRM_1.jpg</t>
  </si>
  <si>
    <t>https://dd3ka9h4chfr8.cloudfront.net/image/725136000567/image_qkvhkeqfmh6hb8906df98b5l7j/-FJPG/CKEN-52C-557_FRT_1.jpg</t>
  </si>
  <si>
    <t>https://dd3ka9h4chfr8.cloudfront.net/image/725136000567/image_mbm4aiv5mp1pv4r4k9njesvs3r/-FJPG/CKEN-52C-557_PRM_1.jpg</t>
  </si>
  <si>
    <t>https://dd3ka9h4chfr8.cloudfront.net/image/725136000567/image_ok2t3tdcuh0t773hbn2gh1nj64/-FJPG/CKEN-52C-557_SID_1.jpg</t>
  </si>
  <si>
    <t>https://dd3ka9h4chfr8.cloudfront.net/image/725136000567/image_esuns35t8t6t9fi84rfmh99u5d/-FJPG/CKEN-52C-557_DET_2.jpg</t>
  </si>
  <si>
    <t>https://dd3ka9h4chfr8.cloudfront.net/image/725136000567/image_ke2jo8ebv93jre65ujvdtoe52o/-FJPG/CKEN-52C-557_BCK_1.jpg</t>
  </si>
  <si>
    <t>https://dd3ka9h4chfr8.cloudfront.net/image/725136000567/image_b9enbnb2r157j3cp6accm8h64a/-FJPG/CKEN-52C-557_DET_1.jpg</t>
  </si>
  <si>
    <t>https://dd3ka9h4chfr8.cloudfront.net/image/725136000567/image_4e19jgjoh54gb895o3spd4cr6k/-FJPG/CKEN-52C-557_DET_3.jpg</t>
  </si>
  <si>
    <t>https://dd3ka9h4chfr8.cloudfront.net/image/725136000567/image_5vnh4afnfd6rhbt1msg7smel6h/-FJPG/CKEN-52C-557_DET_4.jpg</t>
  </si>
  <si>
    <t>https://dd3ka9h4chfr8.cloudfront.net/image/725136000567/image_3o0c8kfdil1ap7f6ck2f6k494r/-FJPG/CKEN-52C-557_DET_5.jpg</t>
  </si>
  <si>
    <t>https://dd3ka9h4chfr8.cloudfront.net/image/725136000567/image_r638g42us92rr72c7g28d5s91j/-FJPG/CKEN-52C-557_DET_6.jpg</t>
  </si>
  <si>
    <t>https://dd3ka9h4chfr8.cloudfront.net/image/725136000567/image_lemrict6bt4tf7mg4ii9i2is4l/-FJPG/CKEN-52C-557_DET_7.jpg</t>
  </si>
  <si>
    <t>CKEN-E1C-557</t>
  </si>
  <si>
    <t>Dylan Sofa - Sapphire Olive</t>
  </si>
  <si>
    <t>https://dd3ka9h4chfr8.cloudfront.net/image/725136000567/image_hdj0lmp70p33b0rjp151fipr4l/-S150x150-FJPG/CKEN-E1C-557_PRM_1.jpg</t>
  </si>
  <si>
    <t>https://dd3ka9h4chfr8.cloudfront.net/image/725136000567/image_msfuo0m6d53rd2an6lh3ud4k59/-FJPG/CKEN-E1C-557_FRT_1.jpg</t>
  </si>
  <si>
    <t>https://dd3ka9h4chfr8.cloudfront.net/image/725136000567/image_hdj0lmp70p33b0rjp151fipr4l/-FJPG/CKEN-E1C-557_PRM_1.jpg</t>
  </si>
  <si>
    <t>https://dd3ka9h4chfr8.cloudfront.net/image/725136000567/image_8bhp6pv7l52jleinr4qa8t4j5u/-FJPG/CKEN-E1C-557_SID_1.jpg</t>
  </si>
  <si>
    <t>https://dd3ka9h4chfr8.cloudfront.net/image/725136000567/image_lssq1ketrh47781892okjqus4h/-FJPG/CKEN-E1C-557_ESS_1.jpg</t>
  </si>
  <si>
    <t>https://dd3ka9h4chfr8.cloudfront.net/image/725136000567/image_1t2kkmpiit23tal6sfr0krkv5l/-FJPG/CKEN-E1C-557_DET_2.jpg</t>
  </si>
  <si>
    <t>https://dd3ka9h4chfr8.cloudfront.net/image/725136000567/image_odtfl8n3u95b1ct7qi1dm87s2e/-FJPG/CKEN-E1C-557_BCK_1.jpg</t>
  </si>
  <si>
    <t>https://dd3ka9h4chfr8.cloudfront.net/image/725136000567/image_bvtcrnr74h5sh558vj67l3c96f/-FJPG/CKEN-E1C-557_DET_1.jpg</t>
  </si>
  <si>
    <t>https://dd3ka9h4chfr8.cloudfront.net/image/725136000567/image_io2sgro07d4vreg8ltafccmo6a/-FJPG/CKEN-E1C-557_DET_3.jpg</t>
  </si>
  <si>
    <t>https://dd3ka9h4chfr8.cloudfront.net/image/725136000567/image_3br93t66ul7o9culcp1r2a903i/-FJPG/CKEN-E1C-557_DET_4.jpg</t>
  </si>
  <si>
    <t>https://dd3ka9h4chfr8.cloudfront.net/image/725136000567/image_ek9aa0h7dh57ff3gha43scp71m/-FJPG/CKEN-E1C-557_DET_5.jpg</t>
  </si>
  <si>
    <t>https://dd3ka9h4chfr8.cloudfront.net/image/725136000567/image_07lrp3riot2r5etbjgiap5em4u/-FJPG/CKEN-E1C-557_DET_6.jpg</t>
  </si>
  <si>
    <t>https://dd3ka9h4chfr8.cloudfront.net/image/725136000567/image_t00m61n8id665854fs9dq91h00/-FJPG/CKEN-E1C-557_DET_7.jpg</t>
  </si>
  <si>
    <t>https://dd3ka9h4chfr8.cloudfront.net/image/725136000567/image_ko2d9e34rt17r721vdu36q1s22/-FJPG/CKEN-E1C-557_DET_8.jpg</t>
  </si>
  <si>
    <t>https://dd3ka9h4chfr8.cloudfront.net/image/725136000567/image_tbeumtk5ch76d6o77160o11513/-FJPG/CKEN-E1C-557_DET_9.jpg</t>
  </si>
  <si>
    <t>https://dd3ka9h4chfr8.cloudfront.net/image/725136000567/image_4k4sitjv1l0srakqfraqs5dl40/-FJPG/CKEN-E1C-557_ROM_1.jpg</t>
  </si>
  <si>
    <t>CKEN-F4Z-061</t>
  </si>
  <si>
    <t>Maxx Swivel Chair - Umber Grey</t>
  </si>
  <si>
    <t>Umber Grey</t>
  </si>
  <si>
    <t>Whitewash</t>
  </si>
  <si>
    <t>This modern take on the classic library chair is covered in distressed brown-grey leather and mounted on a 360-degree swivel base of whitewashed parawood.</t>
  </si>
  <si>
    <t>https://dd3ka9h4chfr8.cloudfront.net/image/725136000567/image_id4g3ldgld1kt1krsb3sk5d104/-S150x150-FJPG/CKEN-F4Z-061_PRM_1.jpg</t>
  </si>
  <si>
    <t>https://dd3ka9h4chfr8.cloudfront.net/image/725136000567/image_i76bsdabf17at3aapci6pdkk1e/-FJPG/CKEN-F4Z-061_FRT_1.jpg</t>
  </si>
  <si>
    <t>https://dd3ka9h4chfr8.cloudfront.net/image/725136000567/image_id4g3ldgld1kt1krsb3sk5d104/-FJPG/CKEN-F4Z-061_PRM_1.jpg</t>
  </si>
  <si>
    <t>https://dd3ka9h4chfr8.cloudfront.net/image/725136000567/image_8658pns15p6ef7fs94viofaq21/-FJPG/CKEN-F4Z-061_ESS_1.jpg</t>
  </si>
  <si>
    <t>https://dd3ka9h4chfr8.cloudfront.net/image/725136000567/image_lnorlk733t7rtfeoid02dupq1g/-FJPG/CKEN-F4Z-061_DET_2.jpg</t>
  </si>
  <si>
    <t>https://dd3ka9h4chfr8.cloudfront.net/image/725136000567/image_5d82tsim1p6undic30nfq2ob64/-FJPG/CKEN-F4Z-061_BCK_1.jpg</t>
  </si>
  <si>
    <t>https://dd3ka9h4chfr8.cloudfront.net/image/725136000567/image_1vla6sn9tl7on5j0bg9modii7u/-FJPG/CKEN-F4Z-061_DET_1.jpg</t>
  </si>
  <si>
    <t>https://dd3ka9h4chfr8.cloudfront.net/image/725136000567/image_4ok0svvom95kt3s68ros675v61/-FJPG/CKEN-F4Z-061_DET_3.jpg</t>
  </si>
  <si>
    <t>https://dd3ka9h4chfr8.cloudfront.net/image/725136000567/image_j6slo4jno97d53qqepm9sf3n4q/-FJPG/CKEN-F4Z-061_DET_4.jpg</t>
  </si>
  <si>
    <t>https://dd3ka9h4chfr8.cloudfront.net/image/725136000567/image_mbpq1ofk250abd2e4ufm320f45/-FJPG/CKEN-F4Z-061_DET_5.jpg</t>
  </si>
  <si>
    <t>https://dd3ka9h4chfr8.cloudfront.net/image/725136000567/image_sj2nrvlj09719e3qmclfngic59/-FJPG/CKEN-F4Z-061_DET_6.jpg</t>
  </si>
  <si>
    <t>https://dd3ka9h4chfr8.cloudfront.net/image/725136000567/image_4m4srvsgu163dbalqbascs2g3u/-FJPG/CKEN-F4Z-061_DET_7.jpg</t>
  </si>
  <si>
    <t>https://dd3ka9h4chfr8.cloudfront.net/image/725136000567/image_6k87ic7cv52iba13fjad06q83s/-FJPG/CKEN-F4Z-061_DET_8.jpg</t>
  </si>
  <si>
    <t>CKEN-F4Z-202</t>
  </si>
  <si>
    <t>Maxx Swivel Chair - Sapphire Birch</t>
  </si>
  <si>
    <t>A modern take on the classic library chair. Upholstered in distressed velvet with subtle highs and lows that change in appearance depending on the direction of the fabric's nap and the lighting in the room. Mounted on a 360-degree swivel base and finished with aged bronze nailheads.</t>
  </si>
  <si>
    <t>https://dd3ka9h4chfr8.cloudfront.net/image/725136000567/image_n7311a7nn52lta4marcslijl44/-S150x150-FJPG/CKEN-F4Z-202_PRM_1.jpg</t>
  </si>
  <si>
    <t>https://dd3ka9h4chfr8.cloudfront.net/image/725136000567/image_cktnqkdc390an6suuuls8acg3b/-FJPG/CKEN-F4Z-202_FRT_1.jpg</t>
  </si>
  <si>
    <t>https://dd3ka9h4chfr8.cloudfront.net/image/725136000567/image_n7311a7nn52lta4marcslijl44/-FJPG/CKEN-F4Z-202_PRM_1.jpg</t>
  </si>
  <si>
    <t>https://dd3ka9h4chfr8.cloudfront.net/image/725136000567/image_5bvttfcitt7jr6857brpdq5a4g/-FJPG/CKEN-F4Z-202_SID_1.jpg</t>
  </si>
  <si>
    <t>https://dd3ka9h4chfr8.cloudfront.net/image/725136000567/image_r3a879ifkh1jp4g9qloon9jh2m/-FJPG/CKEN-F4Z-202_ESS.tif</t>
  </si>
  <si>
    <t>https://dd3ka9h4chfr8.cloudfront.net/image/725136000567/image_i9u2j634id21f26h54m2s9lt4a/-FJPG/CKEN-F4Z-202_DET_2.jpg</t>
  </si>
  <si>
    <t>https://dd3ka9h4chfr8.cloudfront.net/image/725136000567/image_crqs2v490d1bb0ne7bdn8ced2u/-FJPG/CKEN-F4Z-202_BCK_1.jpg</t>
  </si>
  <si>
    <t>https://dd3ka9h4chfr8.cloudfront.net/image/725136000567/image_opkfnvgrsp1u39o42d8dljd80q/-FJPG/CKEN-F4Z-202_DET_1.jpg</t>
  </si>
  <si>
    <t>https://dd3ka9h4chfr8.cloudfront.net/image/725136000567/image_qf0dlj61095vf68t0mmbg4cl40/-FJPG/CKEN-F4Z-202_DET_3.jpg</t>
  </si>
  <si>
    <t>https://dd3ka9h4chfr8.cloudfront.net/image/725136000567/image_hco57b7aj92lt1gs6ailitre2a/-FJPG/CKEN-F4Z-202_DET_4.jpg</t>
  </si>
  <si>
    <t>https://dd3ka9h4chfr8.cloudfront.net/image/725136000567/image_tpen0j92nt3l3fic055bbiog16/-FJPG/CKEN-F4Z-202_DET_5.jpg</t>
  </si>
  <si>
    <t>https://dd3ka9h4chfr8.cloudfront.net/image/725136000567/image_ndltcdpi250s52sohpdpdf0c13/-FJPG/CKEN-F4Z-202_DET_6.jpg</t>
  </si>
  <si>
    <t>https://dd3ka9h4chfr8.cloudfront.net/image/725136000567/image_52te6bgrl51qva99jv95kn0q1b/-FJPG/CKEN-F4Z-202_DET_7.jpg</t>
  </si>
  <si>
    <t>https://dd3ka9h4chfr8.cloudfront.net/image/725136000567/image_n58m2926ed3j58ufr56qlbqs2h/-FJPG/CKEN-F4Z-202_DET_8.jpg</t>
  </si>
  <si>
    <t>CKEN-F7C-396</t>
  </si>
  <si>
    <t>Dylan Sofa - Rider Black</t>
  </si>
  <si>
    <t>https://dd3ka9h4chfr8.cloudfront.net/image/725136000567/image_a9rt2cmu7h2b90od9ajmcljb4q/-S150x150-FJPG/CKEN-F7C-396_PRM_1.jpg</t>
  </si>
  <si>
    <t>https://dd3ka9h4chfr8.cloudfront.net/image/725136000567/image_btdf2q1bqp6hfdvmu7pmmg053t/-FJPG/CKEN-F7C-396_FRT_1.jpg</t>
  </si>
  <si>
    <t>https://dd3ka9h4chfr8.cloudfront.net/image/725136000567/image_a9rt2cmu7h2b90od9ajmcljb4q/-FJPG/CKEN-F7C-396_PRM_1.jpg</t>
  </si>
  <si>
    <t>https://dd3ka9h4chfr8.cloudfront.net/image/725136000567/image_pa68ru9ent6jf8rs8jhd912d73/-FJPG/CKEN-F7C-396_SID_1.jpg</t>
  </si>
  <si>
    <t>https://dd3ka9h4chfr8.cloudfront.net/image/725136000567/image_gt6qh8lvsh3opbnp4p1surmj4d/-FJPG/CKEN-F7C-396_DET_2.jpg</t>
  </si>
  <si>
    <t>https://dd3ka9h4chfr8.cloudfront.net/image/725136000567/image_5g6unkk6rt3d99c9gj88spnb6a/-FJPG/CKEN-F7C-396_BCK_1.jpg</t>
  </si>
  <si>
    <t>https://dd3ka9h4chfr8.cloudfront.net/image/725136000567/image_874hdsm9bd3i96m3d98r0j6a50/-FJPG/CKEN-F7C-396_DET_1.jpg</t>
  </si>
  <si>
    <t>https://dd3ka9h4chfr8.cloudfront.net/image/725136000567/image_5sssp7raal7qtbnddratdla543/-FJPG/CKEN-F7C-396_DET_3.jpg</t>
  </si>
  <si>
    <t>https://dd3ka9h4chfr8.cloudfront.net/image/725136000567/image_gvmto3plmt4d9cjd2hqu498d7u/-FJPG/CKEN-F7C-396_ROM_1.jpg</t>
  </si>
  <si>
    <t>CKEN-K3Z53-061</t>
  </si>
  <si>
    <t>Maxx Sofa - Umber Grey</t>
  </si>
  <si>
    <t>This modern take on classic library-style seating adopts a distressed birch-colored covering and mounted on a grey parawood base. Aged bronze nailheads add modernity.</t>
  </si>
  <si>
    <t>https://dd3ka9h4chfr8.cloudfront.net/image/725136000567/image_7s9hdu23eh3298nm6q60h37c4r/-S150x150-FJPG/CKEN-K3Z53-061_PRM_1.jpg</t>
  </si>
  <si>
    <t>https://dd3ka9h4chfr8.cloudfront.net/image/725136000567/image_19prcj8g8h3592l1rgb4p74o21/-FJPG/CKEN-K3Z53-061_FRT_1.jpg</t>
  </si>
  <si>
    <t>https://dd3ka9h4chfr8.cloudfront.net/image/725136000567/image_7s9hdu23eh3298nm6q60h37c4r/-FJPG/CKEN-K3Z53-061_PRM_1.jpg</t>
  </si>
  <si>
    <t>https://dd3ka9h4chfr8.cloudfront.net/image/725136000567/image_9mucg3attl0undiqmvg3o7tn3r/-FJPG/CKEN-K3Z53-061_SID_1.jpg</t>
  </si>
  <si>
    <t>https://dd3ka9h4chfr8.cloudfront.net/image/725136000567/image_p0ta8p4b9t1h58fce3d85v0g7i/-FJPG/CKEN-K3Z53-061_ESS_1.jpg</t>
  </si>
  <si>
    <t>https://dd3ka9h4chfr8.cloudfront.net/image/725136000567/image_672osmc8v10i3abno9tb3kr325/-FJPG/CKEN-K3Z53-061_DET_2.jpg</t>
  </si>
  <si>
    <t>https://dd3ka9h4chfr8.cloudfront.net/image/725136000567/image_4pjvlo2a9d1833lo3s9gqh4e06/-FJPG/CKEN-K3Z53-061_BCK_1.jpg</t>
  </si>
  <si>
    <t>https://dd3ka9h4chfr8.cloudfront.net/image/725136000567/image_9clu796j0t7frdn2pf2ik3g170/-FJPG/CKEN-K3Z53-061_DET_1.jpg</t>
  </si>
  <si>
    <t>https://dd3ka9h4chfr8.cloudfront.net/image/725136000567/image_6jsi2r110t53pc0da9avuamv08/-FJPG/CKEN-K3Z53-061_DET_3.jpg</t>
  </si>
  <si>
    <t>https://dd3ka9h4chfr8.cloudfront.net/image/725136000567/image_aprabr25653vr9o0pli3pqag5a/-FJPG/CKEN-K3Z53-061_DET_4.jpg</t>
  </si>
  <si>
    <t>https://dd3ka9h4chfr8.cloudfront.net/image/725136000567/image_9mq98pk8416lf225de5h37bo45/-FJPG/CKEN-K3Z53-061_DET_5.jpg</t>
  </si>
  <si>
    <t>https://dd3ka9h4chfr8.cloudfront.net/image/725136000567/image_2jfjee4nk14sbb0us1na7g791m/-FJPG/CKEN-K3Z53-061_DET_6.jpg</t>
  </si>
  <si>
    <t>CKEN-K3Z53-202</t>
  </si>
  <si>
    <t>Maxx Sofa - Sapphire Birch</t>
  </si>
  <si>
    <t>A modern take on the classic library sofa. Upholstered in distressed velvet with subtle highs and lows that change in appearance depending on the direction of the fabric's nap and the lighting in the room. Mounted on a whitewash parawood base and finished with aged bronze nailheads.</t>
  </si>
  <si>
    <t>https://dd3ka9h4chfr8.cloudfront.net/image/725136000567/image_s398mtnur17b70ha66lt2bna6i/-S150x150-FJPG/CKEN-K3Z53-202_PRM_1.jpg</t>
  </si>
  <si>
    <t>https://dd3ka9h4chfr8.cloudfront.net/image/725136000567/image_pb5gbl5oe9247bkuljvh1qns37/-FJPG/CKEN-K3Z53-202_FRT_1.jpg</t>
  </si>
  <si>
    <t>https://dd3ka9h4chfr8.cloudfront.net/image/725136000567/image_s398mtnur17b70ha66lt2bna6i/-FJPG/CKEN-K3Z53-202_PRM_1.jpg</t>
  </si>
  <si>
    <t>https://dd3ka9h4chfr8.cloudfront.net/image/725136000567/image_u2jd5671jd1ntdvrrrogmdvl1p/-FJPG/CKEN-K3Z53-202_SID_1.jpg</t>
  </si>
  <si>
    <t>https://dd3ka9h4chfr8.cloudfront.net/image/725136000567/image_76l645jod17hj9r2s86l1mip5k/-FJPG/CKEN-K3Z53-202_ESS.tif</t>
  </si>
  <si>
    <t>https://dd3ka9h4chfr8.cloudfront.net/image/725136000567/image_qd5m280ru922p4gfp82b3k4b7f/-FJPG/CKEN-K3Z53-202_DET_2.jpg</t>
  </si>
  <si>
    <t>https://dd3ka9h4chfr8.cloudfront.net/image/725136000567/image_po9r434kk12o926kghs1si9501/-FJPG/CKEN-K3Z53-202_BCK_1.jpg</t>
  </si>
  <si>
    <t>https://dd3ka9h4chfr8.cloudfront.net/image/725136000567/image_lpacat4pip10j4m3errp514t7g/-FJPG/CKEN-K3Z53-202_DET_1.jpg</t>
  </si>
  <si>
    <t>https://dd3ka9h4chfr8.cloudfront.net/image/725136000567/image_tn5e3v56ol3un571nkmno58m72/-FJPG/CKEN-K3Z53-202_DET_3.jpg</t>
  </si>
  <si>
    <t>https://dd3ka9h4chfr8.cloudfront.net/image/725136000567/image_ltm57bou914ul0f1q2fjdp1961/-FJPG/CKEN-K3Z53-202_DET_4.jpg</t>
  </si>
  <si>
    <t>https://dd3ka9h4chfr8.cloudfront.net/image/725136000567/image_4vuds7jr2h4j72m8ov8eku2h7h/-FJPG/CKEN-K3Z53-202_DET_5.jpg</t>
  </si>
  <si>
    <t>https://dd3ka9h4chfr8.cloudfront.net/image/725136000567/image_emf16fpk8l6752f5vebc42l93o/-FJPG/CKEN-K3Z53-202_DET_6.jpg</t>
  </si>
  <si>
    <t>https://dd3ka9h4chfr8.cloudfront.net/image/725136000567/image_rvo0mooma50hvct8aluoc8fk00/-FJPG/CKEN-K3Z53-202_DET_7.jpg</t>
  </si>
  <si>
    <t>https://dd3ka9h4chfr8.cloudfront.net/image/725136000567/image_iq9sqes20h19hahc95keagpu1i/-FJPG/CKEN-K3Z53-202_DET_9.tif</t>
  </si>
  <si>
    <t>https://dd3ka9h4chfr8.cloudfront.net/image/725136000567/image_em2i7ddg616g786p4462pntf3m/-FJPG/CKEN-K3Z53-202_DET_10.jpg</t>
  </si>
  <si>
    <t>https://dd3ka9h4chfr8.cloudfront.net/image/725136000567/image_kn86oq2hbt67t4bre0p7mh6c2d/-FJPG/CKEN-K3Z53-202_ROM_1.jpg</t>
  </si>
  <si>
    <t>CKEN-K3Z-928</t>
  </si>
  <si>
    <t>Maxx Sofa - Destroyed Black</t>
  </si>
  <si>
    <t>Destroyed Black</t>
  </si>
  <si>
    <t>A modern take on the classic library sofa. Covered in black top-grain leather and finished with a specially designed formula that creates intentional cracking and distressing for a naturally aged look. Mounted on a weathered oak base and finished with aged bronze nailheads.</t>
  </si>
  <si>
    <t>https://dd3ka9h4chfr8.cloudfront.net/image/725136000567/image_a270vbc5m13r1d3qrdihmbfq05/-S150x150-FJPG/CKEN-K3Z-928_PRM_1.jpg</t>
  </si>
  <si>
    <t>https://dd3ka9h4chfr8.cloudfront.net/image/725136000567/image_bgf4dafv994tr3s0h7a1eav155/-FJPG/CKEN-K3Z-928_FRT_1.jpg</t>
  </si>
  <si>
    <t>https://dd3ka9h4chfr8.cloudfront.net/image/725136000567/image_a270vbc5m13r1d3qrdihmbfq05/-FJPG/CKEN-K3Z-928_PRM_1.jpg</t>
  </si>
  <si>
    <t>https://dd3ka9h4chfr8.cloudfront.net/image/725136000567/image_f372dhu33119fcb1vq4tkui54b/-FJPG/CKEN-K3Z-928_SID_1.jpg</t>
  </si>
  <si>
    <t>https://dd3ka9h4chfr8.cloudfront.net/image/725136000567/image_77suf03b1p00t8va6rd0o09152/-FJPG/CKEN-K3Z-928_ESS_1.jpg</t>
  </si>
  <si>
    <t>https://dd3ka9h4chfr8.cloudfront.net/image/725136000567/image_f7igbng3712cjdg93kg0l5522n/-FJPG/CKEN-K3Z-928_DET_2.jpg</t>
  </si>
  <si>
    <t>https://dd3ka9h4chfr8.cloudfront.net/image/725136000567/image_e17va5bpmd76r4kpg5a7e1ka3a/-FJPG/CKEN-K3Z-928_BCK_1.jpg</t>
  </si>
  <si>
    <t>https://dd3ka9h4chfr8.cloudfront.net/image/725136000567/image_0dlk48njp91m77gkp4mu5abf06/-FJPG/Color Variance Card_Destroyed Black Leather.jpg</t>
  </si>
  <si>
    <t>https://dd3ka9h4chfr8.cloudfront.net/image/725136000567/image_oj12l0snl92836qnloqv1mte3n/-FJPG/CKEN-K3Z-928_DET_3.jpg</t>
  </si>
  <si>
    <t>https://dd3ka9h4chfr8.cloudfront.net/image/725136000567/image_58f8m3u37h321acnsj5k6rt60k/-FJPG/CKEN-K3Z-928_DET_4.jpg</t>
  </si>
  <si>
    <t>https://dd3ka9h4chfr8.cloudfront.net/image/725136000567/image_nf8r1chmcl5sh4kjoi5uqq5m4t/-FJPG/CKEN-K3Z-928_DET_5.jpg</t>
  </si>
  <si>
    <t>https://dd3ka9h4chfr8.cloudfront.net/image/725136000567/image_9e69n06j3d4qh3qfkg0c4pa42t/-FJPG/CKEN-K3Z-928_DET_6.jpg</t>
  </si>
  <si>
    <t>https://dd3ka9h4chfr8.cloudfront.net/image/725136000567/image_4qt704qlal74n5lmj6eh3dp869/-FJPG/CKEN-K3Z-928_DET_7.jpg</t>
  </si>
  <si>
    <t>https://dd3ka9h4chfr8.cloudfront.net/image/725136000567/image_tlkav9v5ip2n59n18b35s54c5q/-FJPG/CKEN-K3Z-928_DET_8.jpg</t>
  </si>
  <si>
    <t>https://dd3ka9h4chfr8.cloudfront.net/image/725136000567/image_4qq1puvpap37t59h1ejbnq5p3j/-FJPG/CKEN-K3Z-928_DET_9.jpg</t>
  </si>
  <si>
    <t>https://dd3ka9h4chfr8.cloudfront.net/image/725136000567/image_9gnbsaqpbl0hd1prkhgut84o7b/-FJPG/CKEN-K3Z-928_DET_10.jpg</t>
  </si>
  <si>
    <t>https://dd3ka9h4chfr8.cloudfront.net/image/725136000567/image_1usk04i94l5n1bnecpr0jnun0u/-FJPG/CKEN-K3Z-928_DET_11.jpg</t>
  </si>
  <si>
    <t>https://dd3ka9h4chfr8.cloudfront.net/image/725136000567/image_uuide5tp7l2v3bb9tf3gu2am70/-FJPG/CKEN-K3Z-928_DET_12.jpg</t>
  </si>
  <si>
    <t>https://dd3ka9h4chfr8.cloudfront.net/image/725136000567/image_2si3qt09fp5p78rak948rd5o16/-FJPG/CKEN-K3Z-928_ESS_2.jpg</t>
  </si>
  <si>
    <t>https://dd3ka9h4chfr8.cloudfront.net/image/725136000567/image_ao18p2nbeh7j540gedrp2d0h4h/-FJPG/CKEN-K3Z-928_PRM_1.jpg</t>
  </si>
  <si>
    <t>https://dd3ka9h4chfr8.cloudfront.net/image/725136000567/image_aicoh0nib50cp8ai0nmau6js13/-FJPG/CKEN-K3Z-928_PRM_3.jpg</t>
  </si>
  <si>
    <t>https://dd3ka9h4chfr8.cloudfront.net/image/725136000567/image_ca1d0q0s9p3hld77ujppcvr10b/-FJPG/CKEN-K3Z-928_PRM_4.jpg</t>
  </si>
  <si>
    <t>CKEN-L1Y-003</t>
  </si>
  <si>
    <t>Clermont Chair - Charcoal Worn Velvet</t>
  </si>
  <si>
    <t>Charcoal Worn Velvet</t>
  </si>
  <si>
    <t>An elegant, mid-century twist on the traditional wing chair, with hand-button tufting, accent seaming, and sophisticated charcoal grey upholstery.</t>
  </si>
  <si>
    <t>https://dd3ka9h4chfr8.cloudfront.net/image/725136000567/image_55jg8g75ll1tp4c7cks15vsa2b/-S150x150-FJPG/CKEN-L1Y-003_PRM_1.jpg</t>
  </si>
  <si>
    <t>https://dd3ka9h4chfr8.cloudfront.net/image/725136000567/image_9m94juaurp3jhbnaorpcigj42e/-FJPG/CKEN-L1Y-003_FRT_1.jpg</t>
  </si>
  <si>
    <t>https://dd3ka9h4chfr8.cloudfront.net/image/725136000567/image_55jg8g75ll1tp4c7cks15vsa2b/-FJPG/CKEN-L1Y-003_PRM_1.jpg</t>
  </si>
  <si>
    <t>https://dd3ka9h4chfr8.cloudfront.net/image/725136000567/image_0so37041m94cvajokbi2fstq1k/-FJPG/CKEN-L1Y-003_SID_1.jpg</t>
  </si>
  <si>
    <t>https://dd3ka9h4chfr8.cloudfront.net/image/725136000567/image_kmevkrh32h5q98i4vjj2gb884p/-FJPG/CKEN-L1Y-003_ESS_1.jpg</t>
  </si>
  <si>
    <t>https://dd3ka9h4chfr8.cloudfront.net/image/725136000567/image_1u58f1q6r92pp8esmknamtfo7s/-FJPG/CKEN-L1Y-003_DET_2.jpg</t>
  </si>
  <si>
    <t>https://dd3ka9h4chfr8.cloudfront.net/image/725136000567/image_mgl74g5lf95u98di3mm6j3d97m/-FJPG/CKEN-L1Y-003_BCK_1.jpg</t>
  </si>
  <si>
    <t>https://dd3ka9h4chfr8.cloudfront.net/image/725136000567/image_q78n2841v50grfglr2geitqb79/-FJPG/CKEN-L1Y-003_INF_1.jpg</t>
  </si>
  <si>
    <t>https://dd3ka9h4chfr8.cloudfront.net/image/725136000567/image_343j00hrb53bhc20buu0mkaj5l/-FJPG/CKEN-L1Y-003_DET_1.jpg</t>
  </si>
  <si>
    <t>https://dd3ka9h4chfr8.cloudfront.net/image/725136000567/image_41sq941qqd1ejec8p6o11n5n0i/-FJPG/CKEN-L1Y-003_DET_3.jpg</t>
  </si>
  <si>
    <t>https://dd3ka9h4chfr8.cloudfront.net/image/725136000567/image_vc4id1thjt2ln994sp9atrii0a/-FJPG/CKEN-L1Y-003_DET_4.jpg</t>
  </si>
  <si>
    <t>https://dd3ka9h4chfr8.cloudfront.net/image/725136000567/image_dmef7j15th66remm1t0mg7h75n/-FJPG/CKEN-L1Y-003_DET_5.jpg</t>
  </si>
  <si>
    <t>Clermont</t>
  </si>
  <si>
    <t>IASR-029A</t>
  </si>
  <si>
    <t>Sirius Adjustable Accent Table - White Marble</t>
  </si>
  <si>
    <t>Antique Brass Hardware</t>
  </si>
  <si>
    <t>A heavy, acid-etched steel block anchors a telescoping base finished in antique brass and a gleaming white marble top. Adjust up or down to hold drinks beside a sofa, or as a pedestal for a treasured object. Unique marks and slight variations in the design may occur as part of the etching process. Height adjusts from 20" to 26" with ease.</t>
  </si>
  <si>
    <t>https://dd3ka9h4chfr8.cloudfront.net/image/725136000567/image_tchd3rekll2bld1noibu3s2h49/-S150x150-FJPG/IASR-029A_PRM_1.jpg</t>
  </si>
  <si>
    <t>https://dd3ka9h4chfr8.cloudfront.net/image/725136000567/image_ja8e86t7qt1a5b9pi38urm311i/-FJPG/IASR-029A_FRT_1.jpg</t>
  </si>
  <si>
    <t>https://dd3ka9h4chfr8.cloudfront.net/image/725136000567/image_tchd3rekll2bld1noibu3s2h49/-FJPG/IASR-029A_PRM_1.jpg</t>
  </si>
  <si>
    <t>https://dd3ka9h4chfr8.cloudfront.net/image/725136000567/image_9r6oid05rd2hb117eb17v5gg55/-FJPG/IASR-029A_DET_2.jpg</t>
  </si>
  <si>
    <t>https://dd3ka9h4chfr8.cloudfront.net/image/725136000567/image_02cnmvtk1d4lbdn27qerjfa46g/-FJPG/IASR-029A_DET_1.jpg</t>
  </si>
  <si>
    <t>https://dd3ka9h4chfr8.cloudfront.net/image/725136000567/image_7ekmub6had1ef7i9g6685hcs5n/-FJPG/IASR-029A_DET_3.jpg</t>
  </si>
  <si>
    <t>https://dd3ka9h4chfr8.cloudfront.net/image/725136000567/image_g5n7bpsmj902rbd0jvu96atp40/-FJPG/IASR-029A_DET_4.jpg</t>
  </si>
  <si>
    <t>Sirius</t>
  </si>
  <si>
    <t>IASR-107A</t>
  </si>
  <si>
    <t>Cameron End Table - Ombre Antique Pewter</t>
  </si>
  <si>
    <t>An antique brass finish highlights iron's gradual blending of hues, delivering a distinctive ombre effect to the rounded end table.</t>
  </si>
  <si>
    <t>https://dd3ka9h4chfr8.cloudfront.net/image/725136000567/image_brln6vpr6h1pvduup86rka9a4p/-S150x150-FJPG/IASR-107A_PRM_1.jpg</t>
  </si>
  <si>
    <t>https://dd3ka9h4chfr8.cloudfront.net/image/725136000567/image_brln6vpr6h1pvduup86rka9a4p/-FJPG/IASR-107A_PRM_1.jpg</t>
  </si>
  <si>
    <t>https://dd3ka9h4chfr8.cloudfront.net/image/725136000567/image_c7h7dib73924d6112vpp4la94i/-FJPG/106310-001_ESS_1.jpg</t>
  </si>
  <si>
    <t>https://dd3ka9h4chfr8.cloudfront.net/image/725136000567/image_lnt3l5n5l50sr3vvtr4encdt43/-FJPG/IASR-107A_DET_2.jpg</t>
  </si>
  <si>
    <t>https://dd3ka9h4chfr8.cloudfront.net/image/725136000567/image_i8buautfct6mh59vecimch7d3b/-FJPG/IASR-107A_DET_1.jpg</t>
  </si>
  <si>
    <t>https://dd3ka9h4chfr8.cloudfront.net/image/725136000567/image_dv75p2095l3tra6ro3vbctlh2j/-FJPG/IASR-107A_DET_3.jpg</t>
  </si>
  <si>
    <t>https://dd3ka9h4chfr8.cloudfront.net/image/725136000567/image_28cdci088h58580bk7foldps2u/-FJPG/IASR-107A_TOP_1.jpg</t>
  </si>
  <si>
    <t>https://dd3ka9h4chfr8.cloudfront.net/image/725136000567/image_u7abttafop3a31pq2gl32jrj5n/-FJPG/IASR-107A_DET_4.jpg</t>
  </si>
  <si>
    <t>https://dd3ka9h4chfr8.cloudfront.net/image/725136000567/image_9vuh44ktq553738htuc427r57o/-FJPG/IASR-107A_DET_5.jpg</t>
  </si>
  <si>
    <t>https://dd3ka9h4chfr8.cloudfront.net/image/725136000567/image_2u0jn98m6d7qh480gb5br8bf2n/-FJPG/IASR-107A_VIG_1.jpg</t>
  </si>
  <si>
    <t>ICAP-K7</t>
  </si>
  <si>
    <t>Casey Bed - Sandblasted Vintage Black</t>
  </si>
  <si>
    <t>Sandblasted Vintage Black</t>
  </si>
  <si>
    <t>Modern geometric patterns update a design inspired by vintage European hospital beds. Simple iron tubing looks airy and feels substantial. Low-profile box spring recommended.</t>
  </si>
  <si>
    <t>https://dd3ka9h4chfr8.cloudfront.net/image/725136000567/image_rshk471dtd6fh7q66ackangm41/-S150x150-FJPG/ICAP-K7_PRM_1.jpg</t>
  </si>
  <si>
    <t>https://dd3ka9h4chfr8.cloudfront.net/image/725136000567/image_7sjo8fppbh42h1taj1eo6lbu41/-FJPG/ICAP-K7_FRT_1.jpg</t>
  </si>
  <si>
    <t>https://dd3ka9h4chfr8.cloudfront.net/image/725136000567/image_rshk471dtd6fh7q66ackangm41/-FJPG/ICAP-K7_PRM_1.jpg</t>
  </si>
  <si>
    <t>https://dd3ka9h4chfr8.cloudfront.net/image/725136000567/image_gigm9h65hd6c395pjcl23lbb4p/-FJPG/ICAP-K7_SID_1.jpg</t>
  </si>
  <si>
    <t>https://dd3ka9h4chfr8.cloudfront.net/image/725136000567/image_v71ar3bp2h5ln3n64qr8u0kv10/-FJPG/ICAP-K7_DET_2.jpg</t>
  </si>
  <si>
    <t>https://dd3ka9h4chfr8.cloudfront.net/image/725136000567/image_ulgrhcsbvl4hpfct2rh41cmm37/-FJPG/ICAP-K7_DET_1.jpg</t>
  </si>
  <si>
    <t>https://dd3ka9h4chfr8.cloudfront.net/image/725136000567/image_a2eqka0p5t5k7b9d9277801f3t/-FJPG/ICAP-K7_DET_3.jpg</t>
  </si>
  <si>
    <t>https://dd3ka9h4chfr8.cloudfront.net/image/725136000567/image_ulbd3pr9bh5h9cqecu54305i3k/-FJPG/ICAP-K7_DET_4.jpg</t>
  </si>
  <si>
    <t>https://dd3ka9h4chfr8.cloudfront.net/image/725136000567/image_8t1nkl8jr54ir0okptclinnk6c/-FJPG/ICAP-K7_DET_5.jpg</t>
  </si>
  <si>
    <t>https://dd3ka9h4chfr8.cloudfront.net/image/725136000567/image_oii533igjl6tt29bo6btgrn534/-FJPG/ICAP-K7_ROM_1.jpg</t>
  </si>
  <si>
    <t>Head Board And Footboard</t>
  </si>
  <si>
    <t>Side Rails/Center Rails/Slats</t>
  </si>
  <si>
    <t>Casey</t>
  </si>
  <si>
    <t>0.90"</t>
  </si>
  <si>
    <t>Low-profile Box Spring</t>
  </si>
  <si>
    <t>4.38"</t>
  </si>
  <si>
    <t>ICAP-Q7</t>
  </si>
  <si>
    <t>https://dd3ka9h4chfr8.cloudfront.net/image/725136000567/image_en4j586nb508hcrjba6q479o7r/-S150x150-FJPG/ICAP-Q7_PRM_1.jpg</t>
  </si>
  <si>
    <t>https://dd3ka9h4chfr8.cloudfront.net/image/725136000567/image_vhb9jih1hh3734kron9mdt2744/-FJPG/ICAP-Q7_FRT_1.jpg</t>
  </si>
  <si>
    <t>https://dd3ka9h4chfr8.cloudfront.net/image/725136000567/image_en4j586nb508hcrjba6q479o7r/-FJPG/ICAP-Q7_PRM_1.jpg</t>
  </si>
  <si>
    <t>https://dd3ka9h4chfr8.cloudfront.net/image/725136000567/image_o8fmhtn7nd4oj3nicf30ll4i26/-FJPG/ICAP-Q7_SID_1.jpg</t>
  </si>
  <si>
    <t>https://dd3ka9h4chfr8.cloudfront.net/image/725136000567/image_5h9mfkng3p685fvag2ebcmtl5r/-FJPG/ICAP-Q7_DET_2.jpg</t>
  </si>
  <si>
    <t>https://dd3ka9h4chfr8.cloudfront.net/image/725136000567/image_3u095fvenp6jbe0tklrvs1pv7f/-FJPG/ICAP-Q7_DET_1.jpg</t>
  </si>
  <si>
    <t>https://dd3ka9h4chfr8.cloudfront.net/image/725136000567/image_te09nsqvi96op9pqhh2072f86i/-FJPG/ICAP-Q7_DET_3.jpg</t>
  </si>
  <si>
    <t>https://dd3ka9h4chfr8.cloudfront.net/image/725136000567/image_ig4b4lmm7h5mp7rsmui24b094p/-FJPG/ICAP-Q7_DET_4.jpg</t>
  </si>
  <si>
    <t>https://dd3ka9h4chfr8.cloudfront.net/image/725136000567/image_7f13pb20ud4bf83athoqql6j1m/-FJPG/ICAP-Q7_DET_5.jpg</t>
  </si>
  <si>
    <t>https://dd3ka9h4chfr8.cloudfront.net/image/725136000567/image_rqusmo32355b7c0hl7qqsih90p/-FJPG/ICAP-Q7_ROM_1.jpg</t>
  </si>
  <si>
    <t>Side Rails/Center Rail/Hardware</t>
  </si>
  <si>
    <t>ICAP-T7</t>
  </si>
  <si>
    <t>Modern geometric patterns update a design inspired by vintage European hospital beds. Simple iron tubing looks airy and feels substantial. Twin size stunning when paired. Low-profile box spring recommended.</t>
  </si>
  <si>
    <t>https://dd3ka9h4chfr8.cloudfront.net/image/725136000567/image_a927fhsf857k9ebkc1cc8pf60t/-S150x150-FJPG/ICAP-T7_PRM_1.jpg</t>
  </si>
  <si>
    <t>https://dd3ka9h4chfr8.cloudfront.net/image/725136000567/image_vgp1a92bcd1fd1tim58b5kd877/-FJPG/ICAP-T7_FRT_1.jpg</t>
  </si>
  <si>
    <t>https://dd3ka9h4chfr8.cloudfront.net/image/725136000567/image_a927fhsf857k9ebkc1cc8pf60t/-FJPG/ICAP-T7_PRM_1.jpg</t>
  </si>
  <si>
    <t>https://dd3ka9h4chfr8.cloudfront.net/image/725136000567/image_tpv5euqjjp70t7j6rr0duiat26/-FJPG/ICAP-T7_SID_1.jpg</t>
  </si>
  <si>
    <t>https://dd3ka9h4chfr8.cloudfront.net/image/725136000567/image_n870gs89sh42l7996q4hk2ik59/-FJPG/ICAP-T7_DET_2.jpg</t>
  </si>
  <si>
    <t>https://dd3ka9h4chfr8.cloudfront.net/image/725136000567/image_qm5dp8s8kl6ll5dgoe5kldbt7q/-FJPG/ICAP-T7_DET_1.jpg</t>
  </si>
  <si>
    <t>https://dd3ka9h4chfr8.cloudfront.net/image/725136000567/image_b3qto5ij691ff30qicgjia950c/-FJPG/ICAP-T7_DET_3.jpg</t>
  </si>
  <si>
    <t>https://dd3ka9h4chfr8.cloudfront.net/image/725136000567/image_088l02sfrp0l5cbglga2a9mt5j/-FJPG/ICAP-T7_DET_4.jpg</t>
  </si>
  <si>
    <t>https://dd3ka9h4chfr8.cloudfront.net/image/725136000567/image_f2skm42qkd00tema0tg72tsp75/-FJPG/ICAP-T7_DET_5.jpg</t>
  </si>
  <si>
    <t>https://dd3ka9h4chfr8.cloudfront.net/image/725136000567/image_ojua6d3cmd263akj9s174t1h51/-FJPG/ICAP-T7_PRM_2.jpg</t>
  </si>
  <si>
    <t>Side Rails, Center Rails, Hardware</t>
  </si>
  <si>
    <t>IELE-122</t>
  </si>
  <si>
    <t>Stormy Media Console - Aged Brown</t>
  </si>
  <si>
    <t>Element</t>
  </si>
  <si>
    <t>Distressed Ombre</t>
  </si>
  <si>
    <t>Iron's distressed ombre finish emits a feeling of movement that keeps the eye moving. Spacious interior brings plenty of space to media storage. Oxidation varies from piece to piece, due to organic nature of materials.</t>
  </si>
  <si>
    <t>https://dd3ka9h4chfr8.cloudfront.net/image/725136000567/image_opc4oo2ma51kj226fu2qvcl143/-S150x150-FJPG/IELE-122_PRM_1.jpg</t>
  </si>
  <si>
    <t>https://dd3ka9h4chfr8.cloudfront.net/image/725136000567/image_hrlh8u14sh40ldp6kcp07rvm7l/-FJPG/IELE-122_FRT_1.jpg</t>
  </si>
  <si>
    <t>https://dd3ka9h4chfr8.cloudfront.net/image/725136000567/image_opc4oo2ma51kj226fu2qvcl143/-FJPG/IELE-122_PRM_1.jpg</t>
  </si>
  <si>
    <t>https://dd3ka9h4chfr8.cloudfront.net/image/725136000567/image_51eo216n393k7e9fkpkentfb54/-FJPG/IELE-122_SID_1.jpg</t>
  </si>
  <si>
    <t>https://dd3ka9h4chfr8.cloudfront.net/image/725136000567/image_onlrcm9rs94b57l4p661k92m4p/-FJPG/IELE-122_DET_1.jpg</t>
  </si>
  <si>
    <t>https://dd3ka9h4chfr8.cloudfront.net/image/725136000567/image_rqpjsjqqcd0mnf71jgi9ousa5h/-FJPG/IELE-122_DET_3.jpg</t>
  </si>
  <si>
    <t>https://dd3ka9h4chfr8.cloudfront.net/image/725136000567/image_ribus0qbmp2r7f0sdfhokb8b0m/-FJPG/IELE-122_OPN_1.jpg</t>
  </si>
  <si>
    <t>https://dd3ka9h4chfr8.cloudfront.net/image/725136000567/image_kb5ovip5h93ktdn4t703gab33e/-FJPG/IELE-122_DET_4.jpg</t>
  </si>
  <si>
    <t>https://dd3ka9h4chfr8.cloudfront.net/image/725136000567/image_kr2k21gg7d4ob9f7qik6dcfa2v/-FJPG/IELE-122_DET_5.jpg</t>
  </si>
  <si>
    <t>https://dd3ka9h4chfr8.cloudfront.net/image/725136000567/image_v11q59n6ht2pp86lstpjn30o7j/-FJPG/IELE-122_DET_6.jpg</t>
  </si>
  <si>
    <t>https://dd3ka9h4chfr8.cloudfront.net/image/725136000567/image_292fod0sp936ldkb24hp1mo270/-FJPG/IELE-122_DET_7.jpg</t>
  </si>
  <si>
    <t>https://dd3ka9h4chfr8.cloudfront.net/image/725136000567/image_19ib8m5c4l2o3c702pptod463q/-FJPG/IELE-122_DET_8.jpg</t>
  </si>
  <si>
    <t>Complete Box</t>
  </si>
  <si>
    <t>35.82"</t>
  </si>
  <si>
    <t>Stormy</t>
  </si>
  <si>
    <t>IFAL-040</t>
  </si>
  <si>
    <t>Raffael Desk - Gunmetal</t>
  </si>
  <si>
    <t>Antique Brown</t>
  </si>
  <si>
    <t>A two-tier desk of brown mango wood features intricate carving for a uniquely textured look and float-like feel. Gunmetal-finished iron legs offer an intriguing material mix with a modern touch.</t>
  </si>
  <si>
    <t>https://dd3ka9h4chfr8.cloudfront.net/image/725136000567/image_241h7au64d1qn7tek2gce6js0f/-S150x150-FJPG/IFAL-040_PRM_1.jpg</t>
  </si>
  <si>
    <t>https://dd3ka9h4chfr8.cloudfront.net/image/725136000567/image_8ksrm35ne130h793mpjodgmj7f/-FJPG/IFAL-040_FRT_1.jpg</t>
  </si>
  <si>
    <t>https://dd3ka9h4chfr8.cloudfront.net/image/725136000567/image_241h7au64d1qn7tek2gce6js0f/-FJPG/IFAL-040_PRM_1.jpg</t>
  </si>
  <si>
    <t>https://dd3ka9h4chfr8.cloudfront.net/image/725136000567/image_9167fgc96t0v73octsr5tmb927/-FJPG/IFAL-040_SID_1.jpg</t>
  </si>
  <si>
    <t>https://dd3ka9h4chfr8.cloudfront.net/image/725136000567/image_a4o9dvbk2d5b157q6f0gokpf3l/-FJPG/IFAL-040_DET_2.jpg</t>
  </si>
  <si>
    <t>https://dd3ka9h4chfr8.cloudfront.net/image/725136000567/image_7fkjgeepqt547cjv5foddda301/-FJPG/IFAL-040_BCK_1.jpg</t>
  </si>
  <si>
    <t>https://dd3ka9h4chfr8.cloudfront.net/image/725136000567/image_fev3q17ae9265ed32a7ufmbb1n/-FJPG/IFAL-040_DET_1.jpg</t>
  </si>
  <si>
    <t>https://dd3ka9h4chfr8.cloudfront.net/image/725136000567/image_4476dbh0jp70n2ab95ne0sun05/-FJPG/IFAL-040_DET_3.jpg</t>
  </si>
  <si>
    <t>https://dd3ka9h4chfr8.cloudfront.net/image/725136000567/image_69v62ccd551kl8e036bttdv87a/-FJPG/IFAL-040_OPN_1.jpg</t>
  </si>
  <si>
    <t>https://dd3ka9h4chfr8.cloudfront.net/image/725136000567/image_1cebpo62pp08hf6q521srjn026/-FJPG/IFAL-040_DET_4.jpg</t>
  </si>
  <si>
    <t>https://dd3ka9h4chfr8.cloudfront.net/image/725136000567/image_h4jkn22aol03h1vd83s1iakq0d/-FJPG/IFAL-040_DET_5.jpg</t>
  </si>
  <si>
    <t>https://dd3ka9h4chfr8.cloudfront.net/image/725136000567/image_dpslojl3gd2ah8jc217bcknb4k/-FJPG/IFAL-040_DET_6.jpg</t>
  </si>
  <si>
    <t>https://dd3ka9h4chfr8.cloudfront.net/image/725136000567/image_35p271dtpd09r7fhl492e3gi4k/-FJPG/IFAL-040_ROM_1.jpg</t>
  </si>
  <si>
    <t>22.38"</t>
  </si>
  <si>
    <t>IHRM-047</t>
  </si>
  <si>
    <t>Drake Coffee Table - Reclaimed Fruitwood</t>
  </si>
  <si>
    <t>A simple take on balance and grace. Mixed reclaimed woods play up inviting angles and offer a broad, recessed top.</t>
  </si>
  <si>
    <t>https://dd3ka9h4chfr8.cloudfront.net/image/725136000567/image_rl3954305t57bd8aoelajntj2o/-S150x150-FJPG/IHRM-047_PRM_1.jpg</t>
  </si>
  <si>
    <t>https://dd3ka9h4chfr8.cloudfront.net/image/725136000567/image_v9ctnohioh7j9ahl0ih6071650/-FJPG/IHRM-047_FRT_1.jpg</t>
  </si>
  <si>
    <t>https://dd3ka9h4chfr8.cloudfront.net/image/725136000567/image_rl3954305t57bd8aoelajntj2o/-FJPG/IHRM-047_PRM_1.jpg</t>
  </si>
  <si>
    <t>https://dd3ka9h4chfr8.cloudfront.net/image/725136000567/image_jegb5jbcqd2v7fnnqk2punm32g/-FJPG/IHRM-047_ESS_1.jpg</t>
  </si>
  <si>
    <t>https://dd3ka9h4chfr8.cloudfront.net/image/725136000567/image_l0nbl4lmmh1u7bed2s7fhuvc2f/-FJPG/IHRM-047_DET_2.jpg</t>
  </si>
  <si>
    <t>https://dd3ka9h4chfr8.cloudfront.net/image/725136000567/image_fq07mklpi95ot51m60vli5g038/-FJPG/IHRM-047_DET_1.jpg</t>
  </si>
  <si>
    <t>https://dd3ka9h4chfr8.cloudfront.net/image/725136000567/image_mcs0779vvh76tei050hiltbr0a/-FJPG/IHRM-047_DET_3.jpg</t>
  </si>
  <si>
    <t>https://dd3ka9h4chfr8.cloudfront.net/image/725136000567/image_vj7kq7fnl921d5t0nrsot82q30/-FJPG/IHRM-047_DET_4.jpg</t>
  </si>
  <si>
    <t>https://dd3ka9h4chfr8.cloudfront.net/image/725136000567/image_pr1pn4q4fp52ddr21slnmliq7k/-FJPG/IHRM-047_DET_6.jpg</t>
  </si>
  <si>
    <t>https://dd3ka9h4chfr8.cloudfront.net/image/725136000567/image_e7plqoq80l0td9si5uvtnesj28/-FJPG/IHRM-047_ROM_1.jpg</t>
  </si>
  <si>
    <t>https://dd3ka9h4chfr8.cloudfront.net/image/725136000567/image_k6tf2q9bip4r1cl1uhl852d41n/-FJPG/IHRM-047_PRM_2.jpg</t>
  </si>
  <si>
    <t>https://dd3ka9h4chfr8.cloudfront.net/image/725136000567/image_ukutj1fobd5m97ep3avjnn0c6r/-FJPG/IHRM-047_FRT_2.jpg</t>
  </si>
  <si>
    <t>Drake</t>
  </si>
  <si>
    <t>IHRM-047C</t>
  </si>
  <si>
    <t>Drake Coffee Table - Aged Brown</t>
  </si>
  <si>
    <t>A simple take on balance and grace. Finished in an aged brown, mixed reclaimed woods play up inviting angles with a broad, recessed top.</t>
  </si>
  <si>
    <t>https://dd3ka9h4chfr8.cloudfront.net/image/725136000567/image_61d3cf4sk904147veetkpn1d3g/-S150x150-FJPG/IHRM-047C_PRM_1.jpg</t>
  </si>
  <si>
    <t>https://dd3ka9h4chfr8.cloudfront.net/image/725136000567/image_jbbnb0q6el4v38kj4b8demq06o/-FJPG/IHRM-047C_FRT_1.jpg</t>
  </si>
  <si>
    <t>https://dd3ka9h4chfr8.cloudfront.net/image/725136000567/image_61d3cf4sk904147veetkpn1d3g/-FJPG/IHRM-047C_PRM_1.jpg</t>
  </si>
  <si>
    <t>https://dd3ka9h4chfr8.cloudfront.net/image/725136000567/image_h743u9t0cl1tj0mqkhops7p34o/-FJPG/IHRM-047C_ESS_1.jpg</t>
  </si>
  <si>
    <t>https://dd3ka9h4chfr8.cloudfront.net/image/725136000567/image_74ladc5kjd5h75r2b0as7d5v52/-FJPG/IHRM-047C_DET_2.jpg</t>
  </si>
  <si>
    <t>https://dd3ka9h4chfr8.cloudfront.net/image/725136000567/image_h3di01s9qt1uh5krhees48677o/-FJPG/IHRM-047C_DET_1.jpg</t>
  </si>
  <si>
    <t>https://dd3ka9h4chfr8.cloudfront.net/image/725136000567/image_ce69omfct14k52che97jn5f63b/-FJPG/IHRM-047C_DET_3.jpg</t>
  </si>
  <si>
    <t>https://dd3ka9h4chfr8.cloudfront.net/image/725136000567/image_njctq3c6bt6vpe24ivobb3h52q/-FJPG/IHRM-047C_DET_4.jpg</t>
  </si>
  <si>
    <t>https://dd3ka9h4chfr8.cloudfront.net/image/725136000567/image_3cfvg12r8l2iv2llqg4rivg955/-FJPG/IHRM-047C_VIG_2.jpg</t>
  </si>
  <si>
    <t>IHRM-068</t>
  </si>
  <si>
    <t>Duncan Storage Coffee Table - Reclaimed Fruitwood</t>
  </si>
  <si>
    <t>Rich, reclaimed woods deliver depth beyond streamlined shaping. Warm brown tones reveal natural knots and graining for a distinctively found feel. Spacious drawers are concealed to serve up this coffee tableâ€™s finest features. Plinth base adds a modern touch.</t>
  </si>
  <si>
    <t>https://dd3ka9h4chfr8.cloudfront.net/image/725136000567/image_tvgsm9dkup07n54lqi1jnon20b/-S150x150-FJPG/IHRM-068_PRM_1.jpg</t>
  </si>
  <si>
    <t>https://dd3ka9h4chfr8.cloudfront.net/image/725136000567/image_g5s6v45u0d0hj132s155qc3a3r/-FJPG/IHRM-068_FRT_1.jpg</t>
  </si>
  <si>
    <t>https://dd3ka9h4chfr8.cloudfront.net/image/725136000567/image_tvgsm9dkup07n54lqi1jnon20b/-FJPG/IHRM-068_PRM_1.jpg</t>
  </si>
  <si>
    <t>https://dd3ka9h4chfr8.cloudfront.net/image/725136000567/image_o777tmg6jp79ldlqmd0nlgkp52/-FJPG/IHRM-068_SID_1.jpg</t>
  </si>
  <si>
    <t>https://dd3ka9h4chfr8.cloudfront.net/image/725136000567/image_es1ne9l5od3fnevecd70nmrh4r/-FJPG/IHRM-068_DET_2.jpg</t>
  </si>
  <si>
    <t>https://dd3ka9h4chfr8.cloudfront.net/image/725136000567/image_fv1b3031593t91of3nm6gss118/-FJPG/IHRM-068_DET_1.jpg</t>
  </si>
  <si>
    <t>https://dd3ka9h4chfr8.cloudfront.net/image/725136000567/image_oq71fochth5sb5pivu0eg8lj09/-FJPG/IHRM-068_DET_3.jpg</t>
  </si>
  <si>
    <t>https://dd3ka9h4chfr8.cloudfront.net/image/725136000567/image_p6m7rdhbs55nha5cqufbut0l41/-FJPG/IHRM-068_OPN_1.jpg</t>
  </si>
  <si>
    <t>https://dd3ka9h4chfr8.cloudfront.net/image/725136000567/image_90g96tuhap23jadeill4g6ab18/-FJPG/IHRM-068_DET_4.jpg</t>
  </si>
  <si>
    <t>https://dd3ka9h4chfr8.cloudfront.net/image/725136000567/image_iog91fbrp5387fi0fhafobv31k/-FJPG/IHRM-068_DET_5.jpg</t>
  </si>
  <si>
    <t>https://dd3ka9h4chfr8.cloudfront.net/image/725136000567/image_1l4ebbgent3tj5p1dl9fjs896d/-FJPG/IHRM-068_DET_6.jpg</t>
  </si>
  <si>
    <t>https://dd3ka9h4chfr8.cloudfront.net/image/725136000567/image_9d47dlc8lt37v8hc42t63jve2o/-FJPG/IHRM-068_DET_7.jpg</t>
  </si>
  <si>
    <t>https://dd3ka9h4chfr8.cloudfront.net/image/725136000567/image_9091gbodkp27fd3ji6grj8jm7i/-FJPG/IHRM-068_DET_8.jpg</t>
  </si>
  <si>
    <t>https://dd3ka9h4chfr8.cloudfront.net/image/725136000567/image_7o29e63ehh7dfcgphjgqj9cv2m/-FJPG/IHRM-068_DET_9.jpg</t>
  </si>
  <si>
    <t>https://dd3ka9h4chfr8.cloudfront.net/image/725136000567/image_rtf1ip21e17jn0k2hsnm8ief13/-FJPG/IHRM-068_ROM_1.jpg</t>
  </si>
  <si>
    <t>https://dd3ka9h4chfr8.cloudfront.net/image/725136000567/image_6lps9m11f50fjdoa5onjd2m370/-FJPG/IHRM-068_OPN_2.jpg</t>
  </si>
  <si>
    <t>IHRM-074</t>
  </si>
  <si>
    <t>Bronx Dining Table - Tanner Brown</t>
  </si>
  <si>
    <t>Tanner Brown</t>
  </si>
  <si>
    <t>Organically shaped pedestal table takes aesthetic cues from nature. Character-rich knots and grains innate to India-sourced reclaimed woods are retained for display on a dramatically tapered base, then smoothed across the table top for a modern feel.</t>
  </si>
  <si>
    <t>https://dd3ka9h4chfr8.cloudfront.net/image/725136000567/image_ckccpb8int2il7kdpbbd4a4v3c/-S150x150-FJPG/IHRM-074_PRM_1.jpg</t>
  </si>
  <si>
    <t>https://dd3ka9h4chfr8.cloudfront.net/image/725136000567/image_i5hf6kph5t3fdc4p6i6ifmrj0o/-FJPG/IHRM-074_FRT_1.jpg</t>
  </si>
  <si>
    <t>https://dd3ka9h4chfr8.cloudfront.net/image/725136000567/image_ckccpb8int2il7kdpbbd4a4v3c/-FJPG/IHRM-074_PRM_1.jpg</t>
  </si>
  <si>
    <t>https://dd3ka9h4chfr8.cloudfront.net/image/725136000567/image_osc1r9pmn55e51mfoa6jq30l0m/-FJPG/IHRM-074_DET_2.jpg</t>
  </si>
  <si>
    <t>https://dd3ka9h4chfr8.cloudfront.net/image/725136000567/image_sickc175j95g3e9ioij413kv65/-FJPG/IHRM-074_DET_1.jpg</t>
  </si>
  <si>
    <t>https://dd3ka9h4chfr8.cloudfront.net/image/725136000567/image_vdu7723m8t5697oom9hn59bp4i/-FJPG/IHRM-074_DET_3.jpg</t>
  </si>
  <si>
    <t>https://dd3ka9h4chfr8.cloudfront.net/image/725136000567/image_p7n1at16ph3it0ohmol12vvs67/-FJPG/IHRM-074_DET_4.jpg</t>
  </si>
  <si>
    <t>https://dd3ka9h4chfr8.cloudfront.net/image/725136000567/image_cl2picurfd7974sv6q7asan902/-FJPG/IHRM-074_DET_5.jpg</t>
  </si>
  <si>
    <t>https://dd3ka9h4chfr8.cloudfront.net/image/725136000567/image_pu11pt375t0sdcupg6cfhgft71/-FJPG/IHRM-074_DET_6.jpg</t>
  </si>
  <si>
    <t>https://dd3ka9h4chfr8.cloudfront.net/image/725136000567/image_2mnt0aai116b1865sgamsnth75/-FJPG/IHRM-074_DET_7.jpg</t>
  </si>
  <si>
    <t>https://dd3ka9h4chfr8.cloudfront.net/image/725136000567/image_ddspcl8lu12u1b2nniq7jeph1s/-FJPG/IHRM-074_ROM_1.jpg</t>
  </si>
  <si>
    <t>IHRM-156</t>
  </si>
  <si>
    <t>Duncan Trunk - Reclaimed Fruitwood</t>
  </si>
  <si>
    <t>Rich, reclaimed woods deliver depth beyond streamlined shaping. Warm brown tones reveal natural knots and graining for a distinctively found feel. Spacious trunk space perfect in entryway or at the foot of the bed. Plinth base adds a modern touch.</t>
  </si>
  <si>
    <t>https://dd3ka9h4chfr8.cloudfront.net/image/725136000567/image_k09qejeppd5pvbagfks5ubqs45/-S150x150-FJPG/IHRM-156_PRM_1.jpg</t>
  </si>
  <si>
    <t>https://dd3ka9h4chfr8.cloudfront.net/image/725136000567/image_2iitqaun597o93v218dca5f95r/-FJPG/IHRM-156_FRT_1.jpg</t>
  </si>
  <si>
    <t>https://dd3ka9h4chfr8.cloudfront.net/image/725136000567/image_k09qejeppd5pvbagfks5ubqs45/-FJPG/IHRM-156_PRM_1.jpg</t>
  </si>
  <si>
    <t>https://dd3ka9h4chfr8.cloudfront.net/image/725136000567/image_t6nhmklib11rn353192uclvn0a/-FJPG/IHRM-156_SID_1.jpg</t>
  </si>
  <si>
    <t>https://dd3ka9h4chfr8.cloudfront.net/image/725136000567/image_akmncpp5bh0cbb6oq1p262v662/-FJPG/IHRM-156_ESS_1.jpg</t>
  </si>
  <si>
    <t>https://dd3ka9h4chfr8.cloudfront.net/image/725136000567/image_4dpfscs7th69525bkfsm8ps26i/-FJPG/IHRM-156_DET_2.jpg</t>
  </si>
  <si>
    <t>https://dd3ka9h4chfr8.cloudfront.net/image/725136000567/image_m2qmgh29155pl5k53u3diu0957/-FJPG/IHRM-156_DET_1.jpg</t>
  </si>
  <si>
    <t>https://dd3ka9h4chfr8.cloudfront.net/image/725136000567/image_uej6hs4pbt5lre2l80fr0q7b74/-FJPG/IHRM-156_DET_3.jpg</t>
  </si>
  <si>
    <t>https://dd3ka9h4chfr8.cloudfront.net/image/725136000567/image_asco66edtt7hb007n3cjlqcb45/-FJPG/IHRM-156_OPN_1.jpg</t>
  </si>
  <si>
    <t>https://dd3ka9h4chfr8.cloudfront.net/image/725136000567/image_10vvsstoa90mbbdkk77uj5hb5r/-FJPG/IHRM-156_DET_4.jpg</t>
  </si>
  <si>
    <t>https://dd3ka9h4chfr8.cloudfront.net/image/725136000567/image_6bt785d8b176763teiqibu3g6e/-FJPG/IHRM-156_DET_5.jpg</t>
  </si>
  <si>
    <t>https://dd3ka9h4chfr8.cloudfront.net/image/725136000567/image_c7lgsj1ba13v9bt7r3jfh6og44/-FJPG/IHRM-156_OPN_2.jpg</t>
  </si>
  <si>
    <t>IHRM-164</t>
  </si>
  <si>
    <t>Everton Kitchen Island - Polished White Marble</t>
  </si>
  <si>
    <t>Kitchen Islands</t>
  </si>
  <si>
    <t>Light Tanner Brown Acacia</t>
  </si>
  <si>
    <t>A clever fusion of function and style. Solid brown-finished acacia welcomes six total drawers â€“ three on each side â€“ with a polished white marble tabletop keeping things smooth and sophisticated.</t>
  </si>
  <si>
    <t>https://dd3ka9h4chfr8.cloudfront.net/image/725136000567/image_6v26cu26hp6rj3foc41cfr271e/-S150x150-FJPG/IHRM-164_PRM_1.jpg</t>
  </si>
  <si>
    <t>https://dd3ka9h4chfr8.cloudfront.net/image/725136000567/image_mluoj5jkl555h02qovnuulrc1h/-FJPG/IHRM-164_FRT_1.jpg</t>
  </si>
  <si>
    <t>https://dd3ka9h4chfr8.cloudfront.net/image/725136000567/image_6v26cu26hp6rj3foc41cfr271e/-FJPG/IHRM-164_PRM_1.jpg</t>
  </si>
  <si>
    <t>https://dd3ka9h4chfr8.cloudfront.net/image/725136000567/image_h87nu3nsmp2dj74srftm3ij514/-FJPG/IHRM-164_SID_1.jpg</t>
  </si>
  <si>
    <t>https://dd3ka9h4chfr8.cloudfront.net/image/725136000567/image_936lviufmt7j17pegvn7h48p6k/-FJPG/IHRM-164_DET_2.jpg</t>
  </si>
  <si>
    <t>https://dd3ka9h4chfr8.cloudfront.net/image/725136000567/image_jovjb1mnht2pd13amr9pccas7b/-FJPG/IHRM-164_DET_1.jpg</t>
  </si>
  <si>
    <t>https://dd3ka9h4chfr8.cloudfront.net/image/725136000567/image_mkacmnb88l257ekmasl78gio2d/-FJPG/IHRM-164_DET_3.jpg</t>
  </si>
  <si>
    <t>https://dd3ka9h4chfr8.cloudfront.net/image/725136000567/image_5cab0q4ekt6rt6ckujnqpbnd7d/-FJPG/IHRM-164_OPN_1.jpg</t>
  </si>
  <si>
    <t>https://dd3ka9h4chfr8.cloudfront.net/image/725136000567/image_nl44eu5b4l3u1bseedijl25d6t/-FJPG/IHRM-164_DET_4.jpg</t>
  </si>
  <si>
    <t>https://dd3ka9h4chfr8.cloudfront.net/image/725136000567/image_lrash0auu93l91kkoh36k7n923/-FJPG/IHRM-164_DET_5.jpg</t>
  </si>
  <si>
    <t>https://dd3ka9h4chfr8.cloudfront.net/image/725136000567/image_fsrfbhr5ep6s17t94in9v4gj54/-FJPG/IHRM-164_DET_6.jpg</t>
  </si>
  <si>
    <t>https://dd3ka9h4chfr8.cloudfront.net/image/725136000567/image_osnbfbbrfl73r8r1sdna2ho166/-FJPG/IHRM-164_DET_7.jpg</t>
  </si>
  <si>
    <t>Structure /Stretcher</t>
  </si>
  <si>
    <t>Everton</t>
  </si>
  <si>
    <t>17.63"</t>
  </si>
  <si>
    <t>IMAR-259</t>
  </si>
  <si>
    <t>Felix Oval Nightstand - Polished White Marble</t>
  </si>
  <si>
    <t>Add a pop of sophistication to any space. Polished white marble lays three tiers of oval-shaped shelving,  with brass-finished iron framing bringing a feminine feel to bedside storage.</t>
  </si>
  <si>
    <t>https://dd3ka9h4chfr8.cloudfront.net/image/725136000567/image_4nhc2200bp34168g571s0dv01e/-S150x150-FJPG/IMAR-259_PRM_1.jpg</t>
  </si>
  <si>
    <t>https://dd3ka9h4chfr8.cloudfront.net/image/725136000567/image_tkl8p0h6ph5373erb0jesv9h7d/-FJPG/IMAR-259_FRT_1.jpg</t>
  </si>
  <si>
    <t>https://dd3ka9h4chfr8.cloudfront.net/image/725136000567/image_4nhc2200bp34168g571s0dv01e/-FJPG/IMAR-259_PRM_1.jpg</t>
  </si>
  <si>
    <t>https://dd3ka9h4chfr8.cloudfront.net/image/725136000567/image_v6srg57l695sp9r124ktdf2p60/-FJPG/IMAR-259_SID_1.jpg</t>
  </si>
  <si>
    <t>https://dd3ka9h4chfr8.cloudfront.net/image/725136000567/image_18f1tfsm7d6p3ahvgl1k7m413a/-FJPG/IMAR-259_DET_2.jpg</t>
  </si>
  <si>
    <t>https://dd3ka9h4chfr8.cloudfront.net/image/725136000567/image_bn7qkgk5353tbbi1v74ltkb25e/-FJPG/IMAR-259_DET_1.jpg</t>
  </si>
  <si>
    <t>https://dd3ka9h4chfr8.cloudfront.net/image/725136000567/image_nio59b3dmt0o1c2aq5er50ln19/-FJPG/IMAR-259_DET_4.jpg</t>
  </si>
  <si>
    <t>https://dd3ka9h4chfr8.cloudfront.net/image/725136000567/image_tctfd2nqkd2lj5oj1rfv17r65j/-FJPG/IMAR-259_DET_5.jpg</t>
  </si>
  <si>
    <t>https://dd3ka9h4chfr8.cloudfront.net/image/725136000567/image_b2rddhfcul4u54r49j75eifo2s/-FJPG/IMAR-259_ROM_1.jpg</t>
  </si>
  <si>
    <t>10.38"</t>
  </si>
  <si>
    <t>Felix</t>
  </si>
  <si>
    <t>IMAR-48</t>
  </si>
  <si>
    <t>Marlow Mod Pedestal Table - Ash Glass</t>
  </si>
  <si>
    <t>Ash Glass</t>
  </si>
  <si>
    <t>Brushed Nickel</t>
  </si>
  <si>
    <t>The vintage-inspired personality of this brushed nickel-toned pedestal table meets a mirrored top in ash glass to make a bold, modern statement with an on-trend metallic pop.</t>
  </si>
  <si>
    <t>https://dd3ka9h4chfr8.cloudfront.net/image/725136000567/image_pjg6518s456rnamsoum123bp2s/-S150x150-FJPG/IMAR-48_PRM_1.jpg</t>
  </si>
  <si>
    <t>https://dd3ka9h4chfr8.cloudfront.net/image/725136000567/image_pjg6518s456rnamsoum123bp2s/-FJPG/IMAR-48_PRM_1.jpg</t>
  </si>
  <si>
    <t>https://dd3ka9h4chfr8.cloudfront.net/image/725136000567/image_8h5oufv2u92630vk6d0gb4ji5c/-FJPG/IMAR-48_ESS_1.jpg</t>
  </si>
  <si>
    <t>https://dd3ka9h4chfr8.cloudfront.net/image/725136000567/image_5qva9fk1s52idc6s86mm37mu4a/-FJPG/IMAR-48_DET_2.jpg</t>
  </si>
  <si>
    <t>https://dd3ka9h4chfr8.cloudfront.net/image/725136000567/image_d47hg6h8u925j9ev47blhgoc0m/-FJPG/IMAR-48_DET_1.jpg</t>
  </si>
  <si>
    <t>https://dd3ka9h4chfr8.cloudfront.net/image/725136000567/image_6j3c4k3lc970173bfqnq5fdv6l/-FJPG/IMAR-48_DET_3.jpg</t>
  </si>
  <si>
    <t>https://dd3ka9h4chfr8.cloudfront.net/image/725136000567/image_q33efskh4p7rd8udailcufch19/-FJPG/IMAR-48_DET_4.jpg</t>
  </si>
  <si>
    <t>https://dd3ka9h4chfr8.cloudfront.net/image/725136000567/image_jf91psjmg90m5824hurblfr73a/-FJPG/IMAR-48_ROM_1.jpg</t>
  </si>
  <si>
    <t>0.31"</t>
  </si>
  <si>
    <t>IMAR-48A</t>
  </si>
  <si>
    <t>The vintage-inspired personality of this brushed bronze-toned pedestal table meets a mirrored top in ash glass to make a bold, modern statement with an on-trend metallic pop.</t>
  </si>
  <si>
    <t>https://dd3ka9h4chfr8.cloudfront.net/image/725136000567/image_snamo4u6at7nf17kgksrs9ht56/-S150x150-FJPG/IMAR-48A_PRM_1.jpg</t>
  </si>
  <si>
    <t>https://dd3ka9h4chfr8.cloudfront.net/image/725136000567/image_snamo4u6at7nf17kgksrs9ht56/-FJPG/IMAR-48A_PRM_1.jpg</t>
  </si>
  <si>
    <t>https://dd3ka9h4chfr8.cloudfront.net/image/725136000567/image_8g4gd61h1d3hh4d9rtdee1940s/-FJPG/IMAR-48A_DET_2.jpg</t>
  </si>
  <si>
    <t>https://dd3ka9h4chfr8.cloudfront.net/image/725136000567/image_2e55lt63cp0mr8vrqnujpucj32/-FJPG/IMAR-48A_DET_1.jpg</t>
  </si>
  <si>
    <t>https://dd3ka9h4chfr8.cloudfront.net/image/725136000567/image_jj1g0ct5j976b5eqf1jts8nc1r/-FJPG/IMAR-48A_DET_3.jpg</t>
  </si>
  <si>
    <t>https://dd3ka9h4chfr8.cloudfront.net/image/725136000567/image_lq9d8cbrj53hr0ah22631tu50r/-FJPG/IMAR-48A_DET_4.jpg</t>
  </si>
  <si>
    <t>https://dd3ka9h4chfr8.cloudfront.net/image/725136000567/image_3495qls19p0h7256n7uuf2fn11/-FJPG/IMAR-48A_DET_5.jpg</t>
  </si>
  <si>
    <t>https://dd3ka9h4chfr8.cloudfront.net/image/725136000567/image_djn0fpgmtp5anbbcsiiskilq4o/-FJPG/IMAR-48A_ROM_1.jpg</t>
  </si>
  <si>
    <t>IMAR-48-BBS</t>
  </si>
  <si>
    <t>The vintage-inspired personality of this pedestal table with an antiqued mirror top makes a bold, modern statement with an on-trend metallic pop.</t>
  </si>
  <si>
    <t>https://dd3ka9h4chfr8.cloudfront.net/image/725136000567/image_gcsk08gr2h1mv5cjfqq880cb3p/-S150x150-FJPG/IMAR-48-BBS_PRM_1.jpg</t>
  </si>
  <si>
    <t>https://dd3ka9h4chfr8.cloudfront.net/image/725136000567/image_gcsk08gr2h1mv5cjfqq880cb3p/-FJPG/IMAR-48-BBS_PRM_1.jpg</t>
  </si>
  <si>
    <t>https://dd3ka9h4chfr8.cloudfront.net/image/725136000567/image_c8n1uia8s13kredevjk10o457r/-FJPG/IMAR-48-BBS_DET_2.jpg</t>
  </si>
  <si>
    <t>https://dd3ka9h4chfr8.cloudfront.net/image/725136000567/image_g81j42u1ut59b1p2g5nsmsou48/-FJPG/IMAR-48-BBS_DET_1.jpg</t>
  </si>
  <si>
    <t>https://dd3ka9h4chfr8.cloudfront.net/image/725136000567/image_urkvm12m5d78nfioip3ja9kq0f/-FJPG/IMAR-48-BBS_ROM_1.jpg</t>
  </si>
  <si>
    <t>https://dd3ka9h4chfr8.cloudfront.net/image/725136000567/image_vt8jt7peo912h4of050923lr37/-FJPG/IMAR-48-BBS_ROM_2.jpg</t>
  </si>
  <si>
    <t>https://dd3ka9h4chfr8.cloudfront.net/image/725136000567/image_c0t9ep0ij57mf1n0i4lls59h4g/-FJPG/IMAR-48-BBS_ROM_3.jpg</t>
  </si>
  <si>
    <t>https://dd3ka9h4chfr8.cloudfront.net/image/725136000567/image_klj4sjc7eh3319j0r4t119tq4t/-FJPG/IMAR-48-BBS_ROM_4.jpg</t>
  </si>
  <si>
    <t>IMAR-93A</t>
  </si>
  <si>
    <t>Simone Bistro Table - Raw Antique Nickel</t>
  </si>
  <si>
    <t>Raw Antique Nickel</t>
  </si>
  <si>
    <t>Classic tulip shaping in textural cast-aluminum makes for a modern bistro table. Finished in raw nickel to bring out alluring highs and lows, indoors or out. Cover or store inside during inclement weather and when not in use.</t>
  </si>
  <si>
    <t>https://dd3ka9h4chfr8.cloudfront.net/image/725136000567/image_groeqd35f171p6mn5ui603s809/-S150x150-FJPG/IMAR-93A_PRM_1.jpg</t>
  </si>
  <si>
    <t>https://dd3ka9h4chfr8.cloudfront.net/image/725136000567/image_groeqd35f171p6mn5ui603s809/-FJPG/IMAR-93A_PRM_1.jpg</t>
  </si>
  <si>
    <t>https://dd3ka9h4chfr8.cloudfront.net/image/725136000567/image_men7td21lh5b190ls9hrrslb5m/-FJPG/IMAR-93A_DET_2.jpg</t>
  </si>
  <si>
    <t>https://dd3ka9h4chfr8.cloudfront.net/image/725136000567/image_aq04r591ih76p9dtb0h78fe16o/-FJPG/IMAR-93A_DET_1.jpg</t>
  </si>
  <si>
    <t>https://dd3ka9h4chfr8.cloudfront.net/image/725136000567/image_13l924ock954t6svfcvin0fd0r/-FJPG/IMAR-93A_DET_3.jpg</t>
  </si>
  <si>
    <t>https://dd3ka9h4chfr8.cloudfront.net/image/725136000567/image_lof8vsj23l4gj215fe8mr4kb0e/-FJPG/IMAR-93A_TOP_1.jpg</t>
  </si>
  <si>
    <t>https://dd3ka9h4chfr8.cloudfront.net/image/725136000567/image_v8k21vrllt43v4k1qpjgn6km05/-FJPG/IMAR-93A_DET_4.jpg</t>
  </si>
  <si>
    <t>https://dd3ka9h4chfr8.cloudfront.net/image/725136000567/image_gd0nsgeh1l791akhqjpce1o83e/-FJPG/IMAR-93A_ROM_1.jpg</t>
  </si>
  <si>
    <t>IMYA-002</t>
  </si>
  <si>
    <t>Columbus Trunk Console - Dark Totem</t>
  </si>
  <si>
    <t>Dark Totem</t>
  </si>
  <si>
    <t>Reclaimed woods retain their deep totem tone for a global-rich look. Inspired by authentic Indian antiques, intricate hand carving delivers a modern air via fresh geometric patterns. Versatile, conversation-starting storage piece suits any room in the house.</t>
  </si>
  <si>
    <t>https://dd3ka9h4chfr8.cloudfront.net/image/725136000567/image_mr55cchgc97f724mfbmnmk4j1m/-S150x150-FJPG/IMYA-002_PRM_1.jpg</t>
  </si>
  <si>
    <t>https://dd3ka9h4chfr8.cloudfront.net/image/725136000567/image_svea0f61a13lb9e11ge9lhn317/-FJPG/IMYA-002_FRT_1.jpg</t>
  </si>
  <si>
    <t>https://dd3ka9h4chfr8.cloudfront.net/image/725136000567/image_mr55cchgc97f724mfbmnmk4j1m/-FJPG/IMYA-002_PRM_1.jpg</t>
  </si>
  <si>
    <t>https://dd3ka9h4chfr8.cloudfront.net/image/725136000567/image_ksgbb6jucl2m1cqkebic17nr5b/-FJPG/IMYA-002_SID_1.jpg</t>
  </si>
  <si>
    <t>https://dd3ka9h4chfr8.cloudfront.net/image/725136000567/image_qv6dao0rod4tlc30g4omvp6n18/-FJPG/IMYA-002_DET_2.jpg</t>
  </si>
  <si>
    <t>https://dd3ka9h4chfr8.cloudfront.net/image/725136000567/image_oh74madf1h1hlbrknbc1sugo67/-FJPG/IMYA-002_DET_1.jpg</t>
  </si>
  <si>
    <t>https://dd3ka9h4chfr8.cloudfront.net/image/725136000567/image_jr265u5r914k9br0r7fe08ij5d/-FJPG/IMYA-002_DET_3.jpg</t>
  </si>
  <si>
    <t>https://dd3ka9h4chfr8.cloudfront.net/image/725136000567/image_nuiffmhe616l57jppsl7pnia62/-FJPG/IMYA-002_OPN_1.jpg</t>
  </si>
  <si>
    <t>https://dd3ka9h4chfr8.cloudfront.net/image/725136000567/image_telcam3kr55jtdrlbfqom0tb29/-FJPG/IMYA-002_DET_5.jpg</t>
  </si>
  <si>
    <t>https://dd3ka9h4chfr8.cloudfront.net/image/725136000567/image_dbv7nc48hp34h1h4l7r8l4ci10/-FJPG/IMYA-002_ROM_1.jpg</t>
  </si>
  <si>
    <t>https://dd3ka9h4chfr8.cloudfront.net/image/725136000567/image_fm28sabqjl1j1drmtqh5vq6v65/-FJPG/IMYA-002_ROM_2.jpg</t>
  </si>
  <si>
    <t>Columbus</t>
  </si>
  <si>
    <t>IPRS-027</t>
  </si>
  <si>
    <t>Elena Sideboard and Hutch - Satin Black</t>
  </si>
  <si>
    <t>Satin Black</t>
  </si>
  <si>
    <t>Slim, simple style with organic airs. Natural mango and gunmetal-finished iron merge for eye-catching contrast. Clean and modern, a spacious hutch brings even more storage to this stylish sideboard.</t>
  </si>
  <si>
    <t>https://dd3ka9h4chfr8.cloudfront.net/image/725136000567/image_b6n5i4l2jl2ijfmmp788soh53c/-S150x150-FJPG/IPRS-027_PRM_1.jpg</t>
  </si>
  <si>
    <t>https://dd3ka9h4chfr8.cloudfront.net/image/725136000567/image_o548ifg53p0557ul2hfcmjiq5c/-FJPG/IPRS-027_FRT_1.jpg</t>
  </si>
  <si>
    <t>https://dd3ka9h4chfr8.cloudfront.net/image/725136000567/image_b6n5i4l2jl2ijfmmp788soh53c/-FJPG/IPRS-027_PRM_1.jpg</t>
  </si>
  <si>
    <t>https://dd3ka9h4chfr8.cloudfront.net/image/725136000567/image_8llp1o38vp76j5i67r7vhc9003/-FJPG/IPRS-027_SID_1.jpg</t>
  </si>
  <si>
    <t>https://dd3ka9h4chfr8.cloudfront.net/image/725136000567/image_6iuoesbd0h0f95afeuhv0m391c/-FJPG/IPRS-027_ESS_1.jpg</t>
  </si>
  <si>
    <t>https://dd3ka9h4chfr8.cloudfront.net/image/725136000567/image_hmrmlmhbm57qtdd8ae7tg5tc31/-FJPG/IPRS-027_DET_2.jpg</t>
  </si>
  <si>
    <t>https://dd3ka9h4chfr8.cloudfront.net/image/725136000567/image_niqa0or4p57dt8crqemuu0u37o/-FJPG/IPRS-027_DET_1.jpg</t>
  </si>
  <si>
    <t>https://dd3ka9h4chfr8.cloudfront.net/image/725136000567/image_uql5fqn0it3k75oj97ln5mgu6t/-FJPG/IPRS-027_DET_3.jpg</t>
  </si>
  <si>
    <t>https://dd3ka9h4chfr8.cloudfront.net/image/725136000567/image_h9cd5tsrup7c583s9gm0aqfd2b/-FJPG/IPRS-027_OPN_1.jpg</t>
  </si>
  <si>
    <t>https://dd3ka9h4chfr8.cloudfront.net/image/725136000567/image_u6s0hq89ft6b328o9iql2lhq3p/-FJPG/IPRS-027_DET_4.jpg</t>
  </si>
  <si>
    <t>https://dd3ka9h4chfr8.cloudfront.net/image/725136000567/image_4tpk34lif904rd5veu8dskp21e/-FJPG/IPRS-027_DET_5.jpg</t>
  </si>
  <si>
    <t>https://dd3ka9h4chfr8.cloudfront.net/image/725136000567/image_9ks0r56a214grf6982d4ks0i5m/-FJPG/IPRS-027_DET_6.jpg</t>
  </si>
  <si>
    <t>https://dd3ka9h4chfr8.cloudfront.net/image/725136000567/image_akvvq12ul95pfen4v0013f8m2i/-FJPG/IPRS-027_DET_7.jpg</t>
  </si>
  <si>
    <t>https://dd3ka9h4chfr8.cloudfront.net/image/725136000567/image_c4uvno527t08p8nvpjri2m4o6i/-FJPG/IPRS-027_DET_8.jpg</t>
  </si>
  <si>
    <t>https://dd3ka9h4chfr8.cloudfront.net/image/725136000567/image_f7hgpbb3v945j7qf4jb8fpo440/-FJPG/IPRS-027_ROM_1.jpg</t>
  </si>
  <si>
    <t>Cabinet</t>
  </si>
  <si>
    <t>Hutch</t>
  </si>
  <si>
    <t>16.33"</t>
  </si>
  <si>
    <t>63.78"</t>
  </si>
  <si>
    <t>14.56"</t>
  </si>
  <si>
    <t>Elena</t>
  </si>
  <si>
    <t>5.53"</t>
  </si>
  <si>
    <t>15.74"</t>
  </si>
  <si>
    <t>IPRS-030QB</t>
  </si>
  <si>
    <t>Black-washed mango frames inset woven cane, for a textural look with  eye-catching contrast. Three-panel head and foot boards add a detail-rich touch. Box spring not required.</t>
  </si>
  <si>
    <t>https://dd3ka9h4chfr8.cloudfront.net/image/725136000567/image_ic2j89seat37j2m260oh2nk67j/-S150x150-FJPG/IPRS-030QB_PRM_1.jpg</t>
  </si>
  <si>
    <t>https://dd3ka9h4chfr8.cloudfront.net/image/725136000567/image_u63cgsa2f11alds9tthvn0be4k/-FJPG/IPRS-030QB_FRT_1.jpg</t>
  </si>
  <si>
    <t>https://dd3ka9h4chfr8.cloudfront.net/image/725136000567/image_ic2j89seat37j2m260oh2nk67j/-FJPG/IPRS-030QB_PRM_1.jpg</t>
  </si>
  <si>
    <t>https://dd3ka9h4chfr8.cloudfront.net/image/725136000567/image_1ksl15fsch7ltddn4d0lu8uk27/-FJPG/IPRS-030QB_SID_1.jpg</t>
  </si>
  <si>
    <t>https://dd3ka9h4chfr8.cloudfront.net/image/725136000567/image_ka1s0f9dqh4h3dankf1eo1524i/-FJPG/IPRS-030QB_DET_1.jpg</t>
  </si>
  <si>
    <t>https://dd3ka9h4chfr8.cloudfront.net/image/725136000567/image_15476uaic15dl78f48komgr624/-FJPG/IPRS-030QB_DET_3.jpg</t>
  </si>
  <si>
    <t>https://dd3ka9h4chfr8.cloudfront.net/image/725136000567/image_bqc0vmh4q94cf8m3hctcg8p85s/-FJPG/IPRS-030QB_DET_4.jpg</t>
  </si>
  <si>
    <t>https://dd3ka9h4chfr8.cloudfront.net/image/725136000567/image_7dlkmsqvgl2a9bf1iig4g41p53/-FJPG/IPRS-030QB_DET_5.jpg</t>
  </si>
  <si>
    <t>https://dd3ka9h4chfr8.cloudfront.net/image/725136000567/image_34d2jjt65h74t0u203lbsmek3m/-FJPG/IPRS-030QB_DET_6.jpg</t>
  </si>
  <si>
    <t>https://dd3ka9h4chfr8.cloudfront.net/image/725136000567/image_ij5rguh8a51n10usufpeqqq91i/-FJPG/IPRS-030QB_DET_7.jpg</t>
  </si>
  <si>
    <t>https://dd3ka9h4chfr8.cloudfront.net/image/725136000567/image_fucp1fddrd7bjcc2ivcj4ihn6q/-FJPG/IPRS-030QB_DET_8.jpg</t>
  </si>
  <si>
    <t>https://dd3ka9h4chfr8.cloudfront.net/image/725136000567/image_hp189ajret241903t33grl7j0d/-FJPG/IPRS-030QB_ROM_1.jpg</t>
  </si>
  <si>
    <t>IPRS-030TB</t>
  </si>
  <si>
    <t>https://dd3ka9h4chfr8.cloudfront.net/image/725136000567/image_7ohtcro0k171pc2i1d5fob8i64/-S150x150-FJPG/IPRS-030TB_PRM_1.jpg</t>
  </si>
  <si>
    <t>https://dd3ka9h4chfr8.cloudfront.net/image/725136000567/image_7ohtcro0k171pc2i1d5fob8i64/-FJPG/IPRS-030TB_PRM_1.jpg</t>
  </si>
  <si>
    <t>https://dd3ka9h4chfr8.cloudfront.net/image/725136000567/image_mrgi0rd4tp34vfv7ac7g0r5n3m/-FJPG/IPRS-030TB_SID_1.jpg</t>
  </si>
  <si>
    <t>https://dd3ka9h4chfr8.cloudfront.net/image/725136000567/image_kajmgk7t1168laqsoscbu2vg7l/-FJPG/IPRS-030TB_DET_2.jpg</t>
  </si>
  <si>
    <t>https://dd3ka9h4chfr8.cloudfront.net/image/725136000567/image_akfe4gprdt1n7d3hoedd1cnf0q/-FJPG/IPRS-030TB_DET_1.jpg</t>
  </si>
  <si>
    <t>https://dd3ka9h4chfr8.cloudfront.net/image/725136000567/image_p5up75uiop6tt7585i97m9e158/-FJPG/IPRS-030TB_DET_3.jpg</t>
  </si>
  <si>
    <t>https://dd3ka9h4chfr8.cloudfront.net/image/725136000567/image_t9b7hoov1t7ad6l1435chhr33o/-FJPG/IPRS-030TB_DET_4.jpg</t>
  </si>
  <si>
    <t>https://dd3ka9h4chfr8.cloudfront.net/image/725136000567/image_c7vt1hljhh1h3bnffosegtj43g/-FJPG/IPRS-030TB_DET_5.jpg</t>
  </si>
  <si>
    <t>IPRS-039</t>
  </si>
  <si>
    <t>Carmel Small Cabinet - Natural Mango</t>
  </si>
  <si>
    <t>Mid-century style with an organic twist. Surrounded by mango casing, light cane weaves for a fresh look with natural depth. Angular gunmetal-finished iron legs offer an intriguing contrast of texture and tone. Perfect solo or paired up.</t>
  </si>
  <si>
    <t>https://dd3ka9h4chfr8.cloudfront.net/image/725136000567/image_5nkn38n1m57t909dfjeaig1b70/-S150x150-FJPG/IPRS-039_PRM_1.jpg</t>
  </si>
  <si>
    <t>https://dd3ka9h4chfr8.cloudfront.net/image/725136000567/image_b3v089gufh1ad4iog9ad48qn48/-FJPG/IPRS-039_FRT_1.jpg</t>
  </si>
  <si>
    <t>https://dd3ka9h4chfr8.cloudfront.net/image/725136000567/image_5nkn38n1m57t909dfjeaig1b70/-FJPG/IPRS-039_PRM_1.jpg</t>
  </si>
  <si>
    <t>https://dd3ka9h4chfr8.cloudfront.net/image/725136000567/image_o9qkmv9opt2fh76ih86kcrnl3u/-FJPG/IPRS-039_SID_1.jpg</t>
  </si>
  <si>
    <t>https://dd3ka9h4chfr8.cloudfront.net/image/725136000567/image_trstbce3015a99tbk8ro3vj86b/-FJPG/IPRS-039_ESS_1.jpg</t>
  </si>
  <si>
    <t>https://dd3ka9h4chfr8.cloudfront.net/image/725136000567/image_lbbtrv83m91pb1hll84g6qgb4m/-FJPG/IPRS-039_DET_2.jpg</t>
  </si>
  <si>
    <t>https://dd3ka9h4chfr8.cloudfront.net/image/725136000567/image_mrh34t9ao91bb39ci9r7ga4p48/-FJPG/IPRS-039_DET_1.jpg</t>
  </si>
  <si>
    <t>https://dd3ka9h4chfr8.cloudfront.net/image/725136000567/image_kv7ler38k55q3a2asnlvgitn2r/-FJPG/IPRS-039_DET_3.jpg</t>
  </si>
  <si>
    <t>https://dd3ka9h4chfr8.cloudfront.net/image/725136000567/image_54ijp29t511td580t32gi0n728/-FJPG/IPRS-039_OPN_1.jpg</t>
  </si>
  <si>
    <t>https://dd3ka9h4chfr8.cloudfront.net/image/725136000567/image_e0ph5o5vod3nfdem4b0foibs15/-FJPG/IPRS-039_DET_4.jpg</t>
  </si>
  <si>
    <t>https://dd3ka9h4chfr8.cloudfront.net/image/725136000567/image_q2gec8chod4jhe1vf2jpjuqc7d/-FJPG/IPRS-039_DET_5.jpg</t>
  </si>
  <si>
    <t>https://dd3ka9h4chfr8.cloudfront.net/image/725136000567/image_flfvr1n40h50n7jsd9seqprp23/-FJPG/IPRS-039_DET_6.jpg</t>
  </si>
  <si>
    <t>https://dd3ka9h4chfr8.cloudfront.net/image/725136000567/image_cpkuvdgqi133747mkgm2eqfg3s/-FJPG/IPRS-039_DET_7.jpg</t>
  </si>
  <si>
    <t>https://dd3ka9h4chfr8.cloudfront.net/image/725136000567/image_p6otq6qff15235t2ordt0oa743/-FJPG/IPRS-039_DET_8.jpg</t>
  </si>
  <si>
    <t>ISD-0199</t>
  </si>
  <si>
    <t>Felix Round Coffee Table - Sandblasted White Marble</t>
  </si>
  <si>
    <t>Theory</t>
  </si>
  <si>
    <t>Sandblasted White Marble</t>
  </si>
  <si>
    <t>Rustic Fossil</t>
  </si>
  <si>
    <t>A raw, rustic iron base supports a round, white marble top, which is sandblasted for texture and polish.</t>
  </si>
  <si>
    <t>https://dd3ka9h4chfr8.cloudfront.net/image/725136000567/image_j9v1mc93ph7c72kuo1oipb6d0g/-S150x150-FJPG/ISD-0199_PRM_1.jpg</t>
  </si>
  <si>
    <t>https://dd3ka9h4chfr8.cloudfront.net/image/725136000567/image_j9v1mc93ph7c72kuo1oipb6d0g/-FJPG/ISD-0199_PRM_1.jpg</t>
  </si>
  <si>
    <t>https://dd3ka9h4chfr8.cloudfront.net/image/725136000567/image_i5htk4311h40f5usea8c44jv3e/-FJPG/ISD-0199_SID_1.jpg</t>
  </si>
  <si>
    <t>https://dd3ka9h4chfr8.cloudfront.net/image/725136000567/image_e6blm4e9gd2j7dvuh9031e3107/-FJPG/ISD-0199_DET_2.jpg</t>
  </si>
  <si>
    <t>https://dd3ka9h4chfr8.cloudfront.net/image/725136000567/image_nq8j9ouvfl1shebs1n5p96dm6t/-FJPG/ISD-0199_DET_1.jpg</t>
  </si>
  <si>
    <t>https://dd3ka9h4chfr8.cloudfront.net/image/725136000567/image_9i9t43sl717sp28ku4i7fdl413/-FJPG/ISD-0199_DET_3.jpg</t>
  </si>
  <si>
    <t>https://dd3ka9h4chfr8.cloudfront.net/image/725136000567/image_7q04oldhpl1kv5mju8uont2j55/-FJPG/ISD-0199_DET_4.jpg</t>
  </si>
  <si>
    <t>https://dd3ka9h4chfr8.cloudfront.net/image/725136000567/image_474s2rbsst0gn7t9c2cnhjcq4t/-FJPG/ISD-0199_DET_5.jpg</t>
  </si>
  <si>
    <t>https://dd3ka9h4chfr8.cloudfront.net/image/725136000567/image_e1lsm5nift5tv3nchjmq4cif64/-FJPG/ISD-0199_DET_10.tif</t>
  </si>
  <si>
    <t>https://dd3ka9h4chfr8.cloudfront.net/image/725136000567/image_04mnho14d55bbeovldhi1vvh7j/-FJPG/ISD-0199_DET_10.jpg</t>
  </si>
  <si>
    <t>https://dd3ka9h4chfr8.cloudfront.net/image/725136000567/image_rdhsrjdf3p2pf3s0c71bjc3h1a/-FJPG/ISD-0199_ROM_1.jpg</t>
  </si>
  <si>
    <t>https://dd3ka9h4chfr8.cloudfront.net/image/725136000567/image_ou359vnl1p2kndkj25bckuie57/-FJPG/ISD-0199_ROM_2.jpg</t>
  </si>
  <si>
    <t>https://dd3ka9h4chfr8.cloudfront.net/image/725136000567/image_rdfg7sapv124r5jsg32vm57c72/-FJPG/ISD-0199_ESS.tif</t>
  </si>
  <si>
    <t>JLAN-154</t>
  </si>
  <si>
    <t>Pascal Coffee Table - Light Natural</t>
  </si>
  <si>
    <t>Light Natural</t>
  </si>
  <si>
    <t>Pandan Rope</t>
  </si>
  <si>
    <t>Handmade in Indonesia, Pandan leaves are harvested, split into slimmer fibers then hand-braided to shape this beautifully textured drum-style coffee table. Color changes over time - ranging from green and yellow to brown and grey - are to be expected and reflect the natural, character-rich backstory of such intriguingly unique materials.</t>
  </si>
  <si>
    <t>https://dd3ka9h4chfr8.cloudfront.net/image/725136000567/image_i3ae9n66790kf842mvc97emi11/-S150x150-FJPG/JLAN-154_PRM_1.jpg</t>
  </si>
  <si>
    <t>https://dd3ka9h4chfr8.cloudfront.net/image/725136000567/image_i3ae9n66790kf842mvc97emi11/-FJPG/JLAN-154_PRM_1.jpg</t>
  </si>
  <si>
    <t>https://dd3ka9h4chfr8.cloudfront.net/image/725136000567/image_ukl7bs4ejh2sb6a3vc05oe8u2q/-FJPG/JLAN-154_DET_2.jpg</t>
  </si>
  <si>
    <t>https://dd3ka9h4chfr8.cloudfront.net/image/725136000567/image_8bjo7n1qdp29r5ebnfm0qtie2c/-FJPG/JLAN-154_DET_1.jpg</t>
  </si>
  <si>
    <t>https://dd3ka9h4chfr8.cloudfront.net/image/725136000567/image_5uuo9rasbd0il7kfem217b2o0c/-FJPG/JLAN-154_INF_1.jpg</t>
  </si>
  <si>
    <t>https://dd3ka9h4chfr8.cloudfront.net/image/725136000567/image_dp8gb7qvp11mpbfuralg0na71q/-FJPG/JLAN-154_TOP_1.jpg</t>
  </si>
  <si>
    <t>https://dd3ka9h4chfr8.cloudfront.net/image/725136000567/image_g7nqts6bvp2a737c89rati6k1d/-FJPG/JLAN-154_DET_4.jpg</t>
  </si>
  <si>
    <t>https://dd3ka9h4chfr8.cloudfront.net/image/725136000567/image_vcacuta5bl70r0qobf45t65e27/-FJPG/JLAN-154_DET_5.jpg</t>
  </si>
  <si>
    <t>https://dd3ka9h4chfr8.cloudfront.net/image/725136000567/image_rdraknk9sh4g1b0h5iflbrpr0r/-FJPG/JLAN-154_ROM_1.jpg</t>
  </si>
  <si>
    <t>Pascal</t>
  </si>
  <si>
    <t>JLAN-212</t>
  </si>
  <si>
    <t>Phoenix Outdoor Coffee Table - Vintage White</t>
  </si>
  <si>
    <t>Vintage White</t>
  </si>
  <si>
    <t>Pure White</t>
  </si>
  <si>
    <t>All-weather wicker weaves to cover an aluminum frame, with a soft, rounded shape and vintage white finish. Cover or store indoors during inclement weather and when not in use.</t>
  </si>
  <si>
    <t>https://dd3ka9h4chfr8.cloudfront.net/image/725136000567/image_cb33smq6ip13t7osd32qk1g40n/-S150x150-FJPG/JLAN-212_PRM_1.jpg</t>
  </si>
  <si>
    <t>https://dd3ka9h4chfr8.cloudfront.net/image/725136000567/image_jjvujpk8i539d0ig3oobe8u81n/-FJPG/JLAN-212_FRT_1.jpg</t>
  </si>
  <si>
    <t>https://dd3ka9h4chfr8.cloudfront.net/image/725136000567/image_cb33smq6ip13t7osd32qk1g40n/-FJPG/JLAN-212_PRM_1.jpg</t>
  </si>
  <si>
    <t>https://dd3ka9h4chfr8.cloudfront.net/image/725136000567/image_gtl9343esh5f562jvkl9sf9l0j/-FJPG/JLAN-212_ESS_1.jpg</t>
  </si>
  <si>
    <t>https://dd3ka9h4chfr8.cloudfront.net/image/725136000567/image_eropr3p63d3speunupje000j3j/-FJPG/JLAN-212_DET_2.jpg</t>
  </si>
  <si>
    <t>https://dd3ka9h4chfr8.cloudfront.net/image/725136000567/image_hmh9gou6l94m11s5c9ndkecc7h/-FJPG/JLAN-212_DET_1.jpg</t>
  </si>
  <si>
    <t>https://dd3ka9h4chfr8.cloudfront.net/image/725136000567/image_tm9t1kj93l5clet5t6nmp2b12q/-FJPG/JLAN-212_DET_3.jpg</t>
  </si>
  <si>
    <t>https://dd3ka9h4chfr8.cloudfront.net/image/725136000567/image_h15u9vab8142n6qtukl4j6ka6d/-FJPG/JLAN-212_DET_4.jpg</t>
  </si>
  <si>
    <t>https://dd3ka9h4chfr8.cloudfront.net/image/725136000567/image_ordmtphmbd3972o2c5iq0cvk60/-FJPG/JLAN-212_DET_5.jpg</t>
  </si>
  <si>
    <t>Phoenix</t>
  </si>
  <si>
    <t>UATR-002</t>
  </si>
  <si>
    <t>Grammercy Sofa - 92" - Bennett Moon</t>
  </si>
  <si>
    <t>Matte Black</t>
  </si>
  <si>
    <t>Flexible style with luxurious comfort. Clean, simple lines and a black iron base keep everything casual and chic.</t>
  </si>
  <si>
    <t>https://dd3ka9h4chfr8.cloudfront.net/image/725136000567/image_1p7sba4su56bv28u0bb8sp3k4i/-S150x150-FJPG/UATR-002_PRM_1.jpg</t>
  </si>
  <si>
    <t>https://dd3ka9h4chfr8.cloudfront.net/image/725136000567/image_6oa4pen46l0sd851c1qfd4j12r/-FJPG/UATR-002_FRT_1.jpg</t>
  </si>
  <si>
    <t>https://dd3ka9h4chfr8.cloudfront.net/image/725136000567/image_1p7sba4su56bv28u0bb8sp3k4i/-FJPG/UATR-002_PRM_1.jpg</t>
  </si>
  <si>
    <t>https://dd3ka9h4chfr8.cloudfront.net/image/725136000567/image_nudbnj5dot5r71v39frfmdjj63/-FJPG/UATR-002_SID_1.jpg</t>
  </si>
  <si>
    <t>https://dd3ka9h4chfr8.cloudfront.net/image/725136000567/image_qbbfpvun117d73d4tmtrrj2r5s/-FJPG/UATR-002_DET_2.jpg</t>
  </si>
  <si>
    <t>https://dd3ka9h4chfr8.cloudfront.net/image/725136000567/image_9ujt9kmv8h3idf3u38g2g7lm0l/-FJPG/UATR-002_BCK_1.jpg</t>
  </si>
  <si>
    <t>https://dd3ka9h4chfr8.cloudfront.net/image/725136000567/image_n8srhi5d692el8rdmhq58mh93f/-FJPG/UATR-002_DET_1.jpg</t>
  </si>
  <si>
    <t>https://dd3ka9h4chfr8.cloudfront.net/image/725136000567/image_t2s8qmkqbt6l54aknee67hp922/-FJPG/UATR-002_DET_3.jpg</t>
  </si>
  <si>
    <t>https://dd3ka9h4chfr8.cloudfront.net/image/725136000567/image_4es56pn32p3gn4gmvukdesba1h/-FJPG/UATR-002_DET_4.jpg</t>
  </si>
  <si>
    <t>https://dd3ka9h4chfr8.cloudfront.net/image/725136000567/image_q4ensuiut52sj9sthnriusph50/-FJPG/UATR-002_VIG_1.jpg</t>
  </si>
  <si>
    <t>https://dd3ka9h4chfr8.cloudfront.net/image/725136000567/image_es5kemh1mp3rh74vc0td3m6h5j/-FJPG/UATR-002_VIG_2.jpg</t>
  </si>
  <si>
    <t>https://dd3ka9h4chfr8.cloudfront.net/image/725136000567/image_4ska9ojr0h7gv2apjfq5ng3i14/-FJPG/UATR-002_ROM_3.jpg</t>
  </si>
  <si>
    <t>Grammercy</t>
  </si>
  <si>
    <t>UATR-002-BCH</t>
  </si>
  <si>
    <t>Grammercy Sofa - 92" - Bennett Charcoal</t>
  </si>
  <si>
    <t>https://dd3ka9h4chfr8.cloudfront.net/image/725136000567/image_u7vpvsn9c17hn1rrr016eap15k/-S150x150-FJPG/UATR-002-BCH_PRM_1.jpg</t>
  </si>
  <si>
    <t>https://dd3ka9h4chfr8.cloudfront.net/image/725136000567/image_o403r4p2115hd2g4qoqr2u440v/-FJPG/UATR-002-BCH_FRT_1.jpg</t>
  </si>
  <si>
    <t>https://dd3ka9h4chfr8.cloudfront.net/image/725136000567/image_u7vpvsn9c17hn1rrr016eap15k/-FJPG/UATR-002-BCH_PRM_1.jpg</t>
  </si>
  <si>
    <t>https://dd3ka9h4chfr8.cloudfront.net/image/725136000567/image_dj2df0r5d553tfqcb11809l408/-FJPG/UATR-002-BCH_SID_1.jpg</t>
  </si>
  <si>
    <t>https://dd3ka9h4chfr8.cloudfront.net/image/725136000567/image_uei0r2da1d2fvf4a68f2pn0o7r/-FJPG/UATR-002-BCH_ESS_1.jpg</t>
  </si>
  <si>
    <t>https://dd3ka9h4chfr8.cloudfront.net/image/725136000567/image_64knl3o8rh06nalm5adskijm3g/-FJPG/UATR-002-BCH_DET_2.jpg</t>
  </si>
  <si>
    <t>https://dd3ka9h4chfr8.cloudfront.net/image/725136000567/image_p1c91dcgpd01f8dnba7n9oir2l/-FJPG/UATR-002-BCH_BCK_1.jpg</t>
  </si>
  <si>
    <t>https://dd3ka9h4chfr8.cloudfront.net/image/725136000567/image_itptvipq2t00t20fc4780hsb1u/-FJPG/UATR-002-BCH_DET_1.jpg</t>
  </si>
  <si>
    <t>https://dd3ka9h4chfr8.cloudfront.net/image/725136000567/image_pr4fd3d8f15l97oqc38o1t8552/-FJPG/UATR-002-BCH_DET_3.jpg</t>
  </si>
  <si>
    <t>https://dd3ka9h4chfr8.cloudfront.net/image/725136000567/image_pejmtc09k50dn38emck2ot291b/-FJPG/UATR-002-BCH_DET_4.jpg</t>
  </si>
  <si>
    <t>https://dd3ka9h4chfr8.cloudfront.net/image/725136000567/image_8uarternht6775k4a5na6shr2v/-FJPG/UATR-002-BCH_DET_5.jpg</t>
  </si>
  <si>
    <t>https://dd3ka9h4chfr8.cloudfront.net/image/725136000567/image_n4k6m8ctq14el031518iogjh50/-FJPG/UATR-002-BCH_ROM_1.jpg</t>
  </si>
  <si>
    <t>UATR-047-150</t>
  </si>
  <si>
    <t>Habitat Slipcover Chaise - Valley Nimbus</t>
  </si>
  <si>
    <t>Chaise-style lounging, made for modern living. Neutral-toned upholstery covers shelter arms and oversize pillow-inspired cushion.</t>
  </si>
  <si>
    <t>https://dd3ka9h4chfr8.cloudfront.net/image/725136000567/image_5pj3ppvich15pdoj861tb06b7s/-S150x150-FJPG/UATR-047-150_PRM_1.jpg</t>
  </si>
  <si>
    <t>https://dd3ka9h4chfr8.cloudfront.net/image/725136000567/image_n3ktji0pvt5andl2s5b3mj5g2b/-FJPG/UATR-047-150_FRT_1.jpg</t>
  </si>
  <si>
    <t>https://dd3ka9h4chfr8.cloudfront.net/image/725136000567/image_5pj3ppvich15pdoj861tb06b7s/-FJPG/UATR-047-150_PRM_1.jpg</t>
  </si>
  <si>
    <t>https://dd3ka9h4chfr8.cloudfront.net/image/725136000567/image_dup2i86hd14v73edd7la0hqp6d/-FJPG/UATR-047-150_SID_1.jpg</t>
  </si>
  <si>
    <t>https://dd3ka9h4chfr8.cloudfront.net/image/725136000567/image_tvim2dcoht6h995mdjcdv6gt2r/-FJPG/UATR-047-150_DET_2.jpg</t>
  </si>
  <si>
    <t>https://dd3ka9h4chfr8.cloudfront.net/image/725136000567/image_sbesn527s56e5a9tqlq64kbf15/-FJPG/UATR-047-150_BCK_1.jpg</t>
  </si>
  <si>
    <t>https://dd3ka9h4chfr8.cloudfront.net/image/725136000567/image_j8gelo9ou53514r9alp97tcj3u/-FJPG/UATR-047-150_INF_1.jpg</t>
  </si>
  <si>
    <t>https://dd3ka9h4chfr8.cloudfront.net/image/725136000567/image_80o3bqc7pp0ah6a085ci4ql310/-FJPG/UATR-047-150_DET_1.jpg</t>
  </si>
  <si>
    <t>https://dd3ka9h4chfr8.cloudfront.net/image/725136000567/image_af3ebheheh2pn5ti9rertpuk02/-FJPG/UATR-047-150_DET_4.jpg</t>
  </si>
  <si>
    <t>https://dd3ka9h4chfr8.cloudfront.net/image/725136000567/image_c36vvrs08506b0983qh6trnd72/-FJPG/UATR-047-150_DET_5.jpg</t>
  </si>
  <si>
    <t>UATR-064-377</t>
  </si>
  <si>
    <t>Bloor Sofa - Essence Natural</t>
  </si>
  <si>
    <t>Deep, modern and seductive. This dramatic, spacious sofa is covered in a durable light neutral woven fabric that mixes well with any color palette.</t>
  </si>
  <si>
    <t>https://dd3ka9h4chfr8.cloudfront.net/image/725136000567/image_njh44311dl7cnekcios95pgt45/-S150x150-FJPG/UATR-064-377_PRM_1.jpg</t>
  </si>
  <si>
    <t>https://dd3ka9h4chfr8.cloudfront.net/image/725136000567/image_hpoa5r09i513f1iqcose4dvs0s/-FJPG/UATR-064-377_FRT_1.jpg</t>
  </si>
  <si>
    <t>https://dd3ka9h4chfr8.cloudfront.net/image/725136000567/image_njh44311dl7cnekcios95pgt45/-FJPG/UATR-064-377_PRM_1.jpg</t>
  </si>
  <si>
    <t>https://dd3ka9h4chfr8.cloudfront.net/image/725136000567/image_4kjulagq4h3dv7g0kgfpcl2d78/-FJPG/UATR-064-377_SID_1.jpg</t>
  </si>
  <si>
    <t>https://dd3ka9h4chfr8.cloudfront.net/image/725136000567/image_u36mrotch54npeop7k768j6c5k/-FJPG/UATR-064-377_ESS_1.jpg</t>
  </si>
  <si>
    <t>https://dd3ka9h4chfr8.cloudfront.net/image/725136000567/image_i1dbrg2kq92st8c6vekepium4e/-FJPG/UATR-064-377_BCK_1.jpg</t>
  </si>
  <si>
    <t>https://dd3ka9h4chfr8.cloudfront.net/image/725136000567/image_jp8glaimt126jagiq8jfarfo21/-FJPG/UATR-064-377_DET_3.jpg</t>
  </si>
  <si>
    <t>https://dd3ka9h4chfr8.cloudfront.net/image/725136000567/image_1nndmperl5739ago0rmomnqa55/-FJPG/UATR-064-377_TOP_1.jpg</t>
  </si>
  <si>
    <t>https://dd3ka9h4chfr8.cloudfront.net/image/725136000567/image_fdqfr3edpd76tbb4t04l3csh3l/-FJPG/UATR-064-377_DET_4.jpg</t>
  </si>
  <si>
    <t>https://dd3ka9h4chfr8.cloudfront.net/image/725136000567/image_bdtf57ivm17edad14tkd36me0g/-FJPG/UATR-064-377_DET_5.jpg</t>
  </si>
  <si>
    <t>https://dd3ka9h4chfr8.cloudfront.net/image/725136000567/image_jm23e78s157gtckd71em9ic647/-FJPG/UATR-064-377_VIG_1.jpg</t>
  </si>
  <si>
    <t>UCEN-01102-789-S1</t>
  </si>
  <si>
    <t>Colt 3-Piece Sectional - Aldred Silver</t>
  </si>
  <si>
    <t>A simply styled three-piece sectional, fit for everyday lounging. Upholstered in a textural poly/linen blend covering, with subtly flared sides and a plinth-style, wrapped wooden base.</t>
  </si>
  <si>
    <t>https://dd3ka9h4chfr8.cloudfront.net/image/725136000567/image_p6j9v9qlm16hh5a1rk3m92b93k/-S150x150-FJPG/UCEN-01102-789-S1_PRM_1.jpg</t>
  </si>
  <si>
    <t>https://dd3ka9h4chfr8.cloudfront.net/image/725136000567/image_p6j9v9qlm16hh5a1rk3m92b93k/-FJPG/UCEN-01102-789-S1_PRM_1.jpg</t>
  </si>
  <si>
    <t>https://dd3ka9h4chfr8.cloudfront.net/image/725136000567/image_43jv0oh90h16f8dsvt2mhnpa27/-FJPG/UCEN-01102-789-S1_SID_1.jpg</t>
  </si>
  <si>
    <t>https://dd3ka9h4chfr8.cloudfront.net/image/725136000567/image_eo1hrr1s6d0bb1oj1crtapks5f/-FJPG/UCEN-01102-789-S1_DET_2.jpg</t>
  </si>
  <si>
    <t>https://dd3ka9h4chfr8.cloudfront.net/image/725136000567/image_7f46vgretd0i34u8qsc4q9m51j/-FJPG/UCEN-01102-789-S1_DIM_1.jpg</t>
  </si>
  <si>
    <t>https://dd3ka9h4chfr8.cloudfront.net/image/725136000567/image_e28qo29icd20l7h8c2k97v433k/-FJPG/UCEN-01102-789-S1_BCK_1.jpg</t>
  </si>
  <si>
    <t>https://dd3ka9h4chfr8.cloudfront.net/image/725136000567/image_7k0c8t85bh0q3722s35h6tpv6q/-FJPG/UCEN-01102-789-S1_DET_1.jpg</t>
  </si>
  <si>
    <t>https://dd3ka9h4chfr8.cloudfront.net/image/725136000567/image_ib9m7ec87h2gda489i917eas47/-FJPG/UCEN-01102-789-S1_DET_4.jpg</t>
  </si>
  <si>
    <t>https://dd3ka9h4chfr8.cloudfront.net/image/725136000567/image_d6fuf7eat96nb5715qj96i3s1l/-FJPG/UCEN-01102-789-S1_DET_5.jpg</t>
  </si>
  <si>
    <t>https://dd3ka9h4chfr8.cloudfront.net/image/725136000567/image_bs7i3j5emh0nt9ftfq0doul536/-FJPG/UCEN-01102-789-S1_DET_6.jpg</t>
  </si>
  <si>
    <t>https://dd3ka9h4chfr8.cloudfront.net/image/725136000567/image_h8pp9ci7ft17377698gtvh186k/-FJPG/UCEN-01102-789-S1_ROM_1.jpg</t>
  </si>
  <si>
    <t>UCEN-01102-789-S3</t>
  </si>
  <si>
    <t>Simply styled for everyday lounging. A textural poly/linen blend covering is made for comfort, with subtly flared sides for shapely effect and a wrapped plinth base. Right arm facing piece to matching sectional.</t>
  </si>
  <si>
    <t>https://dd3ka9h4chfr8.cloudfront.net/image/725136000567/image_oq3vqc9vs914pd077p5hhmkd70/-S150x150-FJPG/UCEN-01102-789-S3_PRM_1.jpg</t>
  </si>
  <si>
    <t>https://dd3ka9h4chfr8.cloudfront.net/image/725136000567/image_crl7h4mk091m382qmnarb6hs6g/-FJPG/UCEN-01102-789-S3_FRT_1.jpg</t>
  </si>
  <si>
    <t>https://dd3ka9h4chfr8.cloudfront.net/image/725136000567/image_oq3vqc9vs914pd077p5hhmkd70/-FJPG/UCEN-01102-789-S3_PRM_1.jpg</t>
  </si>
  <si>
    <t>https://dd3ka9h4chfr8.cloudfront.net/image/725136000567/image_aqk7jlh1pp15l29mlu663vt92b/-FJPG/UCEN-01102-789-S3_SID_1.jpg</t>
  </si>
  <si>
    <t>https://dd3ka9h4chfr8.cloudfront.net/image/725136000567/image_1b6i0c44rl0gl9m14lglndej0h/-FJPG/UCEN-01102-789-S3_ESS_1.jpg</t>
  </si>
  <si>
    <t>https://dd3ka9h4chfr8.cloudfront.net/image/725136000567/image_82ku9ov33p74j29ar8ritg1n5o/-FJPG/UCEN-01102-789-S3_DET_2.jpg</t>
  </si>
  <si>
    <t>https://dd3ka9h4chfr8.cloudfront.net/image/725136000567/image_2ne7qpkedp0v14he9b6b22sj4f/-FJPG/UCEN-01102-789-S3_BCK_1.jpg</t>
  </si>
  <si>
    <t>https://dd3ka9h4chfr8.cloudfront.net/image/725136000567/image_bqjpik9j591nl8jjnt1cpvc83q/-FJPG/UCEN-01102-789-S3_DET_1.jpg</t>
  </si>
  <si>
    <t>https://dd3ka9h4chfr8.cloudfront.net/image/725136000567/image_fgd2c51hol33117pokildr5q08/-FJPG/UCEN-01102-789-S3_DET_3.jpg</t>
  </si>
  <si>
    <t>https://dd3ka9h4chfr8.cloudfront.net/image/725136000567/image_b08so3a6t50hreu3d3rfnj051a/-FJPG/UCEN-01102-789-S3_DET_4.jpg</t>
  </si>
  <si>
    <t>https://dd3ka9h4chfr8.cloudfront.net/image/725136000567/image_e1h4q83o3d2031p7no5o28kp7h/-FJPG/UCEN-01102-789-S3_DET_5.jpg</t>
  </si>
  <si>
    <t>https://dd3ka9h4chfr8.cloudfront.net/image/725136000567/image_l10fpot8115e3750kuggtid15c/-FJPG/UCEN-01102-789-S3_DET_6.jpg</t>
  </si>
  <si>
    <t>UFUL-031</t>
  </si>
  <si>
    <t>Trey Media Console - Auburn Poplar</t>
  </si>
  <si>
    <t>Inspired by clean mid-century design, greyish auburn poplar offers plenty of media storage space by way of open shelving, front-open doors and dual drawers. Metal-secured leather pulls add a textural element of surprise. Great solo or paired with matching bookcases.</t>
  </si>
  <si>
    <t>https://dd3ka9h4chfr8.cloudfront.net/image/725136000567/image_camdpbdumh4hfdarojaqa2so07/-S150x150-FJPG/UFUL-031_PRM_1.jpg</t>
  </si>
  <si>
    <t>https://dd3ka9h4chfr8.cloudfront.net/image/725136000567/image_umde3kf2nl33d4lstetk3k232p/-FJPG/UFUL-031_FRT_1.jpg</t>
  </si>
  <si>
    <t>https://dd3ka9h4chfr8.cloudfront.net/image/725136000567/image_camdpbdumh4hfdarojaqa2so07/-FJPG/UFUL-031_PRM_1.jpg</t>
  </si>
  <si>
    <t>https://dd3ka9h4chfr8.cloudfront.net/image/725136000567/image_a9clr9aj2l3mvcl7vi4sq1dn46/-FJPG/UFUL-031_SID_1.jpg</t>
  </si>
  <si>
    <t>https://dd3ka9h4chfr8.cloudfront.net/image/725136000567/image_ojd0kseg1t3c32t90k7lr0fd2r/-FJPG/UFUL-031_ESS_1.jpg</t>
  </si>
  <si>
    <t>https://dd3ka9h4chfr8.cloudfront.net/image/725136000567/image_tqpd2ga9q569f5kdipsk3rgp23/-FJPG/UFUL-031_DET_2.jpg</t>
  </si>
  <si>
    <t>https://dd3ka9h4chfr8.cloudfront.net/image/725136000567/image_ioampq9k6h4tr4v5il746msa5q/-FJPG/UFUL-031_DET_1.jpg</t>
  </si>
  <si>
    <t>https://dd3ka9h4chfr8.cloudfront.net/image/725136000567/image_0vas5o5f4p4477s1p2isrjgj7t/-FJPG/UFUL-031_DET_3.jpg</t>
  </si>
  <si>
    <t>https://dd3ka9h4chfr8.cloudfront.net/image/725136000567/image_8p0pkp4tmt0sf3jll1nrrajk6p/-FJPG/UFUL-031_OPN_1.jpg</t>
  </si>
  <si>
    <t>https://dd3ka9h4chfr8.cloudfront.net/image/725136000567/image_4384t144bh0fl12iib1u3emg5p/-FJPG/UFUL-031_DET_4.jpg</t>
  </si>
  <si>
    <t>https://dd3ka9h4chfr8.cloudfront.net/image/725136000567/image_399v21phap54h0v9psnph0tr6f/-FJPG/UFUL-031_DET_5.jpg</t>
  </si>
  <si>
    <t>https://dd3ka9h4chfr8.cloudfront.net/image/725136000567/image_d859et8qc92ufbv2p6oapkvk3b/-FJPG/UFUL-031_DET_6.jpg</t>
  </si>
  <si>
    <t>https://dd3ka9h4chfr8.cloudfront.net/image/725136000567/image_rmq62mm21p6756o6tja8uv2u4f/-FJPG/UFUL-031_DET_7.jpg</t>
  </si>
  <si>
    <t>UFUL-031A</t>
  </si>
  <si>
    <t>Trey Media Console - Black Wash Poplar</t>
  </si>
  <si>
    <t>Inspired by sleek mid-century design, a stylish console of black-washed poplar offers ample media storage space by way of open shelving, center cabinetry and spacious dual drawers. Metal-secured pulls of toffee top-grain leather add a textural element of surprise.</t>
  </si>
  <si>
    <t>https://dd3ka9h4chfr8.cloudfront.net/image/725136000567/image_7jv2b617n17375rl3utdgvsr0r/-S150x150-FJPG/UFUL-031A_PRM_1.jpg</t>
  </si>
  <si>
    <t>https://dd3ka9h4chfr8.cloudfront.net/image/725136000567/image_5r129eclv97o3631bdtq1n6j4i/-FJPG/UFUL-031A_FRT_1.jpg</t>
  </si>
  <si>
    <t>https://dd3ka9h4chfr8.cloudfront.net/image/725136000567/image_7jv2b617n17375rl3utdgvsr0r/-FJPG/UFUL-031A_PRM_1.jpg</t>
  </si>
  <si>
    <t>https://dd3ka9h4chfr8.cloudfront.net/image/725136000567/image_6b0dukftch0f12cv003eppjt3o/-FJPG/UFUL-031A_SID_1.jpg</t>
  </si>
  <si>
    <t>https://dd3ka9h4chfr8.cloudfront.net/image/725136000567/image_n3nvf3pnup4bt687kliinjh41p/-FJPG/UFUL-031A_ESS_1.jpg</t>
  </si>
  <si>
    <t>https://dd3ka9h4chfr8.cloudfront.net/image/725136000567/image_kbs1mmn2i970rb7v07muj3qt51/-FJPG/UFUL-031A_DET_2.jpg</t>
  </si>
  <si>
    <t>https://dd3ka9h4chfr8.cloudfront.net/image/725136000567/image_bp41cvdin97jl666bhmg387a7t/-FJPG/UFUL-031A_BCK_1.jpg</t>
  </si>
  <si>
    <t>https://dd3ka9h4chfr8.cloudfront.net/image/725136000567/image_ub3kvk5fvl0k13i06j2t4bah06/-FJPG/UFUL-031A_DET_1.jpg</t>
  </si>
  <si>
    <t>https://dd3ka9h4chfr8.cloudfront.net/image/725136000567/image_pcoaes3cn13ev4po4rfu9dnu77/-FJPG/UFUL-031A_DET_3.jpg</t>
  </si>
  <si>
    <t>https://dd3ka9h4chfr8.cloudfront.net/image/725136000567/image_j1kstoqvg10sl44fhjc7bp9571/-FJPG/UFUL-031A_OPN_1.jpg</t>
  </si>
  <si>
    <t>https://dd3ka9h4chfr8.cloudfront.net/image/725136000567/image_5kstu71roh3al2sf7dcm3c2v78/-FJPG/UFUL-031A_DET_4.jpg</t>
  </si>
  <si>
    <t>https://dd3ka9h4chfr8.cloudfront.net/image/725136000567/image_fs945bmnh9437e8l71k8j5lr66/-FJPG/UFUL-031A_DET_5.jpg</t>
  </si>
  <si>
    <t>https://dd3ka9h4chfr8.cloudfront.net/image/725136000567/image_rb19spuc3172t85o7vbha4pf35/-FJPG/UFUL-031A_DET_6.jpg</t>
  </si>
  <si>
    <t>UFUL-032</t>
  </si>
  <si>
    <t>Inspired by clean mid-century design, greyish auburn poplar and raw iron fuse for plenty of storage space by way of open shelving and dual drawers. Metal-secured leather pulls add a textural element of surprise. Great alone or doubled and paired with matching media console.</t>
  </si>
  <si>
    <t>https://dd3ka9h4chfr8.cloudfront.net/image/725136000567/image_9encqh64fl4879ed17v02r0i2n/-S150x150-FJPG/UFUL-032_PRM_1.jpg</t>
  </si>
  <si>
    <t>https://dd3ka9h4chfr8.cloudfront.net/image/725136000567/image_c6t78ahvsd6g3dqs6lhe7nqp7g/-FJPG/UFUL-032_FRT_1.jpg</t>
  </si>
  <si>
    <t>https://dd3ka9h4chfr8.cloudfront.net/image/725136000567/image_9encqh64fl4879ed17v02r0i2n/-FJPG/UFUL-032_PRM_1.jpg</t>
  </si>
  <si>
    <t>https://dd3ka9h4chfr8.cloudfront.net/image/725136000567/image_g2guh95t5t6bf2emeo34aj9s0g/-FJPG/UFUL-032_SID_1.jpg</t>
  </si>
  <si>
    <t>https://dd3ka9h4chfr8.cloudfront.net/image/725136000567/image_6it8g2lsl94ot9ht9m5o3ml140/-FJPG/UFUL-032_DET_2.jpg</t>
  </si>
  <si>
    <t>https://dd3ka9h4chfr8.cloudfront.net/image/725136000567/image_esal0u2mo524bd2sqqfbkijr1f/-FJPG/UFUL-032_BCK_1.jpg</t>
  </si>
  <si>
    <t>https://dd3ka9h4chfr8.cloudfront.net/image/725136000567/image_fb7aarodqh4lf6d35tc3ea9k1u/-FJPG/UFUL-032_DET_1.jpg</t>
  </si>
  <si>
    <t>https://dd3ka9h4chfr8.cloudfront.net/image/725136000567/image_l3dag69n4t6oh7ne6e4vfp8a1s/-FJPG/UFUL-032_DET_3.jpg</t>
  </si>
  <si>
    <t>https://dd3ka9h4chfr8.cloudfront.net/image/725136000567/image_89iga16c6l73l3u90t2duoe57t/-FJPG/UFUL-032_OPN_1.jpg</t>
  </si>
  <si>
    <t>https://dd3ka9h4chfr8.cloudfront.net/image/725136000567/image_rtltavsk353fb1vfn64e9b2c01/-FJPG/UFUL-032_OPN_1.jpg</t>
  </si>
  <si>
    <t>https://dd3ka9h4chfr8.cloudfront.net/image/725136000567/image_j01j81d01p6o757r4k1evhj057/-FJPG/UFUL-032_DET_4.jpg</t>
  </si>
  <si>
    <t>https://dd3ka9h4chfr8.cloudfront.net/image/725136000567/image_42uio5uc8h23j905ad60ar1q06/-FJPG/UFUL-032_DET_5.jpg</t>
  </si>
  <si>
    <t>https://dd3ka9h4chfr8.cloudfront.net/image/725136000567/image_7paock66uh29r5kgg0gnhrgs3s/-FJPG/UFUL-032_DET_6.jpg</t>
  </si>
  <si>
    <t>https://dd3ka9h4chfr8.cloudfront.net/image/725136000567/image_gdmlni7ovd2qf331rt4c0kou2l/-FJPG/UFUL-032_DET_7.jpg</t>
  </si>
  <si>
    <t>https://dd3ka9h4chfr8.cloudfront.net/image/725136000567/image_ddqkpnhqgh5vp6v8pakt2mpd0e/-FJPG/UFUL-032_ROM_1.jpg</t>
  </si>
  <si>
    <t>https://dd3ka9h4chfr8.cloudfront.net/image/725136000567/image_51hm6tqna91lbelcg3emnppq0e/-FJPG/UFUL-032_ROM_2.jpg</t>
  </si>
  <si>
    <t>UFUL-032A</t>
  </si>
  <si>
    <t>A stylish bookshelf of black-washed poplar offers ample storage space by way of open shelving and dual drawers. Metal-secured pulls of toffee top-grain leather add a textural element of surprise. Great solo, doubled, or paired with matching desk or filing</t>
  </si>
  <si>
    <t>https://dd3ka9h4chfr8.cloudfront.net/image/725136000567/image_o75ntc8mi92sp245ebbb3rvc35/-S150x150-FJPG/UFUL-032A_PRM_1.jpg</t>
  </si>
  <si>
    <t>https://dd3ka9h4chfr8.cloudfront.net/image/725136000567/image_chnrti4ui563r3p021kbk2dq6m/-FJPG/UFUL-032A_FRT_1.jpg</t>
  </si>
  <si>
    <t>https://dd3ka9h4chfr8.cloudfront.net/image/725136000567/image_o75ntc8mi92sp245ebbb3rvc35/-FJPG/UFUL-032A_PRM_1.jpg</t>
  </si>
  <si>
    <t>https://dd3ka9h4chfr8.cloudfront.net/image/725136000567/image_tefvcc698d45b2eoe8ljogca2h/-FJPG/UFUL-032A_SID_1.jpg</t>
  </si>
  <si>
    <t>https://dd3ka9h4chfr8.cloudfront.net/image/725136000567/image_3nemotb2390ejd9r9vq6jqlf3i/-FJPG/UFUL-032A_BCK_1.jpg</t>
  </si>
  <si>
    <t>https://dd3ka9h4chfr8.cloudfront.net/image/725136000567/image_ph0lvcjk6d1df1lfkrj2e07o7c/-FJPG/UFUL-032A_DET_1.jpg</t>
  </si>
  <si>
    <t>https://dd3ka9h4chfr8.cloudfront.net/image/725136000567/image_usvco32cht47p09oeh73oh1b6m/-FJPG/UFUL-032A_DET_3.jpg</t>
  </si>
  <si>
    <t>https://dd3ka9h4chfr8.cloudfront.net/image/725136000567/image_v6imjrqi6d4gv0h0c0hv9en44i/-FJPG/UFUL-032A_DET_4.jpg</t>
  </si>
  <si>
    <t>https://dd3ka9h4chfr8.cloudfront.net/image/725136000567/image_qdfi6qsf3l0lr1t51nb84lch6p/-FJPG/UFUL-032A_DET_5.jpg</t>
  </si>
  <si>
    <t>https://dd3ka9h4chfr8.cloudfront.net/image/725136000567/image_c142n986b1059bk9ihnkban34g/-FJPG/UFUL-032A_DET_6.jpg</t>
  </si>
  <si>
    <t>https://dd3ka9h4chfr8.cloudfront.net/image/725136000567/image_m1idgig1914n39biv97nh7om6n/-FJPG/UFUL-032A_DET_7.jpg</t>
  </si>
  <si>
    <t>https://dd3ka9h4chfr8.cloudfront.net/image/725136000567/image_4ihfuv77656jba84oruopiue3a/-FJPG/UFUL-032A_DET_8.jpg</t>
  </si>
  <si>
    <t>UFUL-033</t>
  </si>
  <si>
    <t>Trey Modular Writing Desk - Auburn Poplar</t>
  </si>
  <si>
    <t>Inspired by clean mid-century design, greyish auburn poplar offers generous desk storage by way of three spacious drawers, with a fully finished back plus metal-secured leather pulls for an element of surprise. Great solo or paired with matching corner desk, file cabinet or credenza.</t>
  </si>
  <si>
    <t>https://dd3ka9h4chfr8.cloudfront.net/image/725136000567/image_56fcvdh1dh15r1igoutb68ra7m/-S150x150-FJPG/UFUL-033_PRM_1.jpg</t>
  </si>
  <si>
    <t>https://dd3ka9h4chfr8.cloudfront.net/image/725136000567/image_66v903n9m16a5ajf3pingr216s/-FJPG/UFUL-033_FRT_1.jpg</t>
  </si>
  <si>
    <t>https://dd3ka9h4chfr8.cloudfront.net/image/725136000567/image_56fcvdh1dh15r1igoutb68ra7m/-FJPG/UFUL-033_PRM_1.jpg</t>
  </si>
  <si>
    <t>https://dd3ka9h4chfr8.cloudfront.net/image/725136000567/image_kmu2rj1fkd7iv0bkajdh2tvq19/-FJPG/UFUL-033_SID_1.jpg</t>
  </si>
  <si>
    <t>https://dd3ka9h4chfr8.cloudfront.net/image/725136000567/image_pdcu8352uh1tr700ov08to8745/-FJPG/UFUL-033_DET_2.jpg</t>
  </si>
  <si>
    <t>https://dd3ka9h4chfr8.cloudfront.net/image/725136000567/image_ctn901nlu92sv39an5de9sig5i/-FJPG/UFUL-033_DET_1.jpg</t>
  </si>
  <si>
    <t>https://dd3ka9h4chfr8.cloudfront.net/image/725136000567/image_qh8110vcrl0jn07tm1vd3j055c/-FJPG/UFUL-033_DET_3.jpg</t>
  </si>
  <si>
    <t>https://dd3ka9h4chfr8.cloudfront.net/image/725136000567/image_85up45lncd5gb2gqnavghs7o54/-FJPG/UFUL-033_OPN_1.jpg</t>
  </si>
  <si>
    <t>https://dd3ka9h4chfr8.cloudfront.net/image/725136000567/image_7g5u2337vd5oj0p95ig5i2ti3l/-FJPG/UFUL-033_DET_4.jpg</t>
  </si>
  <si>
    <t>https://dd3ka9h4chfr8.cloudfront.net/image/725136000567/image_bkmtf3r4kh6iv8r3v4af23at7s/-FJPG/UFUL-033_DET_5.jpg</t>
  </si>
  <si>
    <t>https://dd3ka9h4chfr8.cloudfront.net/image/725136000567/image_i313sk6bk16u34verhfp70vk61/-FJPG/UFUL-033_DET_7.jpg</t>
  </si>
  <si>
    <t>https://dd3ka9h4chfr8.cloudfront.net/image/725136000567/image_5nqvf5s3b12o5792anf9ocgg7n/-FJPG/UFUL-033_ROM_1.jpg</t>
  </si>
  <si>
    <t>https://dd3ka9h4chfr8.cloudfront.net/image/725136000567/image_u498g0j0850a56mgvpvk8ri275/-FJPG/UFUL-033_ROM_2.jpg</t>
  </si>
  <si>
    <t>UFUL-035</t>
  </si>
  <si>
    <t>Trey Modular Filing Credenza - Auburn Poplar</t>
  </si>
  <si>
    <t>Inspired by clean midcentury design, a modular filing credenza of greyish auburn poplar brings roomy storage space to the modern office, with a fully finished back plus metal-secured top-grain leather pulls. Great solo or paired with matching desk or filing cabinet.</t>
  </si>
  <si>
    <t>https://dd3ka9h4chfr8.cloudfront.net/image/725136000567/image_e6hlaudoqh1dl0mgtbot56mh7u/-S150x150-FJPG/UFUL-035_PRM_1.jpg</t>
  </si>
  <si>
    <t>https://dd3ka9h4chfr8.cloudfront.net/image/725136000567/image_oqrs60vp4166bdev0usrcj7o0j/-FJPG/UFUL-035_FRT_1.jpg</t>
  </si>
  <si>
    <t>https://dd3ka9h4chfr8.cloudfront.net/image/725136000567/image_e6hlaudoqh1dl0mgtbot56mh7u/-FJPG/UFUL-035_PRM_1.jpg</t>
  </si>
  <si>
    <t>https://dd3ka9h4chfr8.cloudfront.net/image/725136000567/image_1nqsr7m1e17495cr8c9gsr985s/-FJPG/UFUL-035_SID_1.jpg</t>
  </si>
  <si>
    <t>https://dd3ka9h4chfr8.cloudfront.net/image/725136000567/image_70kfquioj15tbcebidds1lls54/-FJPG/UFUL-035_DET_2.jpg</t>
  </si>
  <si>
    <t>https://dd3ka9h4chfr8.cloudfront.net/image/725136000567/image_jm99dfmrlp1h10lhmve65n4t17/-FJPG/UFUL-035_DET_1.jpg</t>
  </si>
  <si>
    <t>https://dd3ka9h4chfr8.cloudfront.net/image/725136000567/image_lgn29cuih903je6lidhsh0k724/-FJPG/UFUL-035_DET_3.jpg</t>
  </si>
  <si>
    <t>https://dd3ka9h4chfr8.cloudfront.net/image/725136000567/image_nib4sttbil2un2l66dp4llg04m/-FJPG/UFUL-035_OPN_1.jpg</t>
  </si>
  <si>
    <t>https://dd3ka9h4chfr8.cloudfront.net/image/725136000567/image_9ls4572qnt0td58hmlh6ssnu0c/-FJPG/UFUL-035_DET_4.jpg</t>
  </si>
  <si>
    <t>https://dd3ka9h4chfr8.cloudfront.net/image/725136000567/image_hi4puloaut17575gu0n6ja6j0e/-FJPG/UFUL-035_DET_5.jpg</t>
  </si>
  <si>
    <t>https://dd3ka9h4chfr8.cloudfront.net/image/725136000567/image_914r2d6k2t75h7jgeqtqllv10u/-FJPG/UFUL-035_DET_6.jpg</t>
  </si>
  <si>
    <t>UFUL-035A</t>
  </si>
  <si>
    <t>Trey Modular Filing Credenza - Black Wash Poplar</t>
  </si>
  <si>
    <t>Inspired by clean mid-century design, a modular filing credenza of black-finished solid poplar brings roomy storage space to the modern office, with a fully finished back plus metal-secured leather pulls for an element of surprise. Great solo or paired with matching desk or filing cabinet.</t>
  </si>
  <si>
    <t>https://dd3ka9h4chfr8.cloudfront.net/image/725136000567/image_loj79mhg4h4m32jurrc9diaq6c/-S150x150-FJPG/UFUL-035A_PRM_1.jpg</t>
  </si>
  <si>
    <t>https://dd3ka9h4chfr8.cloudfront.net/image/725136000567/image_8sstpon9ll1l9em6spodraph7m/-FJPG/UFUL-035A_FRT_1.jpg</t>
  </si>
  <si>
    <t>https://dd3ka9h4chfr8.cloudfront.net/image/725136000567/image_loj79mhg4h4m32jurrc9diaq6c/-FJPG/UFUL-035A_PRM_1.jpg</t>
  </si>
  <si>
    <t>https://dd3ka9h4chfr8.cloudfront.net/image/725136000567/image_n0vns9otah1rj6b8fnpkg0dh3l/-FJPG/UFUL-035A_SID_1.jpg</t>
  </si>
  <si>
    <t>https://dd3ka9h4chfr8.cloudfront.net/image/725136000567/image_talir842r955f582grsjs9t55p/-FJPG/UFUL-035A_ESS_1.jpg</t>
  </si>
  <si>
    <t>https://dd3ka9h4chfr8.cloudfront.net/image/725136000567/image_8ef3q7m46l3lh0f1io5if1kj0e/-FJPG/UFUL-035A_BCK_1.jpg</t>
  </si>
  <si>
    <t>https://dd3ka9h4chfr8.cloudfront.net/image/725136000567/image_be193pgo0p29l0s5srifiifh4u/-FJPG/UFUL-035A_DET_1.jpg</t>
  </si>
  <si>
    <t>https://dd3ka9h4chfr8.cloudfront.net/image/725136000567/image_r6m2a9upal2jh2193l1salql5o/-FJPG/UFUL-035A_DET_3.jpg</t>
  </si>
  <si>
    <t>https://dd3ka9h4chfr8.cloudfront.net/image/725136000567/image_ol74fmf7dl76tb3nche4klo477/-FJPG/UFUL-035A_OPN_1.jpg</t>
  </si>
  <si>
    <t>https://dd3ka9h4chfr8.cloudfront.net/image/725136000567/image_s28dvobl897i90852ipfefvg51/-FJPG/UFUL-035A_DET_4.jpg</t>
  </si>
  <si>
    <t>https://dd3ka9h4chfr8.cloudfront.net/image/725136000567/image_4tgiaf8p3l6vn5v4q327qnmt67/-FJPG/UFUL-035A_DET_5.jpg</t>
  </si>
  <si>
    <t>https://dd3ka9h4chfr8.cloudfront.net/image/725136000567/image_1lj674j21p3cb8lieter9k1c2n/-FJPG/UFUL-035A_DET_6.jpg</t>
  </si>
  <si>
    <t>https://dd3ka9h4chfr8.cloudfront.net/image/725136000567/image_9akl4rns1d38t7528s54mb017k/-FJPG/UFUL-035A_DET_7.jpg</t>
  </si>
  <si>
    <t>https://dd3ka9h4chfr8.cloudfront.net/image/725136000567/image_k63839hosl7bh4962iccggr904/-FJPG/UFUL-035A_OPN_2.jpg</t>
  </si>
  <si>
    <t>UFUL-037A</t>
  </si>
  <si>
    <t>Trey Sideboard - Black Wash Poplar</t>
  </si>
  <si>
    <t>Inspired by sleek mid-century design, a stylish sideboard of black-washed poplar offers ample storage space by way of interior cabinetry and spacious dual drawers. Metal-secured pulls of toffee top-grain leather add a textural element of surprise.</t>
  </si>
  <si>
    <t>https://dd3ka9h4chfr8.cloudfront.net/image/725136000567/image_u7q6m66u2d2r52qmbgl5df310f/-S150x150-FJPG/UFUL-037A_PRM_1.jpg</t>
  </si>
  <si>
    <t>https://dd3ka9h4chfr8.cloudfront.net/image/725136000567/image_h9b6rtlurl6fhfiel0ffmkl51q/-FJPG/UFUL-037A_FRT_1.jpg</t>
  </si>
  <si>
    <t>https://dd3ka9h4chfr8.cloudfront.net/image/725136000567/image_u7q6m66u2d2r52qmbgl5df310f/-FJPG/UFUL-037A_PRM_1.jpg</t>
  </si>
  <si>
    <t>https://dd3ka9h4chfr8.cloudfront.net/image/725136000567/image_p6drt8q21l67vdkc31oj76sa6j/-FJPG/UFUL-037A_SID_1.jpg</t>
  </si>
  <si>
    <t>https://dd3ka9h4chfr8.cloudfront.net/image/725136000567/image_046bm5vlh90mrb5scbh9141r4s/-FJPG/UFUL-037A_ESS_1.jpg</t>
  </si>
  <si>
    <t>https://dd3ka9h4chfr8.cloudfront.net/image/725136000567/image_rr7o3g2cb12p5ccpn4pn3ule45/-FJPG/UFUL-037A_DET_2.jpg</t>
  </si>
  <si>
    <t>https://dd3ka9h4chfr8.cloudfront.net/image/725136000567/image_lpnh6fjrt51vfeuic37vt5963f/-FJPG/UFUL-037A_BCK_1.jpg</t>
  </si>
  <si>
    <t>https://dd3ka9h4chfr8.cloudfront.net/image/725136000567/image_qk7m3u6lnh2mn79ct7bdl4lr61/-FJPG/UFUL-037A_DET_3.jpg</t>
  </si>
  <si>
    <t>https://dd3ka9h4chfr8.cloudfront.net/image/725136000567/image_h71kllndbp7073nb8mpmjuv65b/-FJPG/UFUL-037A_OPN_1.jpg</t>
  </si>
  <si>
    <t>https://dd3ka9h4chfr8.cloudfront.net/image/725136000567/image_1qmqbe6k5d7pr2p66evleu6q08/-FJPG/UFUL-037A_DET_4.jpg</t>
  </si>
  <si>
    <t>https://dd3ka9h4chfr8.cloudfront.net/image/725136000567/image_7kd0ouf6kp7mn5hdhbmmtua123/-FJPG/UFUL-037A_DET_7.jpg</t>
  </si>
  <si>
    <t>https://dd3ka9h4chfr8.cloudfront.net/image/725136000567/image_10qtc38tqp07j1impkrbjc543r/-FJPG/UFUL-037A_DET_8.jpg</t>
  </si>
  <si>
    <t>https://dd3ka9h4chfr8.cloudfront.net/image/725136000567/image_vvm9m6934p7750vkve5j7lgm71/-FJPG/UFUL-037A_DET_9.jpg</t>
  </si>
  <si>
    <t>https://dd3ka9h4chfr8.cloudfront.net/image/725136000567/image_pvkgq86l6p10t6ftha7149jk5g/-FJPG/UFUL-037A_DET_10.jpg</t>
  </si>
  <si>
    <t>https://dd3ka9h4chfr8.cloudfront.net/image/725136000567/image_4p87kvu6lh33f04e1pjhn0cg3u/-FJPG/UFUL-037A_VIG_1.jpg</t>
  </si>
  <si>
    <t>https://dd3ka9h4chfr8.cloudfront.net/image/725136000567/image_4tais3l7h956l49m2mdb81kh5l/-FJPG/UFUL-037A_VIG_2.jpg</t>
  </si>
  <si>
    <t>https://dd3ka9h4chfr8.cloudfront.net/image/725136000567/image_ng4vekin0p5gfaaklg1q5lh47r/-FJPG/UFUL-037A_ESS_3.jpg</t>
  </si>
  <si>
    <t>34.84"</t>
  </si>
  <si>
    <t>0.07"</t>
  </si>
  <si>
    <t>17.64"</t>
  </si>
  <si>
    <t>UWES-103</t>
  </si>
  <si>
    <t>Hudson Round Coffee Table - Spalted Primavera</t>
  </si>
  <si>
    <t>https://dd3ka9h4chfr8.cloudfront.net/image/725136000567/image_682a40cclp6dd7io7ol9dd1g6b/-S150x150-FJPG/UWES-103_PRM_1.jpg</t>
  </si>
  <si>
    <t>https://dd3ka9h4chfr8.cloudfront.net/image/725136000567/image_uua92ha95p1jlf4qr2ri4v2f2g/-FJPG/UWES-103_FRT_1.jpg</t>
  </si>
  <si>
    <t>https://dd3ka9h4chfr8.cloudfront.net/image/725136000567/image_682a40cclp6dd7io7ol9dd1g6b/-FJPG/UWES-103_PRM_1.jpg</t>
  </si>
  <si>
    <t>https://dd3ka9h4chfr8.cloudfront.net/image/725136000567/image_1g67hlamqd00h9r6729uh7sb6l/-FJPG/UWES-103_SID_1.jpg</t>
  </si>
  <si>
    <t>https://dd3ka9h4chfr8.cloudfront.net/image/725136000567/image_tf2tlqn31p3rpdjbvtnc91gj3j/-FJPG/UWES-103_ESS_1.jpg</t>
  </si>
  <si>
    <t>https://dd3ka9h4chfr8.cloudfront.net/image/725136000567/image_thd2vbipp12k3aai5jiva3t27b/-FJPG/UWES-103_DET_2.jpg</t>
  </si>
  <si>
    <t>https://dd3ka9h4chfr8.cloudfront.net/image/725136000567/image_7ivqa0k6k92speu2metv91q62v/-FJPG/UWES-103_DET_1.jpg</t>
  </si>
  <si>
    <t>https://dd3ka9h4chfr8.cloudfront.net/image/725136000567/image_uhavasv6dt7ub8vcl49rah007t/-FJPG/UWES-103_DET_3.jpg</t>
  </si>
  <si>
    <t>https://dd3ka9h4chfr8.cloudfront.net/image/725136000567/image_un1lnr2vfd50hb4tu47lovs45e/-FJPG/UWES-103_TOP_1.jpg</t>
  </si>
  <si>
    <t>https://dd3ka9h4chfr8.cloudfront.net/image/725136000567/image_m7hho7329h4n97fats4tq1uv04/-FJPG/UWES-103_DET_4.jpg</t>
  </si>
  <si>
    <t>https://dd3ka9h4chfr8.cloudfront.net/image/725136000567/image_l1ctfd512p42nbtav4je6e2q61/-FJPG/UWES-103_ROM_1.jpg</t>
  </si>
  <si>
    <t>https://dd3ka9h4chfr8.cloudfront.net/image/725136000567/image_0qsj2oj73d26berrgpqfnues0k/-FJPG/UWES-103_ROM_2.jpg</t>
  </si>
  <si>
    <t>UWES-103A</t>
  </si>
  <si>
    <t>Hudson Round Coffee Table - Natural Yukas Resin</t>
  </si>
  <si>
    <t>Natural Yukas Resin</t>
  </si>
  <si>
    <t>Stunning forces of nature are captured in a coffee table. Natural yukas wood is hand-shaped into a cylindrical silhouette, with black resin filling natural graining for dramatic effect. Reflective of woods' unique character, a slight color variance is possible from piece to piece.</t>
  </si>
  <si>
    <t>https://dd3ka9h4chfr8.cloudfront.net/image/725136000567/image_ss678ji11d0pr1qp6ntghggs35/-S150x150-FJPG/UWES-103A_PRM_1.jpg</t>
  </si>
  <si>
    <t>https://dd3ka9h4chfr8.cloudfront.net/image/725136000567/image_ss678ji11d0pr1qp6ntghggs35/-FJPG/UWES-103A_PRM_1.jpg</t>
  </si>
  <si>
    <t>https://dd3ka9h4chfr8.cloudfront.net/image/725136000567/image_68tvp9nqt13lv0acih7pe8sd75/-FJPG/UWES-103A_ESS_1.jpg</t>
  </si>
  <si>
    <t>https://dd3ka9h4chfr8.cloudfront.net/image/725136000567/image_k5e5284f6l6gn9pvidhq30tf4m/-FJPG/UWES-103A_ESS_2.jpg</t>
  </si>
  <si>
    <t>https://dd3ka9h4chfr8.cloudfront.net/image/725136000567/image_igtqbd7o192jp9bj9n9thp1754/-FJPG/UWES-103A_DET_2.jpg</t>
  </si>
  <si>
    <t>https://dd3ka9h4chfr8.cloudfront.net/image/725136000567/image_d606mqde9164lck15poe61e62a/-FJPG/UWES-103A_DET_1.jpg</t>
  </si>
  <si>
    <t>https://dd3ka9h4chfr8.cloudfront.net/image/725136000567/image_nul8nv02gh2g18qeb83sh1oq6a/-FJPG/UWES-103A_DET_3.jpg</t>
  </si>
  <si>
    <t>https://dd3ka9h4chfr8.cloudfront.net/image/725136000567/image_th9oc9s0st4377vkn9vg0tfr46/-FJPG/UWES-103A_TOP_1.jpg</t>
  </si>
  <si>
    <t>https://dd3ka9h4chfr8.cloudfront.net/image/725136000567/image_6k29vc31ol0s386atmkffndl16/-FJPG/UWES-103A_DET_4.jpg</t>
  </si>
  <si>
    <t>https://dd3ka9h4chfr8.cloudfront.net/image/725136000567/image_o6nksglkt90335qka03kfrht7v/-FJPG/UWES-103A_ROM_1.jpg</t>
  </si>
  <si>
    <t>UWES-111</t>
  </si>
  <si>
    <t>Hudson C Table - Spalted Primavera</t>
  </si>
  <si>
    <t>Highs and lows capture movement in this high-impact C-table. Spalted primavera seems to float over a gold-brushed iron base for slim, angular appeal.</t>
  </si>
  <si>
    <t>https://dd3ka9h4chfr8.cloudfront.net/image/725136000567/image_0v8h8ecc7d2s731epekhu6e514/-S150x150-FJPG/UWES-111_PRM_1.jpg</t>
  </si>
  <si>
    <t>https://dd3ka9h4chfr8.cloudfront.net/image/725136000567/image_7iepsnloh52dbes61muvov9546/-FJPG/UWES-111_FRT_1.jpg</t>
  </si>
  <si>
    <t>https://dd3ka9h4chfr8.cloudfront.net/image/725136000567/image_0v8h8ecc7d2s731epekhu6e514/-FJPG/UWES-111_PRM_1.jpg</t>
  </si>
  <si>
    <t>https://dd3ka9h4chfr8.cloudfront.net/image/725136000567/image_ukbq0sfajd131eukq7k1rtu718/-FJPG/UWES-111_SID_1.jpg</t>
  </si>
  <si>
    <t>https://dd3ka9h4chfr8.cloudfront.net/image/725136000567/image_khdi74sa1168n1iuvqvf544i5h/-FJPG/UWES-111_DET_2.jpg</t>
  </si>
  <si>
    <t>https://dd3ka9h4chfr8.cloudfront.net/image/725136000567/image_75744qg55p02teeocdq7atl45k/-FJPG/UWES-111_BCK_1.jpg</t>
  </si>
  <si>
    <t>https://dd3ka9h4chfr8.cloudfront.net/image/725136000567/image_ag54a3glil1s5fj0kl0tt3k32q/-FJPG/UWES-111_DET_1.jpg</t>
  </si>
  <si>
    <t>https://dd3ka9h4chfr8.cloudfront.net/image/725136000567/image_0c14dmp49d5ln9pui0je2mp36a/-FJPG/UWES-111_DET_3.jpg</t>
  </si>
  <si>
    <t>https://dd3ka9h4chfr8.cloudfront.net/image/725136000567/image_n6488gvj4d1ij407affis2k01k/-FJPG/UWES-111_DET_4.jpg</t>
  </si>
  <si>
    <t>https://dd3ka9h4chfr8.cloudfront.net/image/725136000567/image_m1gi51acj1353ecrlbnq381220/-FJPG/UWES-111_DET_5.jpg</t>
  </si>
  <si>
    <t>https://dd3ka9h4chfr8.cloudfront.net/image/725136000567/image_uacmk06e0t6e3fvj1rjtbtc525/-FJPG/UWES-111_ROM_1.jpg</t>
  </si>
  <si>
    <t>UWES-111A</t>
  </si>
  <si>
    <t>Hudson C Table - Natural Yukas</t>
  </si>
  <si>
    <t>Highs and lows capture movement in this high-impact C-table. Natural yukas appears to float over a bronzed iron base for slim, angular appeal.</t>
  </si>
  <si>
    <t>https://dd3ka9h4chfr8.cloudfront.net/image/725136000567/image_k8ng2epvd14pvb8qfo00uukv0k/-S150x150-FJPG/UWES-111A_PRM_1.jpg</t>
  </si>
  <si>
    <t>https://dd3ka9h4chfr8.cloudfront.net/image/725136000567/image_a8ghhlreqh2dl87mjef4bpva0v/-FJPG/UWES-111A_FRT_1.jpg</t>
  </si>
  <si>
    <t>https://dd3ka9h4chfr8.cloudfront.net/image/725136000567/image_k8ng2epvd14pvb8qfo00uukv0k/-FJPG/UWES-111A_PRM_1.jpg</t>
  </si>
  <si>
    <t>https://dd3ka9h4chfr8.cloudfront.net/image/725136000567/image_2ou7ptsaad61p2utlnltp8242f/-FJPG/UWES-111A_SID_1.jpg</t>
  </si>
  <si>
    <t>https://dd3ka9h4chfr8.cloudfront.net/image/725136000567/image_51u7r0ilj93lr8ka6kn6oou66k/-FJPG/UWES-111A_DET_2.jpg</t>
  </si>
  <si>
    <t>https://dd3ka9h4chfr8.cloudfront.net/image/725136000567/image_pu8hnh63d90018utuk5bb5tv0k/-FJPG/UWES-111A_BCK_1.jpg</t>
  </si>
  <si>
    <t>https://dd3ka9h4chfr8.cloudfront.net/image/725136000567/image_uvhqncrtt91ef5f7d01ig1l41o/-FJPG/UWES-111A_DET_1.jpg</t>
  </si>
  <si>
    <t>https://dd3ka9h4chfr8.cloudfront.net/image/725136000567/image_rv9m0r3m054gd1jj8e30pfhc2v/-FJPG/UWES-111A_DET_3.jpg</t>
  </si>
  <si>
    <t>https://dd3ka9h4chfr8.cloudfront.net/image/725136000567/image_0hpfgv74o11gla2q7sjt9i4a16/-FJPG/UWES-111A_DET_4.jpg</t>
  </si>
  <si>
    <t>https://dd3ka9h4chfr8.cloudfront.net/image/725136000567/image_jq2lg54gp512la0n10u8r2nm2l/-FJPG/UWES-111A_DET_5.jpg</t>
  </si>
  <si>
    <t>UWES-116</t>
  </si>
  <si>
    <t>Cross Dining Table - Dark Spalted Primavera</t>
  </si>
  <si>
    <t>Dark Spalted Primavera</t>
  </si>
  <si>
    <t>Gold Brush</t>
  </si>
  <si>
    <t>Iron strapping with a brushed gold finish adds a rustic, industrial edge to a substantial plank table. Beautiful graining marks simple, cross-shaped trestles and table top.</t>
  </si>
  <si>
    <t>https://dd3ka9h4chfr8.cloudfront.net/image/725136000567/image_ou9btd89gt1jdfoa66ahb2bh3n/-S150x150-FJPG/UWES-116_PRM_1.jpg</t>
  </si>
  <si>
    <t>https://dd3ka9h4chfr8.cloudfront.net/image/725136000567/image_p3b2a6qlg9787eu5v57dtp646b/-FJPG/UWES-116_FRT_1.jpg</t>
  </si>
  <si>
    <t>https://dd3ka9h4chfr8.cloudfront.net/image/725136000567/image_ou9btd89gt1jdfoa66ahb2bh3n/-FJPG/UWES-116_PRM_1.jpg</t>
  </si>
  <si>
    <t>https://dd3ka9h4chfr8.cloudfront.net/image/725136000567/image_22gktm7cl160fanaq5tngri823/-FJPG/UWES-116_SID_1.jpg</t>
  </si>
  <si>
    <t>https://dd3ka9h4chfr8.cloudfront.net/image/725136000567/image_rp9m6os8dt7o5den6scfhf0t1s/-FJPG/UWES-116_DET_2.jpg</t>
  </si>
  <si>
    <t>https://dd3ka9h4chfr8.cloudfront.net/image/725136000567/image_biia4afp7t13l2tin4tu36ka01/-FJPG/UWES-116_DET_1.jpg</t>
  </si>
  <si>
    <t>https://dd3ka9h4chfr8.cloudfront.net/image/725136000567/image_meu6eo1kb158v1lj3hhejie80d/-FJPG/UWES-116_DET_3.jpg</t>
  </si>
  <si>
    <t>https://dd3ka9h4chfr8.cloudfront.net/image/725136000567/image_2p0hmv0dhd0c37e08ekco6n91f/-FJPG/UWES-116_TOP_1.jpg</t>
  </si>
  <si>
    <t>https://dd3ka9h4chfr8.cloudfront.net/image/725136000567/image_utqd2un63h1pt9hgkvcs3sq52u/-FJPG/UWES-116_DET_4.jpg</t>
  </si>
  <si>
    <t>https://dd3ka9h4chfr8.cloudfront.net/image/725136000567/image_k5ru4pa2gl6qvcqutt98cbf31i/-FJPG/UWES-116_DET_5.jpg</t>
  </si>
  <si>
    <t>https://dd3ka9h4chfr8.cloudfront.net/image/725136000567/image_taqoa11jmd3sb1au3gfk0mcd4c/-FJPG/UWES-116_DET_6.jpg</t>
  </si>
  <si>
    <t>https://dd3ka9h4chfr8.cloudfront.net/image/725136000567/image_33q2i0448p6ah0diomumnk6a0k/-FJPG/UWES-116_ROM_1.jpg</t>
  </si>
  <si>
    <t>Cross</t>
  </si>
  <si>
    <t>28.30"</t>
  </si>
  <si>
    <t>UWES-150</t>
  </si>
  <si>
    <t>Live Edge Sideboard - Smoked Saman</t>
  </si>
  <si>
    <t>Smoked Saman</t>
  </si>
  <si>
    <t>Thick Saman Veneer</t>
  </si>
  <si>
    <t>Rich materials deliver depth to simple shaping. Smoked saman features live edge detail, adding a unique design-forward touch to streamlined shaping. Slim legs are finished in bronzed iron to achieve a fresh, fluid look.</t>
  </si>
  <si>
    <t>https://dd3ka9h4chfr8.cloudfront.net/image/725136000567/image_0eue6dnie91s1eotn4d0cbhl14/-S150x150-FJPG/UWES-150_PRM_1.jpg</t>
  </si>
  <si>
    <t>https://dd3ka9h4chfr8.cloudfront.net/image/725136000567/image_pumrpr2fbt5at8ki92teje7u4g/-FJPG/UWES-150_FRT_1.jpg</t>
  </si>
  <si>
    <t>https://dd3ka9h4chfr8.cloudfront.net/image/725136000567/image_0eue6dnie91s1eotn4d0cbhl14/-FJPG/UWES-150_PRM_1.jpg</t>
  </si>
  <si>
    <t>https://dd3ka9h4chfr8.cloudfront.net/image/725136000567/image_vokphlitn11md2rdbtco6bif7g/-FJPG/UWES-150_SID_1.jpg</t>
  </si>
  <si>
    <t>https://dd3ka9h4chfr8.cloudfront.net/image/725136000567/image_aa7j59vv0h7clb4his0su01m3l/-FJPG/UWES-150_DET_2.jpg</t>
  </si>
  <si>
    <t>https://dd3ka9h4chfr8.cloudfront.net/image/725136000567/image_3eab6lqvcl3i3f8tf1ih4jb870/-FJPG/UWES-150_DET_1.jpg</t>
  </si>
  <si>
    <t>https://dd3ka9h4chfr8.cloudfront.net/image/725136000567/image_5l6usv8spd2of3d7l9hvpsnd1o/-FJPG/UWES-150_DET_3.jpg</t>
  </si>
  <si>
    <t>https://dd3ka9h4chfr8.cloudfront.net/image/725136000567/image_j541v5at0t72h420pkesnln638/-FJPG/UWES-150_OPN_1.jpg</t>
  </si>
  <si>
    <t>https://dd3ka9h4chfr8.cloudfront.net/image/725136000567/image_hq5s6js9dd6h9amous89hffn57/-FJPG/UWES-150_DET_4.jpg</t>
  </si>
  <si>
    <t>https://dd3ka9h4chfr8.cloudfront.net/image/725136000567/image_dsafp8og215bncvfr9fqh0h96v/-FJPG/UWES-150_DET_5.jpg</t>
  </si>
  <si>
    <t>https://dd3ka9h4chfr8.cloudfront.net/image/725136000567/image_ujku13m1at4sjc1ttfg388cl19/-FJPG/UWES-150_ROM_1.jpg</t>
  </si>
  <si>
    <t>https://dd3ka9h4chfr8.cloudfront.net/image/725136000567/image_mtd16piadh1359lceiqvpq937l/-FJPG/UWES-150_ROM_2.jpg</t>
  </si>
  <si>
    <t>Live Edge</t>
  </si>
  <si>
    <t>33.96"</t>
  </si>
  <si>
    <t>UWES-156</t>
  </si>
  <si>
    <t>Brooklyn Coffee Table - Blonde Yukas</t>
  </si>
  <si>
    <t>Blonde Yukas</t>
  </si>
  <si>
    <t>A shape-centric statement piece. Blonde yukas woods are blended and smoothed for a soft look rich with innate depth. Asymmetric sides form a casual octagon, bringing reimagined geometry to the table. Each style slightly unique, thanks to materials' natural quality.</t>
  </si>
  <si>
    <t>https://dd3ka9h4chfr8.cloudfront.net/image/725136000567/image_3f45u8tkol1kjes41a4aoekf04/-S150x150-FJPG/UWES-156_PRM_1.jpg</t>
  </si>
  <si>
    <t>https://dd3ka9h4chfr8.cloudfront.net/image/725136000567/image_ekhdql2cnt33pap3f8dilemk2b/-FJPG/UWES-156_FRT_1.jpg</t>
  </si>
  <si>
    <t>https://dd3ka9h4chfr8.cloudfront.net/image/725136000567/image_3f45u8tkol1kjes41a4aoekf04/-FJPG/UWES-156_PRM_1.jpg</t>
  </si>
  <si>
    <t>https://dd3ka9h4chfr8.cloudfront.net/image/725136000567/image_tf555r8k0d7j76vagc4qjcer1e/-FJPG/UWES-156_DET_2.jpg</t>
  </si>
  <si>
    <t>https://dd3ka9h4chfr8.cloudfront.net/image/725136000567/image_v571ret2sl1eff5eiq25922u0h/-FJPG/UWES-156_DET_1.jpg</t>
  </si>
  <si>
    <t>https://dd3ka9h4chfr8.cloudfront.net/image/725136000567/image_et1h9ob38p573b7hemfo249e4n/-FJPG/UWES-156_DET_3.jpg</t>
  </si>
  <si>
    <t>https://dd3ka9h4chfr8.cloudfront.net/image/725136000567/image_2ldefmvq9d7irfskvpfusoc55n/-FJPG/UWES-156_DET_4.jpg</t>
  </si>
  <si>
    <t>https://dd3ka9h4chfr8.cloudfront.net/image/725136000567/image_e97mlitma57et4dc5bobg5mv63/-FJPG/UWES-156_ROM_1.jpg</t>
  </si>
  <si>
    <t>https://dd3ka9h4chfr8.cloudfront.net/image/725136000567/image_4u7tvnmkn90vrfakvrfm2cac4i/-FJPG/UWES-156_ESS.tif</t>
  </si>
  <si>
    <t>https://dd3ka9h4chfr8.cloudfront.net/image/725136000567/image_4ne2g8f84t60j4tqbd958c5l1i/-FJPG/UWES-156_ESS_9.tif</t>
  </si>
  <si>
    <t>UWES-201</t>
  </si>
  <si>
    <t>Hudson Round End Table - Spalted Primavera</t>
  </si>
  <si>
    <t>https://dd3ka9h4chfr8.cloudfront.net/image/725136000567/image_b89fuhl3kd19lemd8cc80pqj5s/-S150x150-FJPG/UWES-201_PRM_1.jpg</t>
  </si>
  <si>
    <t>https://dd3ka9h4chfr8.cloudfront.net/image/725136000567/image_mhcsdbppcp7ff8i7j55rnqnp07/-FJPG/UWES-201_FRT_1.jpg</t>
  </si>
  <si>
    <t>https://dd3ka9h4chfr8.cloudfront.net/image/725136000567/image_b89fuhl3kd19lemd8cc80pqj5s/-FJPG/UWES-201_PRM_1.jpg</t>
  </si>
  <si>
    <t>https://dd3ka9h4chfr8.cloudfront.net/image/725136000567/image_geesdla0k56bnejh3mbsrb2q21/-FJPG/UWES-201_DET_2.jpg</t>
  </si>
  <si>
    <t>https://dd3ka9h4chfr8.cloudfront.net/image/725136000567/image_ga68rafhqp4195smdv64htl84c/-FJPG/UWES-201_DET_1.jpg</t>
  </si>
  <si>
    <t>https://dd3ka9h4chfr8.cloudfront.net/image/725136000567/image_r4r8n0lc9t2qrfnuai1122ev3o/-FJPG/UWES-201_DET_3.jpg</t>
  </si>
  <si>
    <t>https://dd3ka9h4chfr8.cloudfront.net/image/725136000567/image_pllrb65sd91j12tigdsm29ja6p/-FJPG/UWES-201_TOP_1.jpg</t>
  </si>
  <si>
    <t>https://dd3ka9h4chfr8.cloudfront.net/image/725136000567/image_v5c4nossld67n73505d6iqlu5h/-FJPG/UWES-201_DET_4.jpg</t>
  </si>
  <si>
    <t>https://dd3ka9h4chfr8.cloudfront.net/image/725136000567/image_tnvk6t8a8h5vpbupt073q1ep3f/-FJPG/UWES-201_DET_8.jpg</t>
  </si>
  <si>
    <t>https://dd3ka9h4chfr8.cloudfront.net/image/725136000567/image_0e957qc62h6695oiktq5r1gh7f/-FJPG/UWES-201_ROM_1.jpg</t>
  </si>
  <si>
    <t>UWES-201A</t>
  </si>
  <si>
    <t>Hudson Round End Table - Natural Yukas Resin</t>
  </si>
  <si>
    <t>https://dd3ka9h4chfr8.cloudfront.net/image/725136000567/image_8bie4kgb353v1fnabmiabrg03u/-S150x150-FJPG/UWES-201A_PRM_1.jpg</t>
  </si>
  <si>
    <t>https://dd3ka9h4chfr8.cloudfront.net/image/725136000567/image_8bie4kgb353v1fnabmiabrg03u/-FJPG/UWES-201A_PRM_1.jpg</t>
  </si>
  <si>
    <t>https://dd3ka9h4chfr8.cloudfront.net/image/725136000567/image_6oqrsossal10h1eom28gvvuv3r/-FJPG/UWES-201A_DET_2.jpg</t>
  </si>
  <si>
    <t>https://dd3ka9h4chfr8.cloudfront.net/image/725136000567/image_2r41qa2dvt28585akg0hrgt75a/-FJPG/UWES-201A_DET_1.jpg</t>
  </si>
  <si>
    <t>https://dd3ka9h4chfr8.cloudfront.net/image/725136000567/image_c4j8ig615t7hd7gmj7qhldb420/-FJPG/UWES-201A_DET_3.jpg</t>
  </si>
  <si>
    <t>https://dd3ka9h4chfr8.cloudfront.net/image/725136000567/image_m326elj1693vb4n6fd7unk110q/-FJPG/UWES-201A_DET_4.jpg</t>
  </si>
  <si>
    <t>UWES-214</t>
  </si>
  <si>
    <t>Hudson Square Coffee Table - Spalted Primavera</t>
  </si>
  <si>
    <t>Stunning forces of nature, captured in a coffee table. Spalted primavera is hand-shaped into a cleanly squared silhouette. Reflective of woods' natural character, a slight color variance is possible from piece to piece.</t>
  </si>
  <si>
    <t>https://dd3ka9h4chfr8.cloudfront.net/image/725136000567/image_73qo5e71n94bt8p7k7l44q4m0s/-S150x150-FJPG/UWES-214_PRM_1.jpg</t>
  </si>
  <si>
    <t>https://dd3ka9h4chfr8.cloudfront.net/image/725136000567/image_n1etmftmbp06rfpp4hdqpukv27/-FJPG/UWES-214_FRT_1.jpg</t>
  </si>
  <si>
    <t>https://dd3ka9h4chfr8.cloudfront.net/image/725136000567/image_73qo5e71n94bt8p7k7l44q4m0s/-FJPG/UWES-214_PRM_1.jpg</t>
  </si>
  <si>
    <t>https://dd3ka9h4chfr8.cloudfront.net/image/725136000567/image_dcrihkqkdd6hn45bf76005085r/-FJPG/UWES-214_DET_2.jpg</t>
  </si>
  <si>
    <t>https://dd3ka9h4chfr8.cloudfront.net/image/725136000567/image_a14tlku76l2956cs0jnqbcua56/-FJPG/UWES-214_DET_1.jpg</t>
  </si>
  <si>
    <t>https://dd3ka9h4chfr8.cloudfront.net/image/725136000567/image_1ule14k2qh5ud0khpqp0j6cr4o/-FJPG/UWES-214_DET_3.jpg</t>
  </si>
  <si>
    <t>https://dd3ka9h4chfr8.cloudfront.net/image/725136000567/image_a8iimsk3tl6ar0cl9chrt4at2j/-FJPG/UWES-214_TOP_1.jpg</t>
  </si>
  <si>
    <t>https://dd3ka9h4chfr8.cloudfront.net/image/725136000567/image_nfngho23dh7ur49v671sp6sv5m/-FJPG/UWES-214_DET_4.jpg</t>
  </si>
  <si>
    <t>https://dd3ka9h4chfr8.cloudfront.net/image/725136000567/image_7r2r9376717lb2ofnubqbm886l/-FJPG/UWES-214_DET_5.jpg</t>
  </si>
  <si>
    <t>https://dd3ka9h4chfr8.cloudfront.net/image/725136000567/image_jh46dedabd7br8k4g34jpnjb06/-FJPG/UWES-214_DET_6.jpg</t>
  </si>
  <si>
    <t>https://dd3ka9h4chfr8.cloudfront.net/image/725136000567/image_j2mbfnnsh55c9foqn2q920q957/-FJPG/UWES-214_ROM_1.jpg</t>
  </si>
  <si>
    <t>UWES-214A</t>
  </si>
  <si>
    <t>Hudson Square Coffee Table - Natural Yukas Resin</t>
  </si>
  <si>
    <t>https://dd3ka9h4chfr8.cloudfront.net/image/725136000567/image_c16n2gme397tf19dg0cpela42u/-S150x150-FJPG/UWES-214A_PRM_1.jpg</t>
  </si>
  <si>
    <t>https://dd3ka9h4chfr8.cloudfront.net/image/725136000567/image_9n4lcu0phh14vdssbiam04ce43/-FJPG/UWES-214A_FRT_1.jpg</t>
  </si>
  <si>
    <t>https://dd3ka9h4chfr8.cloudfront.net/image/725136000567/image_c16n2gme397tf19dg0cpela42u/-FJPG/UWES-214A_PRM_1.jpg</t>
  </si>
  <si>
    <t>https://dd3ka9h4chfr8.cloudfront.net/image/725136000567/image_qngo07uoc907v7vm8snsotdt4h/-FJPG/UWES-214A_DET_2.jpg</t>
  </si>
  <si>
    <t>https://dd3ka9h4chfr8.cloudfront.net/image/725136000567/image_2v8bbd37lp33h0saabfsv3181b/-FJPG/UWES-214A_DET_1.jpg</t>
  </si>
  <si>
    <t>https://dd3ka9h4chfr8.cloudfront.net/image/725136000567/image_uptlnbpu5d54lf932nb2v2lf0b/-FJPG/UWES-214A_DET_3.jpg</t>
  </si>
  <si>
    <t>https://dd3ka9h4chfr8.cloudfront.net/image/725136000567/image_20msrt8adh073dkkpinepjrf71/-FJPG/UWES-214A_TOP_1.jpg</t>
  </si>
  <si>
    <t>https://dd3ka9h4chfr8.cloudfront.net/image/725136000567/image_mqjj1jocch1qt94lplcb8fpj3u/-FJPG/UWES-214A_DET_4.jpg</t>
  </si>
  <si>
    <t>https://dd3ka9h4chfr8.cloudfront.net/image/725136000567/image_660srf2hcl3337t3v47aq55t3c/-FJPG/UWES-214A_DET_5.jpg</t>
  </si>
  <si>
    <t>VBEL-F037</t>
  </si>
  <si>
    <t>Shadow Box Media Console - Black</t>
  </si>
  <si>
    <t>A shadowbox-inspired console table gives your inner collector a place to play. Frame prized posessions in a glass enclosure with matte-black metal and brass knobs.</t>
  </si>
  <si>
    <t>https://dd3ka9h4chfr8.cloudfront.net/image/725136000567/image_j2p6b3vb7l5kj49tp4k8d9p677/-S150x150-FJPG/VBEL-F037_PRM_1.jpg</t>
  </si>
  <si>
    <t>https://dd3ka9h4chfr8.cloudfront.net/image/725136000567/image_uu0j028kbt6of4533kaupspe2u/-FJPG/VBEL-F037_FRT_1.jpg</t>
  </si>
  <si>
    <t>https://dd3ka9h4chfr8.cloudfront.net/image/725136000567/image_j2p6b3vb7l5kj49tp4k8d9p677/-FJPG/VBEL-F037_PRM_1.jpg</t>
  </si>
  <si>
    <t>https://dd3ka9h4chfr8.cloudfront.net/image/725136000567/image_h1dhro3k592rbaf245qtgqtm16/-FJPG/VBEL-F037_SID_1.jpg</t>
  </si>
  <si>
    <t>https://dd3ka9h4chfr8.cloudfront.net/image/725136000567/image_a71dicruit7qn5vtq5us2opm5j/-FJPG/VBEL-F037_ESS_1.jpg</t>
  </si>
  <si>
    <t>https://dd3ka9h4chfr8.cloudfront.net/image/725136000567/image_cenhq0j4kp0q5fahaivceuoa7p/-FJPG/VBEL-F037_DET_2.jpg</t>
  </si>
  <si>
    <t>https://dd3ka9h4chfr8.cloudfront.net/image/725136000567/image_jsdemoes0d6s90lbv1q434fu38/-FJPG/VBEL-F037_DET_1.jpg</t>
  </si>
  <si>
    <t>https://dd3ka9h4chfr8.cloudfront.net/image/725136000567/image_kvrj9uus111sj5u97uk5ccuc1t/-FJPG/VBEL-F037_DET_3.jpg</t>
  </si>
  <si>
    <t>https://dd3ka9h4chfr8.cloudfront.net/image/725136000567/image_d3nirii0it37531vso2r26gc6b/-FJPG/VBEL-F037_OPN_1.jpg</t>
  </si>
  <si>
    <t>https://dd3ka9h4chfr8.cloudfront.net/image/725136000567/image_463k5do9al5a3cv5avee07ge6k/-FJPG/VBEL-F037_DET_4.jpg</t>
  </si>
  <si>
    <t>https://dd3ka9h4chfr8.cloudfront.net/image/725136000567/image_ifr6nvtiol6gv705ho0j9k9i3d/-FJPG/VBEL-F037_DET_5.jpg</t>
  </si>
  <si>
    <t>https://dd3ka9h4chfr8.cloudfront.net/image/725136000567/image_cpqjr2eejd6lld6n0rgf0ml04l/-FJPG/VBEL-F037_ROM_2.jpg</t>
  </si>
  <si>
    <t>https://dd3ka9h4chfr8.cloudfront.net/image/725136000567/image_153ctu32197s97rch6ppv4l81p/-FJPG/VBEL-F037_ROM_3.jpg</t>
  </si>
  <si>
    <t>https://dd3ka9h4chfr8.cloudfront.net/image/725136000567/image_qckc0r0j2l2dlb8hiiirqkql0j/-FJPG/VBEL-F037_ROM_4.jpg</t>
  </si>
  <si>
    <t>VBEL-F039</t>
  </si>
  <si>
    <t>Shadow Box End Table - Tempered Glass</t>
  </si>
  <si>
    <t>A shadowbox-inspired end table gives your inner collector a place to play. Frame prized possessions in a glass enclosure with matte-black metal and brass knobs.</t>
  </si>
  <si>
    <t>https://dd3ka9h4chfr8.cloudfront.net/image/725136000567/image_29gjf4v3ah1gpfhk01ngmico43/-S150x150-FJPG/VBEL-F039_PRM_1.jpg</t>
  </si>
  <si>
    <t>https://dd3ka9h4chfr8.cloudfront.net/image/725136000567/image_ua0sf49tv12o7ct3h9qq6ckf26/-FJPG/VBEL-F039_FRT_1.jpg</t>
  </si>
  <si>
    <t>https://dd3ka9h4chfr8.cloudfront.net/image/725136000567/image_29gjf4v3ah1gpfhk01ngmico43/-FJPG/VBEL-F039_PRM_1.jpg</t>
  </si>
  <si>
    <t>https://dd3ka9h4chfr8.cloudfront.net/image/725136000567/image_37b5eduvnt5k5ah7t49rvvco6l/-FJPG/VBEL-F039_SID_1.jpg</t>
  </si>
  <si>
    <t>https://dd3ka9h4chfr8.cloudfront.net/image/725136000567/image_bv4diivegh7lrcu0lcn44mq94g/-FJPG/VBEL-F039_ESS_1.jpg</t>
  </si>
  <si>
    <t>https://dd3ka9h4chfr8.cloudfront.net/image/725136000567/image_s3m0mbne054cd824c4nce1uk30/-FJPG/VBEL-F039_DET_2.jpg</t>
  </si>
  <si>
    <t>https://dd3ka9h4chfr8.cloudfront.net/image/725136000567/image_vjraclt3tt2fl8knqnmc9evm5j/-FJPG/VBEL-F039_DET_1.jpg</t>
  </si>
  <si>
    <t>https://dd3ka9h4chfr8.cloudfront.net/image/725136000567/image_15gc9g4ef50apbtnlrq6arok7f/-FJPG/VBEL-F039_DET_3.jpg</t>
  </si>
  <si>
    <t>https://dd3ka9h4chfr8.cloudfront.net/image/725136000567/image_9kh0v3khp17615rhr6lj8uvi5i/-FJPG/VBEL-F039_OPN_1.jpg</t>
  </si>
  <si>
    <t>https://dd3ka9h4chfr8.cloudfront.net/image/725136000567/image_vrfdk1og452574bhdo6h4hve2n/-FJPG/VBEL-F039_DET_4.jpg</t>
  </si>
  <si>
    <t>https://dd3ka9h4chfr8.cloudfront.net/image/725136000567/image_h7oe44k91p79b3cuf3h7s6fn26/-FJPG/VBEL-F039_DET_5.jpg</t>
  </si>
  <si>
    <t>https://dd3ka9h4chfr8.cloudfront.net/image/725136000567/image_km8mquv27d7pp7o64nn79q5d0b/-FJPG/VBEL-F039_DET_6.jpg</t>
  </si>
  <si>
    <t>VBFS-020B</t>
  </si>
  <si>
    <t>Aspen Bench - Sandy Oak</t>
  </si>
  <si>
    <t>This fresh take on Windsor-style seating has a sculptural silhouette and sandy finish, highlighting oak's natural luster.</t>
  </si>
  <si>
    <t>https://dd3ka9h4chfr8.cloudfront.net/image/725136000567/image_bq4r9ra7s54a1fne5dlisoq54n/-S150x150-FJPG/VBFS-020B_PRM_1.jpg</t>
  </si>
  <si>
    <t>https://dd3ka9h4chfr8.cloudfront.net/image/725136000567/image_rremieimit28vctajser8nae5h/-FJPG/VBFS-020B_FRT_1.jpg</t>
  </si>
  <si>
    <t>https://dd3ka9h4chfr8.cloudfront.net/image/725136000567/image_bq4r9ra7s54a1fne5dlisoq54n/-FJPG/VBFS-020B_PRM_1.jpg</t>
  </si>
  <si>
    <t>https://dd3ka9h4chfr8.cloudfront.net/image/725136000567/image_pdpf0r56j55gf8ho67qesr2l2h/-FJPG/VBFS-020B_SID_1.jpg</t>
  </si>
  <si>
    <t>https://dd3ka9h4chfr8.cloudfront.net/image/725136000567/image_c11ns5ji5p50l4c3oucqd2u52e/-FJPG/VBFS-020B_DET_2.jpg</t>
  </si>
  <si>
    <t>https://dd3ka9h4chfr8.cloudfront.net/image/725136000567/image_8r44tvkosl751cln15t96lim1d/-FJPG/VBFS-020B_BCK_1.jpg</t>
  </si>
  <si>
    <t>https://dd3ka9h4chfr8.cloudfront.net/image/725136000567/image_eu9uqdl5b17or4j083ppcud51j/-FJPG/VBFS-020B_DET_1.jpg</t>
  </si>
  <si>
    <t>https://dd3ka9h4chfr8.cloudfront.net/image/725136000567/image_pud9bgq9lh6irf4ihd0jcakc7r/-FJPG/VBFS-020B_DET_3.jpg</t>
  </si>
  <si>
    <t>https://dd3ka9h4chfr8.cloudfront.net/image/725136000567/image_44tb226i5t1hbcb6s3580bjm2d/-FJPG/VBFS-020B_DET_4.jpg</t>
  </si>
  <si>
    <t>https://dd3ka9h4chfr8.cloudfront.net/image/725136000567/image_v7grs1dl8h4rhb778h3u09i810/-FJPG/VBFS-020B_DET_5.jpg</t>
  </si>
  <si>
    <t>https://dd3ka9h4chfr8.cloudfront.net/image/725136000567/image_uq2krsliit0v169uju9ckm0p0h/-FJPG/VBFS-020B_ROM_2.jpg</t>
  </si>
  <si>
    <t>https://dd3ka9h4chfr8.cloudfront.net/image/725136000567/image_bi4o7qceu55631nq7u1ublmb4t/-FJPG/VBFS-020B_PRM_2.jpg</t>
  </si>
  <si>
    <t>Aspen</t>
  </si>
  <si>
    <t>49.88"</t>
  </si>
  <si>
    <t>VBNA-CO102</t>
  </si>
  <si>
    <t>Ginger Console Table - Natural Walnut</t>
  </si>
  <si>
    <t>Natural Walnut</t>
  </si>
  <si>
    <t>An Asian-inspired, open design effortlessly mixes materials, weights, and placements to achieve an arresting balance. Solid walnut and reclaimed peroba woods. This piece is designed in collaboration with Thomas Bina. Four Handsâ€™ partnership with the renowned Los Angeles furniture designer began in the early 2000s, producing several unique collections including reclaimed wood-driven case goods and Brazilian-inspired upholstery.</t>
  </si>
  <si>
    <t>https://dd3ka9h4chfr8.cloudfront.net/image/725136000567/image_k3hav9qta96s1f8r1fl565q536/-S150x150-FJPG/VBNA-CO102_PRM_1.jpg</t>
  </si>
  <si>
    <t>https://dd3ka9h4chfr8.cloudfront.net/image/725136000567/image_ic6ce012rp629a333c0n4iai37/-FJPG/VBNA-CO102_FRT_1.jpg</t>
  </si>
  <si>
    <t>https://dd3ka9h4chfr8.cloudfront.net/image/725136000567/image_k3hav9qta96s1f8r1fl565q536/-FJPG/VBNA-CO102_PRM_1.jpg</t>
  </si>
  <si>
    <t>https://dd3ka9h4chfr8.cloudfront.net/image/725136000567/image_5e7va2s6mh4up8la0fnn298305/-FJPG/VBNA-CO102_SID_1.jpg</t>
  </si>
  <si>
    <t>https://dd3ka9h4chfr8.cloudfront.net/image/725136000567/image_7m5ev8mvf50r56pj49eb8les31/-FJPG/VBNA-CO102_DET_2.jpg</t>
  </si>
  <si>
    <t>https://dd3ka9h4chfr8.cloudfront.net/image/725136000567/image_9f0kjlq70p2edcte1evtd3ih64/-FJPG/VBNA-CO102_BCK_1.jpg</t>
  </si>
  <si>
    <t>https://dd3ka9h4chfr8.cloudfront.net/image/725136000567/image_cuo1n8b81p3oj77fuopjfvi821/-FJPG/VBNA-CO102_DET_1.jpg</t>
  </si>
  <si>
    <t>https://dd3ka9h4chfr8.cloudfront.net/image/725136000567/image_vhhort0t1p2hdc9khk4osk0308/-FJPG/VBNA-CO102_ROM_1.jpg</t>
  </si>
  <si>
    <t>https://dd3ka9h4chfr8.cloudfront.net/image/725136000567/image_evnps5gi6t3m5cbo0esfrd2k0j/-FJPG/VBNA-CO102_ROM_2.jpg</t>
  </si>
  <si>
    <t>https://dd3ka9h4chfr8.cloudfront.net/image/725136000567/image_j07gujc94t1kja7htn6ni92f0o/-FJPG/VBNA-CO102_ROM_6.jpg</t>
  </si>
  <si>
    <t>https://dd3ka9h4chfr8.cloudfront.net/image/725136000567/image_7bbr1k5ep17a725fae7uvlke3d/-FJPG/VBNA-CO102_ROM_7.jpg</t>
  </si>
  <si>
    <t>10.67"</t>
  </si>
  <si>
    <t>Ginger</t>
  </si>
  <si>
    <t>VBNA-CT998</t>
  </si>
  <si>
    <t>Crosby Round Coffee Table - Natural Peroba</t>
  </si>
  <si>
    <t>Natural Peroba</t>
  </si>
  <si>
    <t>Rust Acacia</t>
  </si>
  <si>
    <t>Charcoal Shagreen</t>
  </si>
  <si>
    <t>Reclaimed  Resawn Peroba Veneer</t>
  </si>
  <si>
    <t>Mixed materials and the simplest of shapes offer a dramatic centerpiece for any space. Reclaimed peroba wood is supported by a textural faux shagreen base in soft grey. This piece is designed in collaboration with Thomas Bina. Four Handsâ€™ partnership with the renowned Los Angeles furniture designer began in the early 2000s, producing several unique collections including reclaimed wood-driven case goods and Brazilian-inspired upholstery.</t>
  </si>
  <si>
    <t>https://dd3ka9h4chfr8.cloudfront.net/image/725136000567/image_ptib30iant01t7bancj22e4227/-S150x150-FJPG/VBNA-CT998_PRM_1.jpg</t>
  </si>
  <si>
    <t>https://dd3ka9h4chfr8.cloudfront.net/image/725136000567/image_ptib30iant01t7bancj22e4227/-FJPG/VBNA-CT998_PRM_1.jpg</t>
  </si>
  <si>
    <t>https://dd3ka9h4chfr8.cloudfront.net/image/725136000567/image_p04m19a27t397fh5k7mvhctp4d/-FJPG/VBNA-CT998_DET_2.jpg</t>
  </si>
  <si>
    <t>https://dd3ka9h4chfr8.cloudfront.net/image/725136000567/image_bcr51vpfcd2vfedd2945t1n37a/-FJPG/VBNA-CT998_DET_1.jpg</t>
  </si>
  <si>
    <t>https://dd3ka9h4chfr8.cloudfront.net/image/725136000567/image_m5bll7h3ml7op8qj0l1v3ahm3h/-FJPG/VBNA-CT998_DET_3.jpg</t>
  </si>
  <si>
    <t>https://dd3ka9h4chfr8.cloudfront.net/image/725136000567/image_epql96n5ph29h614ofddvbd55h/-FJPG/VBNA-CT998_TOP_1.jpg</t>
  </si>
  <si>
    <t>https://dd3ka9h4chfr8.cloudfront.net/image/725136000567/image_lckonogkf94kv3p9obgi4lnh3e/-FJPG/VBNA-CT998_DET_4.jpg</t>
  </si>
  <si>
    <t>https://dd3ka9h4chfr8.cloudfront.net/image/725136000567/image_9deak4c6qh3gr9ip3a0s31nt25/-FJPG/VBNA-CT998_DET_5.jpg</t>
  </si>
  <si>
    <t>https://dd3ka9h4chfr8.cloudfront.net/image/725136000567/image_d0shlj8qp113vbl6lrhs7b010k/-FJPG/VBNA-CT998_ROM_1.jpg</t>
  </si>
  <si>
    <t>0.16"</t>
  </si>
  <si>
    <t>VBNA-DK815</t>
  </si>
  <si>
    <t>Lauren Desk - Natural Peroba</t>
  </si>
  <si>
    <t>Warm Brown Acacia Veneer</t>
  </si>
  <si>
    <t>Thick Acacia Veneer</t>
  </si>
  <si>
    <t>This mid-century inspired lawyer's desk offers heavy-duty storage with two-sided cabinetry. A floating top and simple iron legs keeps the look light and modern. Solid acacia casing with reclaimed peroba wood door and drawer fronts. This piece is designed in collaboration with Thomas Bina. Four Handsâ€™ partnership with the renowned Los Angeles furniture designer began in the early 2000s, producing several unique collections including reclaimed wood-driven case goods and Brazilian-inspired upholstery.</t>
  </si>
  <si>
    <t>https://dd3ka9h4chfr8.cloudfront.net/image/725136000567/image_9gampph9dl2gpaib0nj7lh507f/-S150x150-FJPG/VBNA-DK815_PRM_2.jpg</t>
  </si>
  <si>
    <t>https://dd3ka9h4chfr8.cloudfront.net/image/725136000567/image_9jt2or9q6h2ol0suuueddo427k/-FJPG/VBNA-DK815_FRT_1.jpg</t>
  </si>
  <si>
    <t>https://dd3ka9h4chfr8.cloudfront.net/image/725136000567/image_9gampph9dl2gpaib0nj7lh507f/-FJPG/VBNA-DK815_PRM_2.jpg</t>
  </si>
  <si>
    <t>https://dd3ka9h4chfr8.cloudfront.net/image/725136000567/image_3bsuse3kc56sv10cl0s1p03s1s/-FJPG/VBNA-DK815_PRM_1.jpg</t>
  </si>
  <si>
    <t>https://dd3ka9h4chfr8.cloudfront.net/image/725136000567/image_dceegda86t5g9cod23i035s64f/-FJPG/VBNA-DK815_SID_1.jpg</t>
  </si>
  <si>
    <t>https://dd3ka9h4chfr8.cloudfront.net/image/725136000567/image_ts5skh55ip5ip1mrk7tjape83i/-FJPG/VBNA-DK815_ESS_1.jpg</t>
  </si>
  <si>
    <t>https://dd3ka9h4chfr8.cloudfront.net/image/725136000567/image_0nsdvhrnd14vvfv5t21l6ddc7r/-FJPG/VBNA-DK815_DET_12.jpg</t>
  </si>
  <si>
    <t>https://dd3ka9h4chfr8.cloudfront.net/image/725136000567/image_tv07kbqdh962hdijq8m0a90m3m/-FJPG/VBNA-DK815_DET_2.jpg</t>
  </si>
  <si>
    <t>https://dd3ka9h4chfr8.cloudfront.net/image/725136000567/image_quviabvbrp0132rh1r4r8l455v/-FJPG/VBNA-DK815_BCK_1.jpg</t>
  </si>
  <si>
    <t>https://dd3ka9h4chfr8.cloudfront.net/image/725136000567/image_nmba8cpu292b78l7rqvhafs12a/-FJPG/VBNA-DK815_DET_1.jpg</t>
  </si>
  <si>
    <t>https://dd3ka9h4chfr8.cloudfront.net/image/725136000567/image_n1r88i3th10jh4vmenqb5pq15t/-FJPG/VBNA-DK815_DET_11.jpg</t>
  </si>
  <si>
    <t>https://dd3ka9h4chfr8.cloudfront.net/image/725136000567/image_u3sgkfavnh0i7cgh572ren5d7b/-FJPG/VBNA-DK815_DET_3.jpg</t>
  </si>
  <si>
    <t>https://dd3ka9h4chfr8.cloudfront.net/image/725136000567/image_8qqot93r9545j1r77nj0t3h607/-FJPG/VBNA-DK815_OPN_1.jpg</t>
  </si>
  <si>
    <t>https://dd3ka9h4chfr8.cloudfront.net/image/725136000567/image_k71ad49n955vlea8jl3h2ppe04/-FJPG/VBNA-DK815_DET_4.jpg</t>
  </si>
  <si>
    <t>https://dd3ka9h4chfr8.cloudfront.net/image/725136000567/image_q8f3uaimkh14t8dj5fcbt3tr0d/-FJPG/VBNA-DK815_DET_5.jpg</t>
  </si>
  <si>
    <t>https://dd3ka9h4chfr8.cloudfront.net/image/725136000567/image_kmm1ak5bs54in7pc5i4namnq3v/-FJPG/VBNA-DK815_DET_6.jpg</t>
  </si>
  <si>
    <t>https://dd3ka9h4chfr8.cloudfront.net/image/725136000567/image_uklr1qkkch2eh8od9qn2drk956/-FJPG/VBNA-DK815_DET_7.jpg</t>
  </si>
  <si>
    <t>https://dd3ka9h4chfr8.cloudfront.net/image/725136000567/image_4m52klveph1jtbkg5fi89mdr4e/-FJPG/VBNA-DK815_DET_10.jpg</t>
  </si>
  <si>
    <t>https://dd3ka9h4chfr8.cloudfront.net/image/725136000567/image_n6t955svol45522pe2cmb4ok5e/-FJPG/VBNA-DK815_ROM_1.jpg</t>
  </si>
  <si>
    <t>https://dd3ka9h4chfr8.cloudfront.net/image/725136000567/image_hsaughkn653jb82ocdbj6q1k6t/-FJPG/VBNA-DK815_ROM_2.jpg</t>
  </si>
  <si>
    <t>https://dd3ka9h4chfr8.cloudfront.net/image/725136000567/image_58228l6m8l4k79ebe8fvpp5h28/-FJPG/VBNA-DK815_ESS_2.jpg</t>
  </si>
  <si>
    <t>https://dd3ka9h4chfr8.cloudfront.net/image/725136000567/image_lkpbmv099h1db6vppc4kl7kh69/-FJPG/VBNA-DK815_OPN_2.jpg</t>
  </si>
  <si>
    <t>https://dd3ka9h4chfr8.cloudfront.net/image/725136000567/image_3s7u1ljvip7s92e5vu3u0f9t4a/-FJPG/VBNA-DK815_BCK_2.jpg</t>
  </si>
  <si>
    <t>VBNA-ST267</t>
  </si>
  <si>
    <t>Crosby Side Table - Natural Peroba</t>
  </si>
  <si>
    <t>Mixed materials and the simplest of shapes are sized to make a perfect side table. Reclaimed peroba wood is supported by a textural faux shagreen base in soft grey. This piece is designed in collaboration with Thomas Bina. Four Handsâ€™ partnership with the renowned Los Angeles furniture designer began in the early 2000s, producing several unique collections including reclaimed wood-driven case goods and Brazilian-inspired upholstery.</t>
  </si>
  <si>
    <t>https://dd3ka9h4chfr8.cloudfront.net/image/725136000567/image_nmc33iujvl1v71ll7kft4nc63j/-S150x150-FJPG/VBNA-ST267_PRM_1.jpg</t>
  </si>
  <si>
    <t>https://dd3ka9h4chfr8.cloudfront.net/image/725136000567/image_vmdogu7a615cn5svbjmr1v3648/-FJPG/VBNA-ST267_FRT_1.jpg</t>
  </si>
  <si>
    <t>https://dd3ka9h4chfr8.cloudfront.net/image/725136000567/image_nmc33iujvl1v71ll7kft4nc63j/-FJPG/VBNA-ST267_PRM_1.jpg</t>
  </si>
  <si>
    <t>https://dd3ka9h4chfr8.cloudfront.net/image/725136000567/image_irrn9has150pj68f0ecv27t236/-FJPG/VBNA-ST267_DET_2.jpg</t>
  </si>
  <si>
    <t>https://dd3ka9h4chfr8.cloudfront.net/image/725136000567/image_9n3itfgnmp7cv4kedph2m1v066/-FJPG/VBNA-ST267_DET_1.jpg</t>
  </si>
  <si>
    <t>https://dd3ka9h4chfr8.cloudfront.net/image/725136000567/image_36i5qis9gp12fb9kjn2veuu75s/-FJPG/VBNA-ST267_DET_3.jpg</t>
  </si>
  <si>
    <t>https://dd3ka9h4chfr8.cloudfront.net/image/725136000567/image_8htep6nsdl7ida8h4safgg2d3h/-FJPG/VBNA-ST267_ROM_1.jpg</t>
  </si>
  <si>
    <t>https://dd3ka9h4chfr8.cloudfront.net/image/725136000567/image_51jlhoi0h1391blk5r00bbpe2e/-FJPG/VBNA-ST267_ROM_2.jpg</t>
  </si>
  <si>
    <t>VHDN-039</t>
  </si>
  <si>
    <t>Made from smoked solid pine, five spacious shelves are ready to store favorite books and treasures. Removable ledges slant at an angle on each shelf, for even-better display of art and coffee table-size books.</t>
  </si>
  <si>
    <t>https://dd3ka9h4chfr8.cloudfront.net/image/725136000567/image_6m0ndg37d12ibbqbbe004hgv31/-S150x150-FJPG/VHDN-039_PRM_1.jpg</t>
  </si>
  <si>
    <t>https://dd3ka9h4chfr8.cloudfront.net/image/725136000567/image_risrqig6oh67va1ek8au4irm3t/-FJPG/VHDN-039_FRT_1.jpg</t>
  </si>
  <si>
    <t>https://dd3ka9h4chfr8.cloudfront.net/image/725136000567/image_6m0ndg37d12ibbqbbe004hgv31/-FJPG/VHDN-039_PRM_1.jpg</t>
  </si>
  <si>
    <t>https://dd3ka9h4chfr8.cloudfront.net/image/725136000567/image_7li4l46o6p7qjejlgmgrgmds47/-FJPG/VHDN-039_SID_1.jpg</t>
  </si>
  <si>
    <t>https://dd3ka9h4chfr8.cloudfront.net/image/725136000567/image_l3hctcf54h43p6i4mfkfrvp173/-FJPG/VHDN-039_ESS_1.jpg</t>
  </si>
  <si>
    <t>https://dd3ka9h4chfr8.cloudfront.net/image/725136000567/image_1juqed2ebl1a5483p1bm4brm7d/-FJPG/VHDN-039_DET_2.jpg</t>
  </si>
  <si>
    <t>https://dd3ka9h4chfr8.cloudfront.net/image/725136000567/image_ulhi0ajfgl5o1fhj94cpmdgs6v/-FJPG/VHDN-039_BCK_1.jpg</t>
  </si>
  <si>
    <t>https://dd3ka9h4chfr8.cloudfront.net/image/725136000567/image_ufhh1fdskt72ve8vqd24q4380d/-FJPG/VHDN-039_DET_1.jpg</t>
  </si>
  <si>
    <t>https://dd3ka9h4chfr8.cloudfront.net/image/725136000567/image_ucvk3qcs6571rf7bbmphs5712s/-FJPG/VHDN-039_DET_3.jpg</t>
  </si>
  <si>
    <t>https://dd3ka9h4chfr8.cloudfront.net/image/725136000567/image_itc4tcniq55o15tibk8t2tag5b/-FJPG/VHDN-039_OPN_1.jpg</t>
  </si>
  <si>
    <t>https://dd3ka9h4chfr8.cloudfront.net/image/725136000567/image_1jdhfglqod54ncgi3r9m6imf6g/-FJPG/VHDN-039_DET_4.jpg</t>
  </si>
  <si>
    <t>https://dd3ka9h4chfr8.cloudfront.net/image/725136000567/image_nra9i22j054od9arnm6dfv9q79/-FJPG/VHDN-039_DET_5.jpg</t>
  </si>
  <si>
    <t>https://dd3ka9h4chfr8.cloudfront.net/image/725136000567/image_ql89ct3th57f5a9foia598i96e/-FJPG/VHDN-039_DET_6.jpg</t>
  </si>
  <si>
    <t>https://dd3ka9h4chfr8.cloudfront.net/image/725136000567/image_5of3a0c8mh47jc0756mjbp9579/-FJPG/VHDN-039_DET_7.jpg</t>
  </si>
  <si>
    <t>https://dd3ka9h4chfr8.cloudfront.net/image/725136000567/image_2lsci4781l17d1lhlaukoo8j12/-FJPG/VHDN-039_DET_8.jpg</t>
  </si>
  <si>
    <t>https://dd3ka9h4chfr8.cloudfront.net/image/725136000567/image_t4nlcirkq13ddb9011gh6pu36b/-FJPG/VHDN-039_DET_9.jpg</t>
  </si>
  <si>
    <t>https://dd3ka9h4chfr8.cloudfront.net/image/725136000567/image_vh63rod2b10ejdsd6jc3m16337/-FJPG/VHDN-039_VIG_2.jpg</t>
  </si>
  <si>
    <t>https://dd3ka9h4chfr8.cloudfront.net/image/725136000567/image_9dck0dcm0p6l32js1ddj6rsq49/-FJPG/VHDN-039_PRM_2.jpg</t>
  </si>
  <si>
    <t>34.37"</t>
  </si>
  <si>
    <t>33.58"</t>
  </si>
  <si>
    <t>VHDN-044</t>
  </si>
  <si>
    <t>Paden Dining Table - Seasoned Brown Acacia</t>
  </si>
  <si>
    <t>A study in shape. Solid brown acacia forms crescent-shaped legs and sprawling oval tabletop, bringing organic presence to the dining room.</t>
  </si>
  <si>
    <t>https://dd3ka9h4chfr8.cloudfront.net/image/725136000567/image_4rc0es2925301fdkl1msp6mc0h/-S150x150-FJPG/VHDN-044_PRM_1.jpg</t>
  </si>
  <si>
    <t>https://dd3ka9h4chfr8.cloudfront.net/image/725136000567/image_jtr4cb86lt55f379p0mjireh4l/-FJPG/VHDN-044_FRT_1.jpg</t>
  </si>
  <si>
    <t>https://dd3ka9h4chfr8.cloudfront.net/image/725136000567/image_4rc0es2925301fdkl1msp6mc0h/-FJPG/VHDN-044_PRM_1.jpg</t>
  </si>
  <si>
    <t>https://dd3ka9h4chfr8.cloudfront.net/image/725136000567/image_bahshffdbd56dd6f1scr2du30v/-FJPG/VHDN-044_SID_1.jpg</t>
  </si>
  <si>
    <t>https://dd3ka9h4chfr8.cloudfront.net/image/725136000567/image_2jpt78dsqh5qhe359mhe3ung6u/-FJPG/VHDN-044_ESS_1.jpg</t>
  </si>
  <si>
    <t>https://dd3ka9h4chfr8.cloudfront.net/image/725136000567/image_rlv8kqbjfl68p3dbj54nej7f45/-FJPG/VHDN-044_DET_2.jpg</t>
  </si>
  <si>
    <t>https://dd3ka9h4chfr8.cloudfront.net/image/725136000567/image_j6afnnipll781bpriulh3uf543/-FJPG/VHDN-044_DET_1.jpg</t>
  </si>
  <si>
    <t>https://dd3ka9h4chfr8.cloudfront.net/image/725136000567/image_c5r29hm6v53k3523qg76j0ou3f/-FJPG/VHDN-044_DET_3.jpg</t>
  </si>
  <si>
    <t>https://dd3ka9h4chfr8.cloudfront.net/image/725136000567/image_r4nkqc8be15c57b46tjguvie31/-FJPG/VHDN-044_DET_4.jpg</t>
  </si>
  <si>
    <t>https://dd3ka9h4chfr8.cloudfront.net/image/725136000567/image_fdauk36pg96sn1cbhm6vcmgq33/-FJPG/VHDN-044_DET_5.jpg</t>
  </si>
  <si>
    <t>https://dd3ka9h4chfr8.cloudfront.net/image/725136000567/image_hs6vtm4t4t0pr6u4anu5o27q03/-FJPG/VHDN-044_DET_6.jpg</t>
  </si>
  <si>
    <t>https://dd3ka9h4chfr8.cloudfront.net/image/725136000567/image_npsnf2gm597t7eotkb78l3k42c/-FJPG/VHDN-044_DET_7.jpg</t>
  </si>
  <si>
    <t>https://dd3ka9h4chfr8.cloudfront.net/image/725136000567/image_nsvf9jocnd107d7kab6rro3e52/-FJPG/VHDN-044_VIG_1.jpg</t>
  </si>
  <si>
    <t>VICA-24-11</t>
  </si>
  <si>
    <t>Irish Coast Small Tv Console - Sundried Ash</t>
  </si>
  <si>
    <t>Sundried Ash</t>
  </si>
  <si>
    <t>https://dd3ka9h4chfr8.cloudfront.net/image/725136000567/image_luterh9qn50gl3q0493tr52e3u/-S150x150-FJPG/VICA-24-11_PRM_1.jpg</t>
  </si>
  <si>
    <t>https://dd3ka9h4chfr8.cloudfront.net/image/725136000567/image_m821i84p7t36r8rgg7rklev01b/-FJPG/VICA-24-11_FRT_1.jpg</t>
  </si>
  <si>
    <t>https://dd3ka9h4chfr8.cloudfront.net/image/725136000567/image_luterh9qn50gl3q0493tr52e3u/-FJPG/VICA-24-11_PRM_1.jpg</t>
  </si>
  <si>
    <t>https://dd3ka9h4chfr8.cloudfront.net/image/725136000567/image_ss27uvo5dl31beregh4lm9cc4f/-FJPG/VICA-24-11_SID_1.jpg</t>
  </si>
  <si>
    <t>https://dd3ka9h4chfr8.cloudfront.net/image/725136000567/image_69darfj9ft25d47cnjajiek04f/-FJPG/VICA-24-11_DET_2.jpg</t>
  </si>
  <si>
    <t>https://dd3ka9h4chfr8.cloudfront.net/image/725136000567/image_7ln2asd6d13rl0hap7bgemqm1c/-FJPG/VICA-24-11_DET_1.jpg</t>
  </si>
  <si>
    <t>https://dd3ka9h4chfr8.cloudfront.net/image/725136000567/image_48j7oqga6l1a7baasskbe4ca2s/-FJPG/VICA-24-11_DET_3.jpg</t>
  </si>
  <si>
    <t>https://dd3ka9h4chfr8.cloudfront.net/image/725136000567/image_8ufgtm7erp7h9aggaf96vpmu1i/-FJPG/VICA-24-11_OPN_1.jpg</t>
  </si>
  <si>
    <t>https://dd3ka9h4chfr8.cloudfront.net/image/725136000567/image_nu3sfqrlb56oh5tab4bq7dis7m/-FJPG/VICA-24-11_DET_4.jpg</t>
  </si>
  <si>
    <t>https://dd3ka9h4chfr8.cloudfront.net/image/725136000567/image_aj4g74ac1h5kj3j7lbhqdbck4u/-FJPG/VICA-24-11_DET_5.jpg</t>
  </si>
  <si>
    <t>https://dd3ka9h4chfr8.cloudfront.net/image/725136000567/image_pdetib92j54pr7fijeto7av22j/-FJPG/VICA-24-11_DET_6.jpg</t>
  </si>
  <si>
    <t>Irish Coast</t>
  </si>
  <si>
    <t>VPTN-117</t>
  </si>
  <si>
    <t>Harper Extension Dining Table - Toasted Walnut</t>
  </si>
  <si>
    <t>Toasted Walnut</t>
  </si>
  <si>
    <t>Toasted Walnut Solid</t>
  </si>
  <si>
    <t>Style with flexibility. Finished in a warm toasted walnut, a rectangular acacia tabletop, cone-tapered legs and iron detailing speak to Scandinavian modernism. Expansion from 84" to 104" means more space when company calls.</t>
  </si>
  <si>
    <t>https://dd3ka9h4chfr8.cloudfront.net/image/725136000567/image_tgtb1gdrc50i3ah7atbs22t56s/-S150x150-FJPG/VPTN-117_PRM_1.jpg</t>
  </si>
  <si>
    <t>https://dd3ka9h4chfr8.cloudfront.net/image/725136000567/image_vb7c7tvls16st9on6bldq4j34m/-FJPG/VPTN-117_FRT_1.jpg</t>
  </si>
  <si>
    <t>https://dd3ka9h4chfr8.cloudfront.net/image/725136000567/image_tgtb1gdrc50i3ah7atbs22t56s/-FJPG/VPTN-117_PRM_1.jpg</t>
  </si>
  <si>
    <t>https://dd3ka9h4chfr8.cloudfront.net/image/725136000567/image_7o813erhft1798rsrmjof0id1u/-FJPG/VPTN-117_SID_1.jpg</t>
  </si>
  <si>
    <t>https://dd3ka9h4chfr8.cloudfront.net/image/725136000567/image_c1aqk7vnip2r368df819kbn71c/-FJPG/VPTN-117_ESS_1.jpg</t>
  </si>
  <si>
    <t>https://dd3ka9h4chfr8.cloudfront.net/image/725136000567/image_dodg3g6njd6k950a2j1ab7sb6j/-FJPG/VPTN-117_DET_2.jpg</t>
  </si>
  <si>
    <t>https://dd3ka9h4chfr8.cloudfront.net/image/725136000567/image_uinokci5dd7of1gqg282ogip3s/-FJPG/VPTN-117_DET_1.jpg</t>
  </si>
  <si>
    <t>https://dd3ka9h4chfr8.cloudfront.net/image/725136000567/image_kbltos9t391ad7fqda8gfcvt11/-FJPG/VPTN-117_DET_3.jpg</t>
  </si>
  <si>
    <t>https://dd3ka9h4chfr8.cloudfront.net/image/725136000567/image_6rr35k9prh4438hc3ulmp8u41g/-FJPG/VPTN-117_DET_4.jpg</t>
  </si>
  <si>
    <t>https://dd3ka9h4chfr8.cloudfront.net/image/725136000567/image_57m2vf1k3930ddgpg6q2spsd0u/-FJPG/VPTN-117_DET_5.jpg</t>
  </si>
  <si>
    <t>https://dd3ka9h4chfr8.cloudfront.net/image/725136000567/image_8eqj1bm82t20lbt1mkmud38e0j/-FJPG/VPTN-117_DET_6.jpg</t>
  </si>
  <si>
    <t>https://dd3ka9h4chfr8.cloudfront.net/image/725136000567/image_vpsdu297r15hvemqkq3tdar20a/-FJPG/VPTN-117_PRM_2.jpg</t>
  </si>
  <si>
    <t>https://dd3ka9h4chfr8.cloudfront.net/image/725136000567/image_qeqo2npor51d5a9tdgbu4r8d4j/-FJPG/VPTN-117_ESS_2.jpg</t>
  </si>
  <si>
    <t>VPTN-129</t>
  </si>
  <si>
    <t>Mika Dining Table - Whitewashed Oak Veneer</t>
  </si>
  <si>
    <t>Whitewashed Oak Veneer</t>
  </si>
  <si>
    <t>Rustic goes modern. A triangular stretcher brings architectural interest to this simply styled dining table of white-washed oak.</t>
  </si>
  <si>
    <t>https://dd3ka9h4chfr8.cloudfront.net/image/725136000567/image_93s7vcrcet373d6povjg1qqe4i/-S150x150-FJPG/VPTN-129_PRM_1.jpg</t>
  </si>
  <si>
    <t>https://dd3ka9h4chfr8.cloudfront.net/image/725136000567/image_ingopvhcg539l74bialls1dc1p/-FJPG/VPTN-129_FRT_1.jpg</t>
  </si>
  <si>
    <t>https://dd3ka9h4chfr8.cloudfront.net/image/725136000567/image_93s7vcrcet373d6povjg1qqe4i/-FJPG/VPTN-129_PRM_1.jpg</t>
  </si>
  <si>
    <t>https://dd3ka9h4chfr8.cloudfront.net/image/725136000567/image_vijn2qnd5d2jlashd7ggfsif0o/-FJPG/VPTN-129_SID_1.jpg</t>
  </si>
  <si>
    <t>https://dd3ka9h4chfr8.cloudfront.net/image/725136000567/image_kbgjc858gh7sjfujrdhq08653i/-FJPG/VPTN-129_DET_2.jpg</t>
  </si>
  <si>
    <t>https://dd3ka9h4chfr8.cloudfront.net/image/725136000567/image_3ejn6qkf9l3c97op5egj46353j/-FJPG/VPTN-129_DET_1.jpg</t>
  </si>
  <si>
    <t>https://dd3ka9h4chfr8.cloudfront.net/image/725136000567/image_cujpinunj55lr1usesveprd55g/-FJPG/VPTN-129_DET_3.jpg</t>
  </si>
  <si>
    <t>https://dd3ka9h4chfr8.cloudfront.net/image/725136000567/image_d1oqse2pph4rl3nh9in78jga36/-FJPG/VPTN-129_DET_4.jpg</t>
  </si>
  <si>
    <t>https://dd3ka9h4chfr8.cloudfront.net/image/725136000567/image_vou45tna353nr5t07snjmv9331/-FJPG/VPTN-129_ROM_1.jpg</t>
  </si>
  <si>
    <t>Complete  Item</t>
  </si>
  <si>
    <t>Mika</t>
  </si>
  <si>
    <t>24.09"</t>
  </si>
  <si>
    <t>62.09"</t>
  </si>
  <si>
    <t>VPTN-191</t>
  </si>
  <si>
    <t>Mika Dining Sideboard - Whitewash Oak</t>
  </si>
  <si>
    <t>Whitewash Oak</t>
  </si>
  <si>
    <t>Rustic goes modern. A low stretcher and beautifully grained matte finish brings architectural interest to this simply styled sideboard of white-washed oak.</t>
  </si>
  <si>
    <t>https://dd3ka9h4chfr8.cloudfront.net/image/725136000567/image_15ese5mcqh3ud3hiqrgn3v6770/-S150x150-FJPG/VPTN-191_PRM_1.jpg</t>
  </si>
  <si>
    <t>https://dd3ka9h4chfr8.cloudfront.net/image/725136000567/image_ls927721o16l34d8ssmgcf7b2q/-FJPG/VPTN-191_FRT_1.jpg</t>
  </si>
  <si>
    <t>https://dd3ka9h4chfr8.cloudfront.net/image/725136000567/image_15ese5mcqh3ud3hiqrgn3v6770/-FJPG/VPTN-191_PRM_1.jpg</t>
  </si>
  <si>
    <t>https://dd3ka9h4chfr8.cloudfront.net/image/725136000567/image_loduq1066l0l14ftl7nbg7645k/-FJPG/VPTN-191_SID_1.jpg</t>
  </si>
  <si>
    <t>https://dd3ka9h4chfr8.cloudfront.net/image/725136000567/image_mqume8dfrp603dvirlq78a8o6o/-FJPG/VPTN-191_DET_2.jpg</t>
  </si>
  <si>
    <t>https://dd3ka9h4chfr8.cloudfront.net/image/725136000567/image_jfgu6mdubt4ehcnajg1c57et7j/-FJPG/VPTN-191_BCK_1.jpg</t>
  </si>
  <si>
    <t>https://dd3ka9h4chfr8.cloudfront.net/image/725136000567/image_c20ghv9k6h321bnbbc28nr0132/-FJPG/VPTN-191_DET_1.jpg</t>
  </si>
  <si>
    <t>https://dd3ka9h4chfr8.cloudfront.net/image/725136000567/image_mtc583kgol385b49enlejv425u/-FJPG/VPTN-191_DET_3.jpg</t>
  </si>
  <si>
    <t>https://dd3ka9h4chfr8.cloudfront.net/image/725136000567/image_5j4jearp5l2irf1iucf19op27l/-FJPG/VPTN-191_OPN_1.jpg</t>
  </si>
  <si>
    <t>https://dd3ka9h4chfr8.cloudfront.net/image/725136000567/image_oto38lb20t58h6vmlsqamanl3o/-FJPG/VPTN-191_DET_4.jpg</t>
  </si>
  <si>
    <t>https://dd3ka9h4chfr8.cloudfront.net/image/725136000567/image_0s29ipcpl95gb134cbqr3alr3d/-FJPG/VPTN-191_DET_5.jpg</t>
  </si>
  <si>
    <t>https://dd3ka9h4chfr8.cloudfront.net/image/725136000567/image_cm1o132h5p3ld6a729k6i8q004/-FJPG/VPTN-191_DET_6.jpg</t>
  </si>
  <si>
    <t>https://dd3ka9h4chfr8.cloudfront.net/image/725136000567/image_v1867ub2j16p78rhbvl9n3td46/-FJPG/VPTN-191_DET_7.jpg</t>
  </si>
  <si>
    <t>MAP</t>
  </si>
  <si>
    <t>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</si>
</sst>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0" fontId="0" fillId="0" borderId="0" xfId="0"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D3EAC-7393-453E-B555-5C6AC30224FC}">
  <dimension ref="A1:NB1133"/>
  <sheetViews>
    <sheetView tabSelected="1" workbookViewId="0">
      <selection activeCell="BD1" sqref="BD1:BD1048576"/>
    </sheetView>
  </sheetViews>
  <sheetFormatPr defaultRowHeight="15" x14ac:dyDescent="0.25"/>
  <cols>
    <col min="1" max="1" width="18.28515625" bestFit="1" customWidth="1"/>
    <col min="2" max="2" width="13.140625" bestFit="1" customWidth="1"/>
    <col min="3" max="3" width="58.7109375" bestFit="1" customWidth="1"/>
    <col min="4" max="4" width="25.28515625" bestFit="1" customWidth="1"/>
    <col min="5" max="5" width="24.140625" bestFit="1" customWidth="1"/>
    <col min="6" max="6" width="30.7109375" bestFit="1" customWidth="1"/>
  </cols>
  <sheetData>
    <row r="1" spans="1:36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20955</v>
      </c>
      <c r="BB1" t="s">
        <v>20956</v>
      </c>
      <c r="BC1" t="s">
        <v>52</v>
      </c>
      <c r="BD1" t="s">
        <v>53</v>
      </c>
      <c r="BE1" t="s">
        <v>54</v>
      </c>
      <c r="BF1" t="s">
        <v>55</v>
      </c>
      <c r="BG1" t="s">
        <v>56</v>
      </c>
      <c r="BH1" t="s">
        <v>57</v>
      </c>
      <c r="BI1" t="s">
        <v>58</v>
      </c>
      <c r="BJ1" t="s">
        <v>59</v>
      </c>
      <c r="BK1" t="s">
        <v>60</v>
      </c>
      <c r="BL1" t="s">
        <v>61</v>
      </c>
      <c r="BM1" t="s">
        <v>62</v>
      </c>
      <c r="BN1" t="s">
        <v>63</v>
      </c>
      <c r="BO1" t="s">
        <v>64</v>
      </c>
      <c r="BP1" t="s">
        <v>65</v>
      </c>
      <c r="BQ1" t="s">
        <v>66</v>
      </c>
      <c r="BR1" t="s">
        <v>67</v>
      </c>
      <c r="BS1" t="s">
        <v>68</v>
      </c>
      <c r="BT1" t="s">
        <v>69</v>
      </c>
      <c r="BU1" t="s">
        <v>70</v>
      </c>
      <c r="BV1" t="s">
        <v>71</v>
      </c>
      <c r="BW1" t="s">
        <v>72</v>
      </c>
      <c r="BX1" t="s">
        <v>73</v>
      </c>
      <c r="BY1" t="s">
        <v>74</v>
      </c>
      <c r="BZ1" t="s">
        <v>75</v>
      </c>
      <c r="CA1" t="s">
        <v>76</v>
      </c>
      <c r="CB1" t="s">
        <v>77</v>
      </c>
      <c r="CC1" t="s">
        <v>78</v>
      </c>
      <c r="CD1" t="s">
        <v>79</v>
      </c>
      <c r="CE1" t="s">
        <v>80</v>
      </c>
      <c r="CF1" t="s">
        <v>81</v>
      </c>
      <c r="CG1" t="s">
        <v>82</v>
      </c>
      <c r="CH1" t="s">
        <v>83</v>
      </c>
      <c r="CI1" t="s">
        <v>84</v>
      </c>
      <c r="CJ1" t="s">
        <v>85</v>
      </c>
      <c r="CK1" t="s">
        <v>86</v>
      </c>
      <c r="CL1" t="s">
        <v>87</v>
      </c>
      <c r="CM1" t="s">
        <v>88</v>
      </c>
      <c r="CN1" t="s">
        <v>89</v>
      </c>
      <c r="CO1" t="s">
        <v>90</v>
      </c>
      <c r="CP1" t="s">
        <v>91</v>
      </c>
      <c r="CQ1" t="s">
        <v>92</v>
      </c>
      <c r="CR1" t="s">
        <v>93</v>
      </c>
      <c r="CS1" t="s">
        <v>94</v>
      </c>
      <c r="CT1" t="s">
        <v>95</v>
      </c>
      <c r="CU1" t="s">
        <v>96</v>
      </c>
      <c r="CV1" t="s">
        <v>97</v>
      </c>
      <c r="CW1" t="s">
        <v>98</v>
      </c>
      <c r="CX1" t="s">
        <v>99</v>
      </c>
      <c r="CY1" t="s">
        <v>100</v>
      </c>
      <c r="CZ1" t="s">
        <v>101</v>
      </c>
      <c r="DA1" t="s">
        <v>102</v>
      </c>
      <c r="DB1" t="s">
        <v>103</v>
      </c>
      <c r="DC1" t="s">
        <v>104</v>
      </c>
      <c r="DD1" t="s">
        <v>105</v>
      </c>
      <c r="DE1" t="s">
        <v>106</v>
      </c>
      <c r="DF1" t="s">
        <v>107</v>
      </c>
      <c r="DG1" t="s">
        <v>108</v>
      </c>
      <c r="DH1" t="s">
        <v>109</v>
      </c>
      <c r="DI1" t="s">
        <v>110</v>
      </c>
      <c r="DJ1" t="s">
        <v>111</v>
      </c>
      <c r="DK1" t="s">
        <v>112</v>
      </c>
      <c r="DL1" t="s">
        <v>113</v>
      </c>
      <c r="DM1" t="s">
        <v>114</v>
      </c>
      <c r="DN1" t="s">
        <v>115</v>
      </c>
      <c r="DO1" t="s">
        <v>116</v>
      </c>
      <c r="DP1" t="s">
        <v>117</v>
      </c>
      <c r="DQ1" t="s">
        <v>118</v>
      </c>
      <c r="DR1" t="s">
        <v>119</v>
      </c>
      <c r="DS1" t="s">
        <v>120</v>
      </c>
      <c r="DT1" t="s">
        <v>121</v>
      </c>
      <c r="DU1" t="s">
        <v>122</v>
      </c>
      <c r="DV1" t="s">
        <v>123</v>
      </c>
      <c r="DW1" t="s">
        <v>124</v>
      </c>
      <c r="DX1" t="s">
        <v>125</v>
      </c>
      <c r="DY1" t="s">
        <v>126</v>
      </c>
      <c r="DZ1" t="s">
        <v>127</v>
      </c>
      <c r="EA1" t="s">
        <v>128</v>
      </c>
      <c r="EB1" t="s">
        <v>129</v>
      </c>
      <c r="EC1" t="s">
        <v>130</v>
      </c>
      <c r="ED1" t="s">
        <v>131</v>
      </c>
      <c r="EE1" t="s">
        <v>132</v>
      </c>
      <c r="EF1" t="s">
        <v>133</v>
      </c>
      <c r="EG1" t="s">
        <v>134</v>
      </c>
      <c r="EH1" t="s">
        <v>135</v>
      </c>
      <c r="EI1" t="s">
        <v>136</v>
      </c>
      <c r="EJ1" t="s">
        <v>137</v>
      </c>
      <c r="EK1" t="s">
        <v>138</v>
      </c>
      <c r="EL1" t="s">
        <v>139</v>
      </c>
      <c r="EM1" t="s">
        <v>140</v>
      </c>
      <c r="EN1" t="s">
        <v>141</v>
      </c>
      <c r="EO1" t="s">
        <v>142</v>
      </c>
      <c r="EP1" t="s">
        <v>143</v>
      </c>
      <c r="EQ1" t="s">
        <v>144</v>
      </c>
      <c r="ER1" t="s">
        <v>145</v>
      </c>
      <c r="ES1" t="s">
        <v>146</v>
      </c>
      <c r="ET1" t="s">
        <v>147</v>
      </c>
      <c r="EU1" t="s">
        <v>148</v>
      </c>
      <c r="EV1" t="s">
        <v>149</v>
      </c>
      <c r="EW1" t="s">
        <v>150</v>
      </c>
      <c r="EX1" t="s">
        <v>151</v>
      </c>
      <c r="EY1" t="s">
        <v>152</v>
      </c>
      <c r="EZ1" t="s">
        <v>153</v>
      </c>
      <c r="FA1" t="s">
        <v>154</v>
      </c>
      <c r="FB1" t="s">
        <v>155</v>
      </c>
      <c r="FC1" t="s">
        <v>156</v>
      </c>
      <c r="FD1" t="s">
        <v>157</v>
      </c>
      <c r="FE1" t="s">
        <v>158</v>
      </c>
      <c r="FF1" t="s">
        <v>159</v>
      </c>
      <c r="FG1" t="s">
        <v>160</v>
      </c>
      <c r="FH1" t="s">
        <v>161</v>
      </c>
      <c r="FI1" t="s">
        <v>162</v>
      </c>
      <c r="FJ1" t="s">
        <v>163</v>
      </c>
      <c r="FK1" t="s">
        <v>164</v>
      </c>
      <c r="FL1" t="s">
        <v>165</v>
      </c>
      <c r="FM1" t="s">
        <v>166</v>
      </c>
      <c r="FN1" t="s">
        <v>167</v>
      </c>
      <c r="FO1" t="s">
        <v>168</v>
      </c>
      <c r="FP1" t="s">
        <v>169</v>
      </c>
      <c r="FQ1" t="s">
        <v>170</v>
      </c>
      <c r="FR1" t="s">
        <v>171</v>
      </c>
      <c r="FS1" t="s">
        <v>172</v>
      </c>
      <c r="FT1" t="s">
        <v>173</v>
      </c>
      <c r="FU1" t="s">
        <v>174</v>
      </c>
      <c r="FV1" t="s">
        <v>175</v>
      </c>
      <c r="FW1" t="s">
        <v>176</v>
      </c>
      <c r="FX1" t="s">
        <v>177</v>
      </c>
      <c r="FY1" t="s">
        <v>178</v>
      </c>
      <c r="FZ1" t="s">
        <v>179</v>
      </c>
      <c r="GA1" t="s">
        <v>180</v>
      </c>
      <c r="GB1" t="s">
        <v>181</v>
      </c>
      <c r="GC1" t="s">
        <v>182</v>
      </c>
      <c r="GD1" t="s">
        <v>183</v>
      </c>
      <c r="GE1" t="s">
        <v>184</v>
      </c>
      <c r="GF1" t="s">
        <v>185</v>
      </c>
      <c r="GG1" t="s">
        <v>186</v>
      </c>
      <c r="GH1" t="s">
        <v>187</v>
      </c>
      <c r="GI1" t="s">
        <v>188</v>
      </c>
      <c r="GJ1" t="s">
        <v>189</v>
      </c>
      <c r="GK1" t="s">
        <v>190</v>
      </c>
      <c r="GL1" t="s">
        <v>191</v>
      </c>
      <c r="GM1" t="s">
        <v>192</v>
      </c>
      <c r="GN1" t="s">
        <v>193</v>
      </c>
      <c r="GO1" t="s">
        <v>194</v>
      </c>
      <c r="GP1" t="s">
        <v>195</v>
      </c>
      <c r="GQ1" t="s">
        <v>196</v>
      </c>
      <c r="GR1" t="s">
        <v>197</v>
      </c>
      <c r="GS1" t="s">
        <v>198</v>
      </c>
      <c r="GT1" t="s">
        <v>199</v>
      </c>
      <c r="GU1" t="s">
        <v>200</v>
      </c>
      <c r="GV1" t="s">
        <v>201</v>
      </c>
      <c r="GW1" t="s">
        <v>202</v>
      </c>
      <c r="GX1" t="s">
        <v>203</v>
      </c>
      <c r="GY1" t="s">
        <v>204</v>
      </c>
      <c r="GZ1" t="s">
        <v>205</v>
      </c>
      <c r="HA1" t="s">
        <v>206</v>
      </c>
      <c r="HB1" t="s">
        <v>207</v>
      </c>
      <c r="HC1" t="s">
        <v>208</v>
      </c>
      <c r="HD1" t="s">
        <v>209</v>
      </c>
      <c r="HE1" t="s">
        <v>210</v>
      </c>
      <c r="HF1" t="s">
        <v>211</v>
      </c>
      <c r="HG1" t="s">
        <v>212</v>
      </c>
      <c r="HH1" t="s">
        <v>213</v>
      </c>
      <c r="HI1" t="s">
        <v>214</v>
      </c>
      <c r="HJ1" t="s">
        <v>215</v>
      </c>
      <c r="HK1" t="s">
        <v>216</v>
      </c>
      <c r="HL1" t="s">
        <v>217</v>
      </c>
      <c r="HM1" t="s">
        <v>218</v>
      </c>
      <c r="HN1" t="s">
        <v>219</v>
      </c>
      <c r="HO1" t="s">
        <v>220</v>
      </c>
      <c r="HP1" t="s">
        <v>221</v>
      </c>
      <c r="HQ1" t="s">
        <v>222</v>
      </c>
      <c r="HR1" t="s">
        <v>223</v>
      </c>
      <c r="HS1" t="s">
        <v>224</v>
      </c>
      <c r="HT1" t="s">
        <v>225</v>
      </c>
      <c r="HU1" t="s">
        <v>226</v>
      </c>
      <c r="HV1" t="s">
        <v>227</v>
      </c>
      <c r="HW1" t="s">
        <v>228</v>
      </c>
      <c r="HX1" t="s">
        <v>229</v>
      </c>
      <c r="HY1" t="s">
        <v>230</v>
      </c>
      <c r="HZ1" t="s">
        <v>231</v>
      </c>
      <c r="IA1" t="s">
        <v>232</v>
      </c>
      <c r="IB1" t="s">
        <v>233</v>
      </c>
      <c r="IC1" t="s">
        <v>234</v>
      </c>
      <c r="ID1" t="s">
        <v>235</v>
      </c>
      <c r="IE1" t="s">
        <v>236</v>
      </c>
      <c r="IF1" t="s">
        <v>237</v>
      </c>
      <c r="IG1" t="s">
        <v>238</v>
      </c>
      <c r="IH1" t="s">
        <v>239</v>
      </c>
      <c r="II1" t="s">
        <v>240</v>
      </c>
      <c r="IJ1" t="s">
        <v>241</v>
      </c>
      <c r="IK1" t="s">
        <v>242</v>
      </c>
      <c r="IL1" t="s">
        <v>243</v>
      </c>
      <c r="IM1" t="s">
        <v>244</v>
      </c>
      <c r="IN1" t="s">
        <v>245</v>
      </c>
      <c r="IO1" t="s">
        <v>246</v>
      </c>
      <c r="IP1" t="s">
        <v>247</v>
      </c>
      <c r="IQ1" t="s">
        <v>248</v>
      </c>
      <c r="IR1" t="s">
        <v>249</v>
      </c>
      <c r="IS1" t="s">
        <v>250</v>
      </c>
      <c r="IT1" t="s">
        <v>251</v>
      </c>
      <c r="IU1" t="s">
        <v>252</v>
      </c>
      <c r="IV1" t="s">
        <v>253</v>
      </c>
      <c r="IW1" t="s">
        <v>254</v>
      </c>
      <c r="IX1" t="s">
        <v>255</v>
      </c>
      <c r="IY1" t="s">
        <v>256</v>
      </c>
      <c r="IZ1" t="s">
        <v>257</v>
      </c>
      <c r="JA1" t="s">
        <v>258</v>
      </c>
      <c r="JB1" t="s">
        <v>259</v>
      </c>
      <c r="JC1" t="s">
        <v>260</v>
      </c>
      <c r="JD1" t="s">
        <v>261</v>
      </c>
      <c r="JE1" t="s">
        <v>262</v>
      </c>
      <c r="JF1" t="s">
        <v>263</v>
      </c>
      <c r="JG1" t="s">
        <v>264</v>
      </c>
      <c r="JH1" t="s">
        <v>265</v>
      </c>
      <c r="JI1" t="s">
        <v>266</v>
      </c>
      <c r="JJ1" t="s">
        <v>267</v>
      </c>
      <c r="JK1" t="s">
        <v>268</v>
      </c>
      <c r="JL1" t="s">
        <v>269</v>
      </c>
      <c r="JM1" t="s">
        <v>270</v>
      </c>
      <c r="JN1" t="s">
        <v>271</v>
      </c>
      <c r="JO1" t="s">
        <v>272</v>
      </c>
      <c r="JP1" t="s">
        <v>273</v>
      </c>
      <c r="JQ1" t="s">
        <v>274</v>
      </c>
      <c r="JR1" t="s">
        <v>275</v>
      </c>
      <c r="JS1" t="s">
        <v>276</v>
      </c>
      <c r="JT1" t="s">
        <v>277</v>
      </c>
      <c r="JU1" t="s">
        <v>278</v>
      </c>
      <c r="JV1" t="s">
        <v>279</v>
      </c>
      <c r="JW1" t="s">
        <v>280</v>
      </c>
      <c r="JX1" t="s">
        <v>281</v>
      </c>
      <c r="JY1" t="s">
        <v>282</v>
      </c>
      <c r="JZ1" t="s">
        <v>283</v>
      </c>
      <c r="KA1" t="s">
        <v>284</v>
      </c>
      <c r="KB1" t="s">
        <v>285</v>
      </c>
      <c r="KC1" t="s">
        <v>286</v>
      </c>
      <c r="KD1" t="s">
        <v>287</v>
      </c>
      <c r="KE1" t="s">
        <v>288</v>
      </c>
      <c r="KF1" t="s">
        <v>289</v>
      </c>
      <c r="KG1" t="s">
        <v>290</v>
      </c>
      <c r="KH1" t="s">
        <v>291</v>
      </c>
      <c r="KI1" t="s">
        <v>292</v>
      </c>
      <c r="KJ1" t="s">
        <v>293</v>
      </c>
      <c r="KK1" t="s">
        <v>294</v>
      </c>
      <c r="KL1" t="s">
        <v>295</v>
      </c>
      <c r="KM1" t="s">
        <v>296</v>
      </c>
      <c r="KN1" t="s">
        <v>297</v>
      </c>
      <c r="KO1" t="s">
        <v>298</v>
      </c>
      <c r="KP1" t="s">
        <v>299</v>
      </c>
      <c r="KQ1" t="s">
        <v>300</v>
      </c>
      <c r="KR1" t="s">
        <v>301</v>
      </c>
      <c r="KS1" t="s">
        <v>302</v>
      </c>
      <c r="KT1" t="s">
        <v>303</v>
      </c>
      <c r="KU1" t="s">
        <v>304</v>
      </c>
      <c r="KV1" t="s">
        <v>305</v>
      </c>
      <c r="KW1" t="s">
        <v>306</v>
      </c>
      <c r="KX1" t="s">
        <v>307</v>
      </c>
      <c r="KY1" t="s">
        <v>308</v>
      </c>
      <c r="KZ1" t="s">
        <v>309</v>
      </c>
      <c r="LA1" t="s">
        <v>310</v>
      </c>
      <c r="LB1" t="s">
        <v>311</v>
      </c>
      <c r="LC1" t="s">
        <v>312</v>
      </c>
      <c r="LD1" t="s">
        <v>313</v>
      </c>
      <c r="LE1" t="s">
        <v>314</v>
      </c>
      <c r="LF1" t="s">
        <v>315</v>
      </c>
      <c r="LG1" t="s">
        <v>316</v>
      </c>
      <c r="LH1" t="s">
        <v>317</v>
      </c>
      <c r="LI1" t="s">
        <v>318</v>
      </c>
      <c r="LJ1" t="s">
        <v>319</v>
      </c>
      <c r="LK1" t="s">
        <v>320</v>
      </c>
      <c r="LL1" t="s">
        <v>321</v>
      </c>
      <c r="LM1" t="s">
        <v>322</v>
      </c>
      <c r="LN1" t="s">
        <v>323</v>
      </c>
      <c r="LO1" t="s">
        <v>324</v>
      </c>
      <c r="LP1" t="s">
        <v>325</v>
      </c>
      <c r="LQ1" t="s">
        <v>326</v>
      </c>
      <c r="LR1" t="s">
        <v>327</v>
      </c>
      <c r="LS1" t="s">
        <v>328</v>
      </c>
      <c r="LT1" t="s">
        <v>329</v>
      </c>
      <c r="LU1" t="s">
        <v>330</v>
      </c>
      <c r="LV1" t="s">
        <v>331</v>
      </c>
      <c r="LW1" t="s">
        <v>332</v>
      </c>
      <c r="LX1" t="s">
        <v>333</v>
      </c>
      <c r="LY1" t="s">
        <v>334</v>
      </c>
      <c r="LZ1" t="s">
        <v>335</v>
      </c>
      <c r="MA1" t="s">
        <v>336</v>
      </c>
      <c r="MB1" t="s">
        <v>337</v>
      </c>
      <c r="MC1" t="s">
        <v>338</v>
      </c>
      <c r="MD1" t="s">
        <v>339</v>
      </c>
      <c r="ME1" t="s">
        <v>340</v>
      </c>
      <c r="MF1" t="s">
        <v>341</v>
      </c>
      <c r="MG1" t="s">
        <v>342</v>
      </c>
      <c r="MH1" t="s">
        <v>343</v>
      </c>
      <c r="MI1" t="s">
        <v>344</v>
      </c>
      <c r="MJ1" t="s">
        <v>345</v>
      </c>
      <c r="MK1" t="s">
        <v>346</v>
      </c>
      <c r="ML1" t="s">
        <v>347</v>
      </c>
      <c r="MM1" t="s">
        <v>348</v>
      </c>
      <c r="MN1" t="s">
        <v>349</v>
      </c>
      <c r="MO1" t="s">
        <v>350</v>
      </c>
      <c r="MP1" t="s">
        <v>351</v>
      </c>
      <c r="MQ1" t="s">
        <v>352</v>
      </c>
      <c r="MR1" t="s">
        <v>353</v>
      </c>
      <c r="MS1" t="s">
        <v>354</v>
      </c>
      <c r="MT1" t="s">
        <v>355</v>
      </c>
      <c r="MU1" t="s">
        <v>356</v>
      </c>
      <c r="MV1" t="s">
        <v>357</v>
      </c>
      <c r="MW1" t="s">
        <v>358</v>
      </c>
      <c r="MX1" t="s">
        <v>359</v>
      </c>
      <c r="MY1" t="s">
        <v>360</v>
      </c>
      <c r="MZ1" t="s">
        <v>361</v>
      </c>
      <c r="NA1" t="s">
        <v>362</v>
      </c>
      <c r="NB1" t="s">
        <v>363</v>
      </c>
    </row>
    <row r="2" spans="1:366" x14ac:dyDescent="0.25">
      <c r="A2" t="s">
        <v>364</v>
      </c>
      <c r="B2" t="str">
        <f>"801542113728"</f>
        <v>801542113728</v>
      </c>
      <c r="C2" t="s">
        <v>365</v>
      </c>
      <c r="D2" t="s">
        <v>366</v>
      </c>
      <c r="E2" t="s">
        <v>367</v>
      </c>
      <c r="F2" t="s">
        <v>368</v>
      </c>
      <c r="G2" t="str">
        <f>"67"</f>
        <v>67</v>
      </c>
      <c r="H2" t="str">
        <f>"16"</f>
        <v>16</v>
      </c>
      <c r="I2" t="str">
        <f>"18.5"</f>
        <v>18.5</v>
      </c>
      <c r="J2" t="str">
        <f>"59.52"</f>
        <v>59.52</v>
      </c>
      <c r="K2" t="s">
        <v>369</v>
      </c>
      <c r="L2" t="s">
        <v>370</v>
      </c>
      <c r="N2" t="s">
        <v>371</v>
      </c>
      <c r="O2" t="s">
        <v>372</v>
      </c>
      <c r="T2" t="s">
        <v>373</v>
      </c>
      <c r="U2" t="s">
        <v>373</v>
      </c>
      <c r="V2" t="s">
        <v>374</v>
      </c>
      <c r="W2" t="s">
        <v>375</v>
      </c>
      <c r="X2" t="s">
        <v>376</v>
      </c>
      <c r="Y2" t="s">
        <v>377</v>
      </c>
      <c r="Z2" t="s">
        <v>378</v>
      </c>
      <c r="AA2" t="s">
        <v>379</v>
      </c>
      <c r="AB2" t="s">
        <v>380</v>
      </c>
      <c r="AC2" t="s">
        <v>381</v>
      </c>
      <c r="AD2" t="s">
        <v>382</v>
      </c>
      <c r="AE2" t="s">
        <v>383</v>
      </c>
      <c r="AF2" t="s">
        <v>384</v>
      </c>
      <c r="AG2" t="s">
        <v>385</v>
      </c>
      <c r="AH2" t="s">
        <v>386</v>
      </c>
      <c r="AI2" t="s">
        <v>387</v>
      </c>
      <c r="BA2" t="str">
        <f>"949"</f>
        <v>949</v>
      </c>
      <c r="BB2" t="str">
        <f>"400"</f>
        <v>400</v>
      </c>
      <c r="BC2" t="s">
        <v>388</v>
      </c>
      <c r="BD2" t="str">
        <f t="shared" ref="BD2:BD24" si="0">"1"</f>
        <v>1</v>
      </c>
      <c r="BE2" t="s">
        <v>389</v>
      </c>
      <c r="BF2" t="str">
        <f>"69.69"</f>
        <v>69.69</v>
      </c>
      <c r="BG2" t="str">
        <f>"18.5"</f>
        <v>18.5</v>
      </c>
      <c r="BH2" t="str">
        <f>"21.46"</f>
        <v>21.46</v>
      </c>
      <c r="BI2" t="str">
        <f>"74.96"</f>
        <v>74.96</v>
      </c>
      <c r="BY2" t="str">
        <f>"16"</f>
        <v>16</v>
      </c>
      <c r="BZ2" t="str">
        <f>"0.453"</f>
        <v>0.453</v>
      </c>
      <c r="CA2" t="s">
        <v>390</v>
      </c>
      <c r="CB2" t="s">
        <v>391</v>
      </c>
      <c r="CC2" t="s">
        <v>392</v>
      </c>
      <c r="CD2" t="s">
        <v>393</v>
      </c>
      <c r="CE2" t="s">
        <v>391</v>
      </c>
      <c r="CF2" t="s">
        <v>394</v>
      </c>
      <c r="CG2" t="s">
        <v>393</v>
      </c>
      <c r="CH2" t="s">
        <v>391</v>
      </c>
      <c r="CI2" t="s">
        <v>395</v>
      </c>
      <c r="CJ2" t="s">
        <v>393</v>
      </c>
      <c r="CK2" t="s">
        <v>391</v>
      </c>
      <c r="CL2" t="s">
        <v>396</v>
      </c>
      <c r="CM2" t="s">
        <v>397</v>
      </c>
      <c r="CN2">
        <v>0</v>
      </c>
      <c r="CO2">
        <v>0</v>
      </c>
      <c r="CP2" t="s">
        <v>398</v>
      </c>
      <c r="CQ2" t="s">
        <v>399</v>
      </c>
      <c r="CR2" t="s">
        <v>400</v>
      </c>
      <c r="CS2">
        <v>0</v>
      </c>
      <c r="CT2" t="s">
        <v>400</v>
      </c>
      <c r="CU2" t="s">
        <v>401</v>
      </c>
      <c r="CV2">
        <v>1</v>
      </c>
      <c r="CW2" t="s">
        <v>402</v>
      </c>
      <c r="CX2" t="s">
        <v>403</v>
      </c>
      <c r="CY2" t="s">
        <v>404</v>
      </c>
      <c r="CZ2">
        <v>0</v>
      </c>
      <c r="DA2">
        <v>18.14</v>
      </c>
      <c r="DB2">
        <v>40</v>
      </c>
      <c r="DC2">
        <v>0</v>
      </c>
      <c r="DD2">
        <v>15000</v>
      </c>
      <c r="DE2" t="s">
        <v>405</v>
      </c>
      <c r="DF2" t="s">
        <v>406</v>
      </c>
      <c r="DG2" t="s">
        <v>407</v>
      </c>
      <c r="DH2">
        <v>1</v>
      </c>
      <c r="DI2">
        <v>3</v>
      </c>
      <c r="DJ2" t="s">
        <v>408</v>
      </c>
      <c r="DK2" t="s">
        <v>409</v>
      </c>
      <c r="DL2">
        <v>0</v>
      </c>
      <c r="DM2" t="s">
        <v>410</v>
      </c>
    </row>
    <row r="3" spans="1:366" x14ac:dyDescent="0.25">
      <c r="A3" t="s">
        <v>411</v>
      </c>
      <c r="B3" t="str">
        <f>"801542116095"</f>
        <v>801542116095</v>
      </c>
      <c r="C3" t="s">
        <v>412</v>
      </c>
      <c r="D3" t="s">
        <v>366</v>
      </c>
      <c r="E3" t="s">
        <v>413</v>
      </c>
      <c r="G3" t="str">
        <f>"76"</f>
        <v>76</v>
      </c>
      <c r="H3" t="str">
        <f>"35"</f>
        <v>35</v>
      </c>
      <c r="I3" t="str">
        <f>"32.75"</f>
        <v>32.75</v>
      </c>
      <c r="J3" t="str">
        <f>"110.89"</f>
        <v>110.89</v>
      </c>
      <c r="K3" t="s">
        <v>414</v>
      </c>
      <c r="L3" t="s">
        <v>415</v>
      </c>
      <c r="N3" t="s">
        <v>416</v>
      </c>
      <c r="O3" t="s">
        <v>417</v>
      </c>
      <c r="T3" t="s">
        <v>373</v>
      </c>
      <c r="U3" t="s">
        <v>373</v>
      </c>
      <c r="V3" t="s">
        <v>418</v>
      </c>
      <c r="W3" t="s">
        <v>419</v>
      </c>
      <c r="X3" t="s">
        <v>420</v>
      </c>
      <c r="Y3" t="s">
        <v>421</v>
      </c>
      <c r="Z3" t="s">
        <v>422</v>
      </c>
      <c r="AA3" t="s">
        <v>423</v>
      </c>
      <c r="AB3" t="s">
        <v>424</v>
      </c>
      <c r="AC3" t="s">
        <v>425</v>
      </c>
      <c r="AD3" t="s">
        <v>426</v>
      </c>
      <c r="AE3" t="s">
        <v>427</v>
      </c>
      <c r="AF3" t="s">
        <v>428</v>
      </c>
      <c r="AG3" t="s">
        <v>429</v>
      </c>
      <c r="AH3" t="s">
        <v>430</v>
      </c>
      <c r="BA3" t="str">
        <f>"4499"</f>
        <v>4499</v>
      </c>
      <c r="BB3" t="str">
        <f>"1890"</f>
        <v>1890</v>
      </c>
      <c r="BC3" t="s">
        <v>388</v>
      </c>
      <c r="BD3" t="str">
        <f t="shared" si="0"/>
        <v>1</v>
      </c>
      <c r="BE3" t="s">
        <v>389</v>
      </c>
      <c r="BF3" t="str">
        <f>"77.36"</f>
        <v>77.36</v>
      </c>
      <c r="BG3" t="str">
        <f>"35.83"</f>
        <v>35.83</v>
      </c>
      <c r="BH3" t="str">
        <f>"22.44"</f>
        <v>22.44</v>
      </c>
      <c r="BI3" t="str">
        <f>"147.49"</f>
        <v>147.49</v>
      </c>
      <c r="BY3" t="str">
        <f>"35.99"</f>
        <v>35.99</v>
      </c>
      <c r="BZ3" t="str">
        <f>"1.019"</f>
        <v>1.019</v>
      </c>
      <c r="CA3" t="s">
        <v>431</v>
      </c>
      <c r="CH3" t="s">
        <v>432</v>
      </c>
      <c r="CI3" t="s">
        <v>433</v>
      </c>
      <c r="CJ3" t="s">
        <v>434</v>
      </c>
      <c r="CK3" t="s">
        <v>435</v>
      </c>
      <c r="CL3" t="s">
        <v>396</v>
      </c>
      <c r="CM3" t="s">
        <v>436</v>
      </c>
      <c r="CN3">
        <v>2</v>
      </c>
      <c r="CO3">
        <v>2</v>
      </c>
      <c r="CP3" t="s">
        <v>437</v>
      </c>
      <c r="CQ3" t="s">
        <v>438</v>
      </c>
      <c r="CU3" t="s">
        <v>401</v>
      </c>
      <c r="CX3" t="s">
        <v>403</v>
      </c>
      <c r="CY3" t="s">
        <v>400</v>
      </c>
      <c r="CZ3">
        <v>0</v>
      </c>
      <c r="DD3">
        <v>0</v>
      </c>
      <c r="DE3" t="s">
        <v>439</v>
      </c>
      <c r="DF3" t="s">
        <v>406</v>
      </c>
      <c r="DG3" t="s">
        <v>407</v>
      </c>
      <c r="DH3">
        <v>2</v>
      </c>
      <c r="DI3">
        <v>3</v>
      </c>
      <c r="DK3" t="s">
        <v>440</v>
      </c>
      <c r="DL3">
        <v>0</v>
      </c>
      <c r="DM3" t="s">
        <v>410</v>
      </c>
      <c r="DN3" t="s">
        <v>441</v>
      </c>
      <c r="DO3" t="s">
        <v>442</v>
      </c>
      <c r="DP3" t="s">
        <v>443</v>
      </c>
      <c r="DQ3" t="s">
        <v>444</v>
      </c>
      <c r="DR3" t="s">
        <v>445</v>
      </c>
      <c r="DS3" t="s">
        <v>446</v>
      </c>
      <c r="DT3" t="s">
        <v>447</v>
      </c>
      <c r="DU3" t="s">
        <v>448</v>
      </c>
      <c r="DV3" t="s">
        <v>449</v>
      </c>
      <c r="DW3" t="s">
        <v>434</v>
      </c>
      <c r="DX3" t="s">
        <v>450</v>
      </c>
      <c r="DY3" t="s">
        <v>451</v>
      </c>
      <c r="DZ3" t="s">
        <v>452</v>
      </c>
      <c r="EA3" t="s">
        <v>453</v>
      </c>
      <c r="EB3" t="s">
        <v>454</v>
      </c>
      <c r="EC3" t="s">
        <v>402</v>
      </c>
      <c r="ED3" t="s">
        <v>406</v>
      </c>
      <c r="EE3" t="s">
        <v>407</v>
      </c>
      <c r="EF3" t="s">
        <v>455</v>
      </c>
      <c r="EG3" t="s">
        <v>401</v>
      </c>
      <c r="EH3" t="s">
        <v>454</v>
      </c>
    </row>
    <row r="4" spans="1:366" x14ac:dyDescent="0.25">
      <c r="A4" t="s">
        <v>456</v>
      </c>
      <c r="B4" t="str">
        <f>"801542728441"</f>
        <v>801542728441</v>
      </c>
      <c r="C4" t="s">
        <v>457</v>
      </c>
      <c r="D4" t="s">
        <v>458</v>
      </c>
      <c r="E4" t="s">
        <v>459</v>
      </c>
      <c r="G4" t="str">
        <f>"16"</f>
        <v>16</v>
      </c>
      <c r="H4" t="str">
        <f>"16"</f>
        <v>16</v>
      </c>
      <c r="I4" t="str">
        <f>"18"</f>
        <v>18</v>
      </c>
      <c r="J4" t="str">
        <f>"46.3"</f>
        <v>46.3</v>
      </c>
      <c r="K4" t="s">
        <v>460</v>
      </c>
      <c r="N4" t="s">
        <v>461</v>
      </c>
      <c r="T4" t="s">
        <v>402</v>
      </c>
      <c r="U4" t="s">
        <v>373</v>
      </c>
      <c r="V4" t="s">
        <v>462</v>
      </c>
      <c r="W4" t="s">
        <v>463</v>
      </c>
      <c r="X4" t="s">
        <v>464</v>
      </c>
      <c r="Y4" t="s">
        <v>465</v>
      </c>
      <c r="Z4" t="s">
        <v>466</v>
      </c>
      <c r="AA4" t="s">
        <v>467</v>
      </c>
      <c r="AB4" t="s">
        <v>468</v>
      </c>
      <c r="AC4" t="s">
        <v>469</v>
      </c>
      <c r="AD4" t="s">
        <v>470</v>
      </c>
      <c r="BA4" t="str">
        <f>"699"</f>
        <v>699</v>
      </c>
      <c r="BB4" t="str">
        <f>"295"</f>
        <v>295</v>
      </c>
      <c r="BC4" t="s">
        <v>388</v>
      </c>
      <c r="BD4" t="str">
        <f t="shared" si="0"/>
        <v>1</v>
      </c>
      <c r="BE4" t="s">
        <v>389</v>
      </c>
      <c r="BF4" t="str">
        <f t="shared" ref="BF4:BG6" si="1">"18.5"</f>
        <v>18.5</v>
      </c>
      <c r="BG4" t="str">
        <f t="shared" si="1"/>
        <v>18.5</v>
      </c>
      <c r="BH4" t="str">
        <f>"22.44"</f>
        <v>22.44</v>
      </c>
      <c r="BI4" t="str">
        <f>"52.91"</f>
        <v>52.91</v>
      </c>
      <c r="BY4" t="str">
        <f>"4.45"</f>
        <v>4.45</v>
      </c>
      <c r="BZ4" t="str">
        <f>"0.126"</f>
        <v>0.126</v>
      </c>
      <c r="CA4" t="s">
        <v>431</v>
      </c>
      <c r="CR4" t="s">
        <v>400</v>
      </c>
      <c r="CS4">
        <v>0</v>
      </c>
      <c r="CT4" t="s">
        <v>400</v>
      </c>
      <c r="CV4">
        <v>0</v>
      </c>
      <c r="CY4" t="s">
        <v>400</v>
      </c>
      <c r="DC4">
        <v>0</v>
      </c>
      <c r="DJ4" t="s">
        <v>471</v>
      </c>
      <c r="DK4" t="s">
        <v>472</v>
      </c>
      <c r="DM4" t="s">
        <v>473</v>
      </c>
      <c r="EI4" t="s">
        <v>474</v>
      </c>
      <c r="EJ4" t="s">
        <v>449</v>
      </c>
      <c r="EK4" t="s">
        <v>474</v>
      </c>
      <c r="EL4" t="s">
        <v>475</v>
      </c>
      <c r="EM4" t="s">
        <v>402</v>
      </c>
      <c r="EN4">
        <v>0</v>
      </c>
      <c r="EO4">
        <v>0</v>
      </c>
    </row>
    <row r="5" spans="1:366" x14ac:dyDescent="0.25">
      <c r="A5" t="s">
        <v>476</v>
      </c>
      <c r="B5" t="str">
        <f>"801542002862"</f>
        <v>801542002862</v>
      </c>
      <c r="C5" t="s">
        <v>477</v>
      </c>
      <c r="D5" t="s">
        <v>458</v>
      </c>
      <c r="E5" t="s">
        <v>459</v>
      </c>
      <c r="G5" t="str">
        <f>"16"</f>
        <v>16</v>
      </c>
      <c r="H5" t="str">
        <f>"16"</f>
        <v>16</v>
      </c>
      <c r="I5" t="str">
        <f>"18"</f>
        <v>18</v>
      </c>
      <c r="J5" t="str">
        <f>"46.3"</f>
        <v>46.3</v>
      </c>
      <c r="K5" t="s">
        <v>478</v>
      </c>
      <c r="L5" t="s">
        <v>460</v>
      </c>
      <c r="N5" t="s">
        <v>461</v>
      </c>
      <c r="T5" t="s">
        <v>402</v>
      </c>
      <c r="U5" t="s">
        <v>373</v>
      </c>
      <c r="V5" t="s">
        <v>479</v>
      </c>
      <c r="W5" t="s">
        <v>480</v>
      </c>
      <c r="X5" t="s">
        <v>481</v>
      </c>
      <c r="Y5" t="s">
        <v>482</v>
      </c>
      <c r="Z5" t="s">
        <v>483</v>
      </c>
      <c r="AA5" t="s">
        <v>484</v>
      </c>
      <c r="AB5" t="s">
        <v>485</v>
      </c>
      <c r="AC5" t="s">
        <v>486</v>
      </c>
      <c r="AD5" t="s">
        <v>487</v>
      </c>
      <c r="AE5" t="s">
        <v>488</v>
      </c>
      <c r="AF5" t="s">
        <v>489</v>
      </c>
      <c r="AG5" t="s">
        <v>490</v>
      </c>
      <c r="AH5" t="s">
        <v>491</v>
      </c>
      <c r="AI5" t="s">
        <v>492</v>
      </c>
      <c r="AJ5" t="s">
        <v>493</v>
      </c>
      <c r="AK5" t="s">
        <v>494</v>
      </c>
      <c r="BA5" t="str">
        <f>"699"</f>
        <v>699</v>
      </c>
      <c r="BB5" t="str">
        <f>"295"</f>
        <v>295</v>
      </c>
      <c r="BC5" t="s">
        <v>388</v>
      </c>
      <c r="BD5" t="str">
        <f t="shared" si="0"/>
        <v>1</v>
      </c>
      <c r="BE5" t="s">
        <v>389</v>
      </c>
      <c r="BF5" t="str">
        <f t="shared" si="1"/>
        <v>18.5</v>
      </c>
      <c r="BG5" t="str">
        <f t="shared" si="1"/>
        <v>18.5</v>
      </c>
      <c r="BH5" t="str">
        <f>"22.44"</f>
        <v>22.44</v>
      </c>
      <c r="BI5" t="str">
        <f>"52.91"</f>
        <v>52.91</v>
      </c>
      <c r="BY5" t="str">
        <f>"4.45"</f>
        <v>4.45</v>
      </c>
      <c r="BZ5" t="str">
        <f>"0.126"</f>
        <v>0.126</v>
      </c>
      <c r="CA5" t="s">
        <v>495</v>
      </c>
      <c r="CR5" t="s">
        <v>400</v>
      </c>
      <c r="CS5">
        <v>0</v>
      </c>
      <c r="CT5" t="s">
        <v>400</v>
      </c>
      <c r="CV5">
        <v>0</v>
      </c>
      <c r="CY5" t="s">
        <v>400</v>
      </c>
      <c r="DC5">
        <v>0</v>
      </c>
      <c r="DJ5" t="s">
        <v>471</v>
      </c>
      <c r="DK5" t="s">
        <v>472</v>
      </c>
      <c r="DM5" t="s">
        <v>473</v>
      </c>
      <c r="EI5" t="s">
        <v>474</v>
      </c>
      <c r="EJ5" t="s">
        <v>449</v>
      </c>
      <c r="EK5" t="s">
        <v>474</v>
      </c>
      <c r="EL5" t="s">
        <v>475</v>
      </c>
      <c r="EM5" t="s">
        <v>402</v>
      </c>
      <c r="EN5">
        <v>0</v>
      </c>
      <c r="EO5">
        <v>0</v>
      </c>
    </row>
    <row r="6" spans="1:366" x14ac:dyDescent="0.25">
      <c r="A6" t="s">
        <v>496</v>
      </c>
      <c r="B6" t="str">
        <f>"801542725075"</f>
        <v>801542725075</v>
      </c>
      <c r="C6" t="s">
        <v>497</v>
      </c>
      <c r="D6" t="s">
        <v>458</v>
      </c>
      <c r="E6" t="s">
        <v>459</v>
      </c>
      <c r="G6" t="str">
        <f>"15.5"</f>
        <v>15.5</v>
      </c>
      <c r="H6" t="str">
        <f>"15.5"</f>
        <v>15.5</v>
      </c>
      <c r="I6" t="str">
        <f>"17"</f>
        <v>17</v>
      </c>
      <c r="J6" t="str">
        <f>"37.48"</f>
        <v>37.48</v>
      </c>
      <c r="K6" t="s">
        <v>460</v>
      </c>
      <c r="N6" t="s">
        <v>461</v>
      </c>
      <c r="T6" t="s">
        <v>373</v>
      </c>
      <c r="U6" t="s">
        <v>373</v>
      </c>
      <c r="V6" t="s">
        <v>498</v>
      </c>
      <c r="W6" t="s">
        <v>499</v>
      </c>
      <c r="X6" t="s">
        <v>500</v>
      </c>
      <c r="Y6" t="s">
        <v>501</v>
      </c>
      <c r="Z6" t="s">
        <v>502</v>
      </c>
      <c r="AA6" t="s">
        <v>503</v>
      </c>
      <c r="AB6" t="s">
        <v>504</v>
      </c>
      <c r="AC6" t="s">
        <v>505</v>
      </c>
      <c r="AD6" t="s">
        <v>506</v>
      </c>
      <c r="AE6" t="s">
        <v>507</v>
      </c>
      <c r="AF6" t="s">
        <v>508</v>
      </c>
      <c r="BA6" t="str">
        <f>"699"</f>
        <v>699</v>
      </c>
      <c r="BB6" t="str">
        <f>"295"</f>
        <v>295</v>
      </c>
      <c r="BC6" t="s">
        <v>388</v>
      </c>
      <c r="BD6" t="str">
        <f t="shared" si="0"/>
        <v>1</v>
      </c>
      <c r="BE6" t="s">
        <v>389</v>
      </c>
      <c r="BF6" t="str">
        <f t="shared" si="1"/>
        <v>18.5</v>
      </c>
      <c r="BG6" t="str">
        <f t="shared" si="1"/>
        <v>18.5</v>
      </c>
      <c r="BH6" t="str">
        <f>"22.44"</f>
        <v>22.44</v>
      </c>
      <c r="BI6" t="str">
        <f>"52.91"</f>
        <v>52.91</v>
      </c>
      <c r="BY6" t="str">
        <f>"4.45"</f>
        <v>4.45</v>
      </c>
      <c r="BZ6" t="str">
        <f>"0.126"</f>
        <v>0.126</v>
      </c>
      <c r="CA6" t="s">
        <v>495</v>
      </c>
      <c r="CR6" t="s">
        <v>400</v>
      </c>
      <c r="CS6">
        <v>0</v>
      </c>
      <c r="CT6" t="s">
        <v>400</v>
      </c>
      <c r="CV6">
        <v>0</v>
      </c>
      <c r="CY6" t="s">
        <v>400</v>
      </c>
      <c r="DC6">
        <v>0</v>
      </c>
      <c r="DJ6" t="s">
        <v>471</v>
      </c>
      <c r="DK6" t="s">
        <v>509</v>
      </c>
      <c r="DM6" t="s">
        <v>473</v>
      </c>
      <c r="EI6" t="s">
        <v>510</v>
      </c>
      <c r="EJ6" t="s">
        <v>511</v>
      </c>
      <c r="EK6" t="s">
        <v>510</v>
      </c>
      <c r="EM6" t="s">
        <v>402</v>
      </c>
      <c r="EN6">
        <v>0</v>
      </c>
      <c r="EO6">
        <v>0</v>
      </c>
    </row>
    <row r="7" spans="1:366" x14ac:dyDescent="0.25">
      <c r="A7" t="s">
        <v>512</v>
      </c>
      <c r="B7" t="str">
        <f>"801542774486"</f>
        <v>801542774486</v>
      </c>
      <c r="C7" t="s">
        <v>513</v>
      </c>
      <c r="D7" t="s">
        <v>514</v>
      </c>
      <c r="E7" t="s">
        <v>515</v>
      </c>
      <c r="F7" t="s">
        <v>516</v>
      </c>
      <c r="G7" t="str">
        <f>"33"</f>
        <v>33</v>
      </c>
      <c r="H7" t="str">
        <f>"35"</f>
        <v>35</v>
      </c>
      <c r="I7" t="str">
        <f>"28"</f>
        <v>28</v>
      </c>
      <c r="J7" t="str">
        <f>"66.14"</f>
        <v>66.14</v>
      </c>
      <c r="K7" t="s">
        <v>517</v>
      </c>
      <c r="L7" t="s">
        <v>518</v>
      </c>
      <c r="N7" t="s">
        <v>416</v>
      </c>
      <c r="O7" t="s">
        <v>519</v>
      </c>
      <c r="T7" t="s">
        <v>373</v>
      </c>
      <c r="U7" t="s">
        <v>373</v>
      </c>
      <c r="V7" t="s">
        <v>520</v>
      </c>
      <c r="W7" t="s">
        <v>521</v>
      </c>
      <c r="X7" t="s">
        <v>522</v>
      </c>
      <c r="Y7" t="s">
        <v>523</v>
      </c>
      <c r="Z7" t="s">
        <v>524</v>
      </c>
      <c r="AA7" t="s">
        <v>525</v>
      </c>
      <c r="AB7" t="s">
        <v>526</v>
      </c>
      <c r="AC7" t="s">
        <v>527</v>
      </c>
      <c r="AD7" t="s">
        <v>528</v>
      </c>
      <c r="AE7" t="s">
        <v>529</v>
      </c>
      <c r="AF7" t="s">
        <v>530</v>
      </c>
      <c r="AG7" t="s">
        <v>531</v>
      </c>
      <c r="AH7" t="s">
        <v>532</v>
      </c>
      <c r="AI7" t="s">
        <v>533</v>
      </c>
      <c r="BA7" t="str">
        <f>"2599"</f>
        <v>2599</v>
      </c>
      <c r="BB7" t="str">
        <f>"1095"</f>
        <v>1095</v>
      </c>
      <c r="BC7" t="s">
        <v>388</v>
      </c>
      <c r="BD7" t="str">
        <f t="shared" si="0"/>
        <v>1</v>
      </c>
      <c r="BE7" t="s">
        <v>389</v>
      </c>
      <c r="BF7" t="str">
        <f>"36.61"</f>
        <v>36.61</v>
      </c>
      <c r="BG7" t="str">
        <f>"36.02"</f>
        <v>36.02</v>
      </c>
      <c r="BH7" t="str">
        <f>"24.02"</f>
        <v>24.02</v>
      </c>
      <c r="BI7" t="str">
        <f>"78.04"</f>
        <v>78.04</v>
      </c>
      <c r="BY7" t="str">
        <f>"18.36"</f>
        <v>18.36</v>
      </c>
      <c r="BZ7" t="str">
        <f>"0.52"</f>
        <v>0.52</v>
      </c>
      <c r="CA7" t="s">
        <v>390</v>
      </c>
      <c r="CK7" t="s">
        <v>534</v>
      </c>
      <c r="CL7" t="s">
        <v>535</v>
      </c>
      <c r="CM7" t="s">
        <v>536</v>
      </c>
      <c r="CN7">
        <v>0</v>
      </c>
      <c r="CO7">
        <v>0</v>
      </c>
      <c r="CP7" t="s">
        <v>437</v>
      </c>
      <c r="CQ7" t="s">
        <v>438</v>
      </c>
      <c r="CX7" t="s">
        <v>403</v>
      </c>
      <c r="CY7" t="s">
        <v>400</v>
      </c>
      <c r="CZ7">
        <v>0</v>
      </c>
      <c r="DD7">
        <v>0</v>
      </c>
      <c r="DE7" t="s">
        <v>439</v>
      </c>
      <c r="DH7">
        <v>0</v>
      </c>
      <c r="DI7">
        <v>1</v>
      </c>
      <c r="DK7" t="s">
        <v>537</v>
      </c>
      <c r="DL7">
        <v>0</v>
      </c>
      <c r="DM7" t="s">
        <v>538</v>
      </c>
      <c r="DN7" t="s">
        <v>539</v>
      </c>
      <c r="DO7" t="s">
        <v>540</v>
      </c>
      <c r="DP7" t="s">
        <v>541</v>
      </c>
      <c r="DT7" t="s">
        <v>542</v>
      </c>
      <c r="DX7" t="s">
        <v>543</v>
      </c>
      <c r="DY7" t="s">
        <v>544</v>
      </c>
      <c r="DZ7" t="s">
        <v>545</v>
      </c>
      <c r="EA7" t="s">
        <v>546</v>
      </c>
      <c r="EG7" t="s">
        <v>547</v>
      </c>
      <c r="EP7" t="s">
        <v>548</v>
      </c>
      <c r="EQ7" t="s">
        <v>548</v>
      </c>
      <c r="ER7">
        <v>0</v>
      </c>
      <c r="ES7">
        <v>0</v>
      </c>
      <c r="ET7" t="s">
        <v>549</v>
      </c>
      <c r="EU7">
        <v>0</v>
      </c>
    </row>
    <row r="8" spans="1:366" x14ac:dyDescent="0.25">
      <c r="A8" t="s">
        <v>550</v>
      </c>
      <c r="B8" t="str">
        <f>"801542705923"</f>
        <v>801542705923</v>
      </c>
      <c r="C8" t="s">
        <v>551</v>
      </c>
      <c r="D8" t="s">
        <v>514</v>
      </c>
      <c r="E8" t="s">
        <v>515</v>
      </c>
      <c r="F8" t="s">
        <v>516</v>
      </c>
      <c r="G8" t="str">
        <f>"37"</f>
        <v>37</v>
      </c>
      <c r="H8" t="str">
        <f>"34.25"</f>
        <v>34.25</v>
      </c>
      <c r="I8" t="str">
        <f>"28.25"</f>
        <v>28.25</v>
      </c>
      <c r="J8" t="str">
        <f>"68"</f>
        <v>68</v>
      </c>
      <c r="K8" t="s">
        <v>552</v>
      </c>
      <c r="L8" t="s">
        <v>553</v>
      </c>
      <c r="M8" t="s">
        <v>554</v>
      </c>
      <c r="N8" t="s">
        <v>416</v>
      </c>
      <c r="O8" t="s">
        <v>519</v>
      </c>
      <c r="P8" t="s">
        <v>555</v>
      </c>
      <c r="T8" t="s">
        <v>373</v>
      </c>
      <c r="U8" t="s">
        <v>373</v>
      </c>
      <c r="V8" t="s">
        <v>556</v>
      </c>
      <c r="W8" t="s">
        <v>557</v>
      </c>
      <c r="X8" t="s">
        <v>558</v>
      </c>
      <c r="Y8" t="s">
        <v>559</v>
      </c>
      <c r="Z8" t="s">
        <v>560</v>
      </c>
      <c r="AA8" t="s">
        <v>561</v>
      </c>
      <c r="AB8" t="s">
        <v>562</v>
      </c>
      <c r="AC8" t="s">
        <v>563</v>
      </c>
      <c r="AD8" t="s">
        <v>564</v>
      </c>
      <c r="AE8" t="s">
        <v>565</v>
      </c>
      <c r="BA8" t="str">
        <f>"2799"</f>
        <v>2799</v>
      </c>
      <c r="BB8" t="str">
        <f>"1180"</f>
        <v>1180</v>
      </c>
      <c r="BC8" t="s">
        <v>388</v>
      </c>
      <c r="BD8" t="str">
        <f t="shared" si="0"/>
        <v>1</v>
      </c>
      <c r="BE8" t="s">
        <v>389</v>
      </c>
      <c r="BF8" t="str">
        <f>"38.58"</f>
        <v>38.58</v>
      </c>
      <c r="BG8" t="str">
        <f>"35.63"</f>
        <v>35.63</v>
      </c>
      <c r="BH8" t="str">
        <f>"24.8"</f>
        <v>24.8</v>
      </c>
      <c r="BI8" t="str">
        <f>"84.66"</f>
        <v>84.66</v>
      </c>
      <c r="BY8" t="str">
        <f>"19.74"</f>
        <v>19.74</v>
      </c>
      <c r="BZ8" t="str">
        <f>"0.559"</f>
        <v>0.559</v>
      </c>
      <c r="CA8" t="s">
        <v>390</v>
      </c>
      <c r="CH8" t="s">
        <v>548</v>
      </c>
      <c r="CI8" t="s">
        <v>566</v>
      </c>
      <c r="CJ8" t="s">
        <v>567</v>
      </c>
      <c r="CK8" t="s">
        <v>548</v>
      </c>
      <c r="CL8" t="s">
        <v>568</v>
      </c>
      <c r="CM8" t="s">
        <v>567</v>
      </c>
      <c r="CN8">
        <v>0</v>
      </c>
      <c r="CO8">
        <v>0</v>
      </c>
      <c r="CP8" t="s">
        <v>437</v>
      </c>
      <c r="CQ8" t="s">
        <v>438</v>
      </c>
      <c r="CU8" t="s">
        <v>569</v>
      </c>
      <c r="CX8" t="s">
        <v>403</v>
      </c>
      <c r="CY8" t="s">
        <v>400</v>
      </c>
      <c r="CZ8">
        <v>0</v>
      </c>
      <c r="DD8">
        <v>0</v>
      </c>
      <c r="DE8" t="s">
        <v>570</v>
      </c>
      <c r="DF8" t="s">
        <v>406</v>
      </c>
      <c r="DG8" t="s">
        <v>407</v>
      </c>
      <c r="DH8">
        <v>1</v>
      </c>
      <c r="DI8">
        <v>1</v>
      </c>
      <c r="DK8" t="s">
        <v>571</v>
      </c>
      <c r="DL8">
        <v>0</v>
      </c>
      <c r="DM8" t="s">
        <v>538</v>
      </c>
      <c r="DN8" t="s">
        <v>572</v>
      </c>
      <c r="DO8" t="s">
        <v>573</v>
      </c>
      <c r="DP8" t="s">
        <v>574</v>
      </c>
      <c r="DT8" t="s">
        <v>575</v>
      </c>
      <c r="DX8" t="s">
        <v>576</v>
      </c>
      <c r="DY8" t="s">
        <v>577</v>
      </c>
      <c r="DZ8" t="s">
        <v>578</v>
      </c>
      <c r="EA8" t="s">
        <v>573</v>
      </c>
      <c r="EG8" t="s">
        <v>579</v>
      </c>
      <c r="ER8">
        <v>0</v>
      </c>
      <c r="ES8">
        <v>0</v>
      </c>
      <c r="ET8" t="s">
        <v>580</v>
      </c>
      <c r="EU8">
        <v>0</v>
      </c>
    </row>
    <row r="9" spans="1:366" x14ac:dyDescent="0.25">
      <c r="A9" t="s">
        <v>581</v>
      </c>
      <c r="B9" t="str">
        <f>"801542863593"</f>
        <v>801542863593</v>
      </c>
      <c r="C9" t="s">
        <v>582</v>
      </c>
      <c r="D9" t="s">
        <v>583</v>
      </c>
      <c r="E9" t="s">
        <v>515</v>
      </c>
      <c r="F9" t="s">
        <v>516</v>
      </c>
      <c r="G9" t="str">
        <f>"32.5"</f>
        <v>32.5</v>
      </c>
      <c r="H9" t="str">
        <f>"36"</f>
        <v>36</v>
      </c>
      <c r="I9" t="str">
        <f>"33"</f>
        <v>33</v>
      </c>
      <c r="J9" t="str">
        <f>"61.73"</f>
        <v>61.73</v>
      </c>
      <c r="K9" t="s">
        <v>584</v>
      </c>
      <c r="L9" t="s">
        <v>585</v>
      </c>
      <c r="N9" t="s">
        <v>416</v>
      </c>
      <c r="O9" t="s">
        <v>372</v>
      </c>
      <c r="T9" t="s">
        <v>373</v>
      </c>
      <c r="U9" t="s">
        <v>373</v>
      </c>
      <c r="V9" t="s">
        <v>586</v>
      </c>
      <c r="W9" t="s">
        <v>587</v>
      </c>
      <c r="X9" t="s">
        <v>588</v>
      </c>
      <c r="Y9" t="s">
        <v>589</v>
      </c>
      <c r="Z9" t="s">
        <v>590</v>
      </c>
      <c r="AA9" t="s">
        <v>591</v>
      </c>
      <c r="AB9" t="s">
        <v>592</v>
      </c>
      <c r="AC9" t="s">
        <v>593</v>
      </c>
      <c r="AD9" t="s">
        <v>594</v>
      </c>
      <c r="AE9" t="s">
        <v>595</v>
      </c>
      <c r="AF9" t="s">
        <v>596</v>
      </c>
      <c r="AG9" t="s">
        <v>597</v>
      </c>
      <c r="AH9" t="s">
        <v>598</v>
      </c>
      <c r="AI9" t="s">
        <v>599</v>
      </c>
      <c r="BA9" t="str">
        <f>"2299"</f>
        <v>2299</v>
      </c>
      <c r="BB9" t="str">
        <f>"970"</f>
        <v>970</v>
      </c>
      <c r="BC9" t="s">
        <v>388</v>
      </c>
      <c r="BD9" t="str">
        <f t="shared" si="0"/>
        <v>1</v>
      </c>
      <c r="BE9" t="s">
        <v>389</v>
      </c>
      <c r="BF9" t="str">
        <f>"38.19"</f>
        <v>38.19</v>
      </c>
      <c r="BG9" t="str">
        <f>"36.61"</f>
        <v>36.61</v>
      </c>
      <c r="BH9" t="str">
        <f>"29.53"</f>
        <v>29.53</v>
      </c>
      <c r="BI9" t="str">
        <f>"76.06"</f>
        <v>76.06</v>
      </c>
      <c r="BY9" t="str">
        <f>"23.91"</f>
        <v>23.91</v>
      </c>
      <c r="BZ9" t="str">
        <f>"0.677"</f>
        <v>0.677</v>
      </c>
      <c r="CA9" t="s">
        <v>390</v>
      </c>
      <c r="CH9" t="s">
        <v>451</v>
      </c>
      <c r="CI9" t="s">
        <v>450</v>
      </c>
      <c r="CJ9" t="s">
        <v>600</v>
      </c>
      <c r="CK9" t="s">
        <v>601</v>
      </c>
      <c r="CL9" t="s">
        <v>602</v>
      </c>
      <c r="CM9" t="s">
        <v>603</v>
      </c>
      <c r="CN9">
        <v>0</v>
      </c>
      <c r="CO9">
        <v>1</v>
      </c>
      <c r="CP9" t="s">
        <v>437</v>
      </c>
      <c r="CQ9" t="s">
        <v>438</v>
      </c>
      <c r="CU9" t="s">
        <v>604</v>
      </c>
      <c r="CX9" t="s">
        <v>403</v>
      </c>
      <c r="CY9" t="s">
        <v>400</v>
      </c>
      <c r="CZ9">
        <v>0</v>
      </c>
      <c r="DD9">
        <v>0</v>
      </c>
      <c r="DE9" t="s">
        <v>439</v>
      </c>
      <c r="DF9" t="s">
        <v>406</v>
      </c>
      <c r="DG9" t="s">
        <v>407</v>
      </c>
      <c r="DH9">
        <v>1</v>
      </c>
      <c r="DI9">
        <v>1</v>
      </c>
      <c r="DK9" t="s">
        <v>605</v>
      </c>
      <c r="DL9">
        <v>0</v>
      </c>
      <c r="DM9" t="s">
        <v>538</v>
      </c>
      <c r="DN9" t="s">
        <v>606</v>
      </c>
      <c r="DO9" t="s">
        <v>607</v>
      </c>
      <c r="DP9" t="s">
        <v>608</v>
      </c>
      <c r="DT9" t="s">
        <v>475</v>
      </c>
      <c r="DU9" t="s">
        <v>448</v>
      </c>
      <c r="DV9" t="s">
        <v>474</v>
      </c>
      <c r="DW9" t="s">
        <v>609</v>
      </c>
      <c r="DX9" t="s">
        <v>610</v>
      </c>
      <c r="DY9" t="s">
        <v>611</v>
      </c>
      <c r="DZ9" t="s">
        <v>612</v>
      </c>
      <c r="EA9" t="s">
        <v>613</v>
      </c>
      <c r="ED9" t="s">
        <v>406</v>
      </c>
      <c r="EE9" t="s">
        <v>407</v>
      </c>
      <c r="EF9" t="s">
        <v>614</v>
      </c>
      <c r="EG9" t="s">
        <v>615</v>
      </c>
      <c r="ER9">
        <v>0</v>
      </c>
      <c r="ES9">
        <v>0</v>
      </c>
      <c r="EU9">
        <v>0</v>
      </c>
    </row>
    <row r="10" spans="1:366" x14ac:dyDescent="0.25">
      <c r="A10" t="s">
        <v>616</v>
      </c>
      <c r="B10" t="str">
        <f>"801542022112"</f>
        <v>801542022112</v>
      </c>
      <c r="C10" t="s">
        <v>617</v>
      </c>
      <c r="D10" t="s">
        <v>583</v>
      </c>
      <c r="E10" t="s">
        <v>413</v>
      </c>
      <c r="G10" t="str">
        <f>"88"</f>
        <v>88</v>
      </c>
      <c r="H10" t="str">
        <f>"35"</f>
        <v>35</v>
      </c>
      <c r="I10" t="str">
        <f>"26.5"</f>
        <v>26.5</v>
      </c>
      <c r="J10" t="str">
        <f>"105.82"</f>
        <v>105.82</v>
      </c>
      <c r="K10" t="s">
        <v>618</v>
      </c>
      <c r="N10" t="s">
        <v>619</v>
      </c>
      <c r="O10" t="s">
        <v>620</v>
      </c>
      <c r="P10" t="s">
        <v>621</v>
      </c>
      <c r="T10" t="s">
        <v>402</v>
      </c>
      <c r="U10" t="s">
        <v>402</v>
      </c>
      <c r="V10" t="s">
        <v>622</v>
      </c>
      <c r="W10" t="s">
        <v>623</v>
      </c>
      <c r="X10" t="s">
        <v>624</v>
      </c>
      <c r="Y10" t="s">
        <v>625</v>
      </c>
      <c r="Z10" t="s">
        <v>626</v>
      </c>
      <c r="AA10" t="s">
        <v>627</v>
      </c>
      <c r="AB10" t="s">
        <v>628</v>
      </c>
      <c r="AC10" t="s">
        <v>629</v>
      </c>
      <c r="AD10" t="s">
        <v>630</v>
      </c>
      <c r="BA10" t="str">
        <f>"2399"</f>
        <v>2399</v>
      </c>
      <c r="BB10" t="str">
        <f>"1010"</f>
        <v>1010</v>
      </c>
      <c r="BC10" t="s">
        <v>388</v>
      </c>
      <c r="BD10" t="str">
        <f t="shared" si="0"/>
        <v>1</v>
      </c>
      <c r="BE10" t="s">
        <v>389</v>
      </c>
      <c r="BF10" t="str">
        <f>"88.98"</f>
        <v>88.98</v>
      </c>
      <c r="BG10" t="str">
        <f>"36.61"</f>
        <v>36.61</v>
      </c>
      <c r="BH10" t="str">
        <f>"26.38"</f>
        <v>26.38</v>
      </c>
      <c r="BI10" t="str">
        <f>"127.87"</f>
        <v>127.87</v>
      </c>
      <c r="BY10" t="str">
        <f>"49.72"</f>
        <v>49.72</v>
      </c>
      <c r="BZ10" t="str">
        <f>"1.408"</f>
        <v>1.408</v>
      </c>
      <c r="CA10" t="s">
        <v>495</v>
      </c>
      <c r="CK10" t="s">
        <v>600</v>
      </c>
      <c r="CL10" t="s">
        <v>511</v>
      </c>
      <c r="CN10">
        <v>0</v>
      </c>
      <c r="CO10">
        <v>1</v>
      </c>
      <c r="CP10" t="s">
        <v>437</v>
      </c>
      <c r="CQ10" t="s">
        <v>631</v>
      </c>
      <c r="CX10" t="s">
        <v>403</v>
      </c>
      <c r="CY10" t="s">
        <v>400</v>
      </c>
      <c r="CZ10">
        <v>0</v>
      </c>
      <c r="DD10">
        <v>25000</v>
      </c>
      <c r="DE10" t="s">
        <v>439</v>
      </c>
      <c r="DF10" t="s">
        <v>632</v>
      </c>
      <c r="DH10">
        <v>1</v>
      </c>
      <c r="DI10">
        <v>3</v>
      </c>
      <c r="DK10" t="s">
        <v>633</v>
      </c>
      <c r="DL10">
        <v>0</v>
      </c>
      <c r="DM10" t="s">
        <v>410</v>
      </c>
      <c r="DN10" t="s">
        <v>634</v>
      </c>
      <c r="DO10" t="s">
        <v>635</v>
      </c>
      <c r="DP10" t="s">
        <v>636</v>
      </c>
      <c r="DT10" t="s">
        <v>450</v>
      </c>
      <c r="DX10" t="s">
        <v>637</v>
      </c>
      <c r="DY10" t="s">
        <v>638</v>
      </c>
      <c r="DZ10" t="s">
        <v>639</v>
      </c>
      <c r="EA10" t="s">
        <v>640</v>
      </c>
      <c r="ED10" t="s">
        <v>632</v>
      </c>
      <c r="EG10" t="s">
        <v>641</v>
      </c>
      <c r="EP10" t="s">
        <v>642</v>
      </c>
      <c r="EQ10" t="s">
        <v>642</v>
      </c>
      <c r="ET10" t="s">
        <v>643</v>
      </c>
    </row>
    <row r="11" spans="1:366" x14ac:dyDescent="0.25">
      <c r="A11" t="s">
        <v>644</v>
      </c>
      <c r="B11" t="str">
        <f>"801542010942"</f>
        <v>801542010942</v>
      </c>
      <c r="C11" t="s">
        <v>645</v>
      </c>
      <c r="D11" t="s">
        <v>646</v>
      </c>
      <c r="E11" t="s">
        <v>647</v>
      </c>
      <c r="F11" t="s">
        <v>648</v>
      </c>
      <c r="G11" t="str">
        <f>"86.5"</f>
        <v>86.5</v>
      </c>
      <c r="H11" t="str">
        <f>"39.25"</f>
        <v>39.25</v>
      </c>
      <c r="I11" t="str">
        <f>"30"</f>
        <v>30</v>
      </c>
      <c r="J11" t="str">
        <f>"157.63"</f>
        <v>157.63</v>
      </c>
      <c r="K11" t="s">
        <v>649</v>
      </c>
      <c r="L11" t="s">
        <v>650</v>
      </c>
      <c r="N11" t="s">
        <v>461</v>
      </c>
      <c r="T11" t="s">
        <v>373</v>
      </c>
      <c r="U11" t="s">
        <v>373</v>
      </c>
      <c r="V11" t="s">
        <v>651</v>
      </c>
      <c r="W11" t="s">
        <v>652</v>
      </c>
      <c r="X11" t="s">
        <v>653</v>
      </c>
      <c r="Y11" t="s">
        <v>654</v>
      </c>
      <c r="Z11" t="s">
        <v>655</v>
      </c>
      <c r="AA11" t="s">
        <v>656</v>
      </c>
      <c r="AB11" t="s">
        <v>657</v>
      </c>
      <c r="AC11" t="s">
        <v>658</v>
      </c>
      <c r="AD11" t="s">
        <v>659</v>
      </c>
      <c r="AE11" t="s">
        <v>660</v>
      </c>
      <c r="AF11" t="s">
        <v>661</v>
      </c>
      <c r="AG11" t="s">
        <v>662</v>
      </c>
      <c r="AH11" t="s">
        <v>663</v>
      </c>
      <c r="AI11" t="s">
        <v>664</v>
      </c>
      <c r="BA11" t="str">
        <f>"1599"</f>
        <v>1599</v>
      </c>
      <c r="BB11" t="str">
        <f>"675"</f>
        <v>675</v>
      </c>
      <c r="BC11" t="s">
        <v>665</v>
      </c>
      <c r="BD11" t="str">
        <f t="shared" si="0"/>
        <v>1</v>
      </c>
      <c r="BE11" t="s">
        <v>666</v>
      </c>
      <c r="BF11" t="str">
        <f>"91.73"</f>
        <v>91.73</v>
      </c>
      <c r="BG11" t="str">
        <f>"42.91"</f>
        <v>42.91</v>
      </c>
      <c r="BH11" t="str">
        <f>"8.86"</f>
        <v>8.86</v>
      </c>
      <c r="BI11" t="str">
        <f>"186.29"</f>
        <v>186.29</v>
      </c>
      <c r="BY11" t="str">
        <f>"20.16"</f>
        <v>20.16</v>
      </c>
      <c r="BZ11" t="str">
        <f>"0.571"</f>
        <v>0.571</v>
      </c>
      <c r="CA11" t="s">
        <v>495</v>
      </c>
      <c r="CR11" t="s">
        <v>400</v>
      </c>
      <c r="CS11">
        <v>0</v>
      </c>
      <c r="CT11" t="s">
        <v>400</v>
      </c>
      <c r="CV11">
        <v>0</v>
      </c>
      <c r="CX11" t="s">
        <v>667</v>
      </c>
      <c r="CY11" t="s">
        <v>400</v>
      </c>
      <c r="DA11">
        <v>0</v>
      </c>
      <c r="DB11">
        <v>0</v>
      </c>
      <c r="DC11">
        <v>0</v>
      </c>
      <c r="DI11">
        <v>8</v>
      </c>
      <c r="DJ11" t="s">
        <v>408</v>
      </c>
      <c r="DK11" t="s">
        <v>668</v>
      </c>
      <c r="DM11" t="s">
        <v>669</v>
      </c>
      <c r="DX11" t="s">
        <v>670</v>
      </c>
      <c r="DZ11" t="s">
        <v>671</v>
      </c>
      <c r="EI11" t="s">
        <v>672</v>
      </c>
      <c r="EJ11" t="s">
        <v>670</v>
      </c>
      <c r="EK11" t="s">
        <v>673</v>
      </c>
      <c r="EL11" t="s">
        <v>674</v>
      </c>
      <c r="EM11" t="s">
        <v>402</v>
      </c>
      <c r="EN11">
        <v>0</v>
      </c>
      <c r="EO11">
        <v>0</v>
      </c>
      <c r="EV11" t="s">
        <v>675</v>
      </c>
      <c r="EW11" t="s">
        <v>670</v>
      </c>
      <c r="EX11" t="s">
        <v>676</v>
      </c>
      <c r="EY11" t="s">
        <v>677</v>
      </c>
    </row>
    <row r="12" spans="1:366" x14ac:dyDescent="0.25">
      <c r="A12" t="s">
        <v>678</v>
      </c>
      <c r="B12" t="str">
        <f>"801542821524"</f>
        <v>801542821524</v>
      </c>
      <c r="C12" t="s">
        <v>679</v>
      </c>
      <c r="D12" t="s">
        <v>646</v>
      </c>
      <c r="E12" t="s">
        <v>647</v>
      </c>
      <c r="F12" t="s">
        <v>648</v>
      </c>
      <c r="G12" t="str">
        <f>"86.5"</f>
        <v>86.5</v>
      </c>
      <c r="H12" t="str">
        <f>"39.25"</f>
        <v>39.25</v>
      </c>
      <c r="I12" t="str">
        <f>"30"</f>
        <v>30</v>
      </c>
      <c r="J12" t="str">
        <f>"157.63"</f>
        <v>157.63</v>
      </c>
      <c r="K12" t="s">
        <v>460</v>
      </c>
      <c r="N12" t="s">
        <v>461</v>
      </c>
      <c r="T12" t="s">
        <v>373</v>
      </c>
      <c r="U12" t="s">
        <v>373</v>
      </c>
      <c r="V12" t="s">
        <v>680</v>
      </c>
      <c r="W12" t="s">
        <v>681</v>
      </c>
      <c r="X12" t="s">
        <v>682</v>
      </c>
      <c r="Y12" t="s">
        <v>683</v>
      </c>
      <c r="Z12" t="s">
        <v>684</v>
      </c>
      <c r="AA12" t="s">
        <v>685</v>
      </c>
      <c r="AB12" t="s">
        <v>686</v>
      </c>
      <c r="AC12" t="s">
        <v>687</v>
      </c>
      <c r="AD12" t="s">
        <v>688</v>
      </c>
      <c r="AE12" t="s">
        <v>689</v>
      </c>
      <c r="AF12" t="s">
        <v>690</v>
      </c>
      <c r="AG12" t="s">
        <v>691</v>
      </c>
      <c r="BA12" t="str">
        <f>"1699"</f>
        <v>1699</v>
      </c>
      <c r="BB12" t="str">
        <f>"715"</f>
        <v>715</v>
      </c>
      <c r="BC12" t="s">
        <v>665</v>
      </c>
      <c r="BD12" t="str">
        <f t="shared" si="0"/>
        <v>1</v>
      </c>
      <c r="BE12" t="s">
        <v>666</v>
      </c>
      <c r="BF12" t="str">
        <f>"91.73"</f>
        <v>91.73</v>
      </c>
      <c r="BG12" t="str">
        <f>"8.86"</f>
        <v>8.86</v>
      </c>
      <c r="BH12" t="str">
        <f>"42.91"</f>
        <v>42.91</v>
      </c>
      <c r="BI12" t="str">
        <f>"186.29"</f>
        <v>186.29</v>
      </c>
      <c r="BY12" t="str">
        <f>"20.16"</f>
        <v>20.16</v>
      </c>
      <c r="BZ12" t="str">
        <f>"0.571"</f>
        <v>0.571</v>
      </c>
      <c r="CA12" t="s">
        <v>390</v>
      </c>
      <c r="CR12" t="s">
        <v>400</v>
      </c>
      <c r="CS12">
        <v>0</v>
      </c>
      <c r="CT12" t="s">
        <v>400</v>
      </c>
      <c r="CV12">
        <v>0</v>
      </c>
      <c r="CX12" t="s">
        <v>667</v>
      </c>
      <c r="CY12" t="s">
        <v>400</v>
      </c>
      <c r="DA12">
        <v>0</v>
      </c>
      <c r="DB12">
        <v>0</v>
      </c>
      <c r="DC12">
        <v>0</v>
      </c>
      <c r="DI12">
        <v>8</v>
      </c>
      <c r="DJ12" t="s">
        <v>408</v>
      </c>
      <c r="DK12" t="s">
        <v>668</v>
      </c>
      <c r="DM12" t="s">
        <v>669</v>
      </c>
      <c r="DX12" t="s">
        <v>670</v>
      </c>
      <c r="DZ12" t="s">
        <v>671</v>
      </c>
      <c r="EI12" t="s">
        <v>672</v>
      </c>
      <c r="EJ12" t="s">
        <v>670</v>
      </c>
      <c r="EK12" t="s">
        <v>673</v>
      </c>
      <c r="EL12" t="s">
        <v>674</v>
      </c>
      <c r="EM12" t="s">
        <v>402</v>
      </c>
      <c r="EN12">
        <v>0</v>
      </c>
      <c r="EO12">
        <v>0</v>
      </c>
      <c r="EV12" t="s">
        <v>675</v>
      </c>
      <c r="EW12" t="s">
        <v>670</v>
      </c>
      <c r="EX12" t="s">
        <v>676</v>
      </c>
      <c r="EY12" t="s">
        <v>677</v>
      </c>
    </row>
    <row r="13" spans="1:366" x14ac:dyDescent="0.25">
      <c r="A13" t="s">
        <v>692</v>
      </c>
      <c r="B13" t="str">
        <f>"801542010935"</f>
        <v>801542010935</v>
      </c>
      <c r="C13" t="s">
        <v>645</v>
      </c>
      <c r="D13" t="s">
        <v>646</v>
      </c>
      <c r="E13" t="s">
        <v>647</v>
      </c>
      <c r="F13" t="s">
        <v>648</v>
      </c>
      <c r="G13" t="str">
        <f>"110"</f>
        <v>110</v>
      </c>
      <c r="H13" t="str">
        <f>"39.25"</f>
        <v>39.25</v>
      </c>
      <c r="I13" t="str">
        <f>"30"</f>
        <v>30</v>
      </c>
      <c r="J13" t="str">
        <f>"194"</f>
        <v>194</v>
      </c>
      <c r="K13" t="s">
        <v>649</v>
      </c>
      <c r="L13" t="s">
        <v>650</v>
      </c>
      <c r="N13" t="s">
        <v>461</v>
      </c>
      <c r="T13" t="s">
        <v>373</v>
      </c>
      <c r="U13" t="s">
        <v>373</v>
      </c>
      <c r="V13" t="s">
        <v>651</v>
      </c>
      <c r="W13" t="s">
        <v>693</v>
      </c>
      <c r="X13" t="s">
        <v>694</v>
      </c>
      <c r="Y13" t="s">
        <v>695</v>
      </c>
      <c r="Z13" t="s">
        <v>696</v>
      </c>
      <c r="AA13" t="s">
        <v>697</v>
      </c>
      <c r="AB13" t="s">
        <v>698</v>
      </c>
      <c r="AC13" t="s">
        <v>699</v>
      </c>
      <c r="AD13" t="s">
        <v>700</v>
      </c>
      <c r="AE13" t="s">
        <v>701</v>
      </c>
      <c r="AF13" t="s">
        <v>702</v>
      </c>
      <c r="AG13" t="s">
        <v>703</v>
      </c>
      <c r="AH13" t="s">
        <v>704</v>
      </c>
      <c r="BA13" t="str">
        <f>"1899"</f>
        <v>1899</v>
      </c>
      <c r="BB13" t="str">
        <f>"800"</f>
        <v>800</v>
      </c>
      <c r="BC13" t="s">
        <v>665</v>
      </c>
      <c r="BD13" t="str">
        <f t="shared" si="0"/>
        <v>1</v>
      </c>
      <c r="BE13" t="s">
        <v>666</v>
      </c>
      <c r="BF13" t="str">
        <f>"115.16"</f>
        <v>115.16</v>
      </c>
      <c r="BG13" t="str">
        <f>"42.91"</f>
        <v>42.91</v>
      </c>
      <c r="BH13" t="str">
        <f>"8.86"</f>
        <v>8.86</v>
      </c>
      <c r="BI13" t="str">
        <f>"238.1"</f>
        <v>238.1</v>
      </c>
      <c r="BY13" t="str">
        <f>"25.32"</f>
        <v>25.32</v>
      </c>
      <c r="BZ13" t="str">
        <f>"0.717"</f>
        <v>0.717</v>
      </c>
      <c r="CA13" t="s">
        <v>431</v>
      </c>
      <c r="CR13" t="s">
        <v>400</v>
      </c>
      <c r="CS13">
        <v>0</v>
      </c>
      <c r="CT13" t="s">
        <v>400</v>
      </c>
      <c r="CV13">
        <v>0</v>
      </c>
      <c r="CX13" t="s">
        <v>667</v>
      </c>
      <c r="CY13" t="s">
        <v>400</v>
      </c>
      <c r="DA13">
        <v>0</v>
      </c>
      <c r="DB13">
        <v>0</v>
      </c>
      <c r="DC13">
        <v>0</v>
      </c>
      <c r="DI13">
        <v>12</v>
      </c>
      <c r="DJ13" t="s">
        <v>408</v>
      </c>
      <c r="DK13" t="s">
        <v>668</v>
      </c>
      <c r="DM13" t="s">
        <v>669</v>
      </c>
      <c r="DX13" t="s">
        <v>670</v>
      </c>
      <c r="DZ13" t="s">
        <v>705</v>
      </c>
      <c r="EI13" t="s">
        <v>672</v>
      </c>
      <c r="EJ13" t="s">
        <v>670</v>
      </c>
      <c r="EK13" t="s">
        <v>706</v>
      </c>
      <c r="EL13" t="s">
        <v>674</v>
      </c>
      <c r="EM13" t="s">
        <v>402</v>
      </c>
      <c r="EN13">
        <v>0</v>
      </c>
      <c r="EO13">
        <v>0</v>
      </c>
      <c r="EV13" t="s">
        <v>675</v>
      </c>
      <c r="EW13" t="s">
        <v>670</v>
      </c>
      <c r="EX13" t="s">
        <v>676</v>
      </c>
      <c r="EY13" t="s">
        <v>677</v>
      </c>
    </row>
    <row r="14" spans="1:366" x14ac:dyDescent="0.25">
      <c r="A14" t="s">
        <v>707</v>
      </c>
      <c r="B14" t="str">
        <f>"801542821517"</f>
        <v>801542821517</v>
      </c>
      <c r="C14" t="s">
        <v>679</v>
      </c>
      <c r="D14" t="s">
        <v>646</v>
      </c>
      <c r="E14" t="s">
        <v>647</v>
      </c>
      <c r="F14" t="s">
        <v>648</v>
      </c>
      <c r="G14" t="str">
        <f>"110"</f>
        <v>110</v>
      </c>
      <c r="H14" t="str">
        <f>"39.25"</f>
        <v>39.25</v>
      </c>
      <c r="I14" t="str">
        <f>"30"</f>
        <v>30</v>
      </c>
      <c r="J14" t="str">
        <f>"194"</f>
        <v>194</v>
      </c>
      <c r="K14" t="s">
        <v>460</v>
      </c>
      <c r="N14" t="s">
        <v>461</v>
      </c>
      <c r="T14" t="s">
        <v>373</v>
      </c>
      <c r="U14" t="s">
        <v>373</v>
      </c>
      <c r="V14" t="s">
        <v>708</v>
      </c>
      <c r="W14" t="s">
        <v>709</v>
      </c>
      <c r="X14" t="s">
        <v>710</v>
      </c>
      <c r="Y14" t="s">
        <v>711</v>
      </c>
      <c r="Z14" t="s">
        <v>712</v>
      </c>
      <c r="AA14" t="s">
        <v>713</v>
      </c>
      <c r="AB14" t="s">
        <v>714</v>
      </c>
      <c r="AC14" t="s">
        <v>715</v>
      </c>
      <c r="AD14" t="s">
        <v>716</v>
      </c>
      <c r="AE14" t="s">
        <v>717</v>
      </c>
      <c r="AF14" t="s">
        <v>718</v>
      </c>
      <c r="AG14" t="s">
        <v>719</v>
      </c>
      <c r="BA14" t="str">
        <f>"1999"</f>
        <v>1999</v>
      </c>
      <c r="BB14" t="str">
        <f>"840"</f>
        <v>840</v>
      </c>
      <c r="BC14" t="s">
        <v>665</v>
      </c>
      <c r="BD14" t="str">
        <f t="shared" si="0"/>
        <v>1</v>
      </c>
      <c r="BE14" t="s">
        <v>666</v>
      </c>
      <c r="BF14" t="str">
        <f>"115.16"</f>
        <v>115.16</v>
      </c>
      <c r="BG14" t="str">
        <f>"8.86"</f>
        <v>8.86</v>
      </c>
      <c r="BH14" t="str">
        <f>"42.91"</f>
        <v>42.91</v>
      </c>
      <c r="BI14" t="str">
        <f>"238.1"</f>
        <v>238.1</v>
      </c>
      <c r="BY14" t="str">
        <f>"25.32"</f>
        <v>25.32</v>
      </c>
      <c r="BZ14" t="str">
        <f>"0.717"</f>
        <v>0.717</v>
      </c>
      <c r="CA14" t="s">
        <v>390</v>
      </c>
      <c r="CR14" t="s">
        <v>400</v>
      </c>
      <c r="CS14">
        <v>0</v>
      </c>
      <c r="CT14" t="s">
        <v>400</v>
      </c>
      <c r="CV14">
        <v>0</v>
      </c>
      <c r="CX14" t="s">
        <v>667</v>
      </c>
      <c r="CY14" t="s">
        <v>400</v>
      </c>
      <c r="DA14">
        <v>0</v>
      </c>
      <c r="DB14">
        <v>0</v>
      </c>
      <c r="DC14">
        <v>0</v>
      </c>
      <c r="DI14">
        <v>12</v>
      </c>
      <c r="DJ14" t="s">
        <v>408</v>
      </c>
      <c r="DK14" t="s">
        <v>668</v>
      </c>
      <c r="DM14" t="s">
        <v>669</v>
      </c>
      <c r="DX14" t="s">
        <v>670</v>
      </c>
      <c r="DZ14" t="s">
        <v>705</v>
      </c>
      <c r="EI14" t="s">
        <v>672</v>
      </c>
      <c r="EJ14" t="s">
        <v>670</v>
      </c>
      <c r="EK14" t="s">
        <v>706</v>
      </c>
      <c r="EL14" t="s">
        <v>674</v>
      </c>
      <c r="EM14" t="s">
        <v>402</v>
      </c>
      <c r="EN14">
        <v>0</v>
      </c>
      <c r="EO14">
        <v>0</v>
      </c>
      <c r="EV14" t="s">
        <v>675</v>
      </c>
      <c r="EW14" t="s">
        <v>670</v>
      </c>
      <c r="EX14" t="s">
        <v>676</v>
      </c>
      <c r="EY14" t="s">
        <v>677</v>
      </c>
    </row>
    <row r="15" spans="1:366" x14ac:dyDescent="0.25">
      <c r="A15" t="s">
        <v>720</v>
      </c>
      <c r="B15" t="str">
        <f>"801542721381"</f>
        <v>801542721381</v>
      </c>
      <c r="C15" t="s">
        <v>721</v>
      </c>
      <c r="D15" t="s">
        <v>722</v>
      </c>
      <c r="E15" t="s">
        <v>515</v>
      </c>
      <c r="F15" t="s">
        <v>516</v>
      </c>
      <c r="G15" t="str">
        <f>"24.5"</f>
        <v>24.5</v>
      </c>
      <c r="H15" t="str">
        <f>"29.25"</f>
        <v>29.25</v>
      </c>
      <c r="I15" t="str">
        <f>"32"</f>
        <v>32</v>
      </c>
      <c r="J15" t="str">
        <f>"30.2"</f>
        <v>30.2</v>
      </c>
      <c r="K15" t="s">
        <v>723</v>
      </c>
      <c r="L15" t="s">
        <v>724</v>
      </c>
      <c r="N15" t="s">
        <v>725</v>
      </c>
      <c r="O15" t="s">
        <v>372</v>
      </c>
      <c r="T15" t="s">
        <v>373</v>
      </c>
      <c r="U15" t="s">
        <v>373</v>
      </c>
      <c r="V15" t="s">
        <v>726</v>
      </c>
      <c r="W15" t="s">
        <v>727</v>
      </c>
      <c r="X15" t="s">
        <v>728</v>
      </c>
      <c r="Y15" t="s">
        <v>729</v>
      </c>
      <c r="Z15" t="s">
        <v>730</v>
      </c>
      <c r="AA15" t="s">
        <v>731</v>
      </c>
      <c r="AB15" t="s">
        <v>732</v>
      </c>
      <c r="AC15" t="s">
        <v>733</v>
      </c>
      <c r="AD15" t="s">
        <v>734</v>
      </c>
      <c r="AE15" t="s">
        <v>735</v>
      </c>
      <c r="AF15" t="s">
        <v>736</v>
      </c>
      <c r="AG15" t="s">
        <v>737</v>
      </c>
      <c r="AH15" t="s">
        <v>738</v>
      </c>
      <c r="BA15" t="str">
        <f>"1899"</f>
        <v>1899</v>
      </c>
      <c r="BB15" t="str">
        <f>"800"</f>
        <v>800</v>
      </c>
      <c r="BC15" t="s">
        <v>388</v>
      </c>
      <c r="BD15" t="str">
        <f t="shared" si="0"/>
        <v>1</v>
      </c>
      <c r="BE15" t="s">
        <v>739</v>
      </c>
      <c r="BF15" t="str">
        <f>"27.17"</f>
        <v>27.17</v>
      </c>
      <c r="BG15" t="str">
        <f>"31.3"</f>
        <v>31.3</v>
      </c>
      <c r="BH15" t="str">
        <f>"34.25"</f>
        <v>34.25</v>
      </c>
      <c r="BI15" t="str">
        <f>"44.53"</f>
        <v>44.53</v>
      </c>
      <c r="BY15" t="str">
        <f>"14.83"</f>
        <v>14.83</v>
      </c>
      <c r="BZ15" t="str">
        <f>"0.42"</f>
        <v>0.42</v>
      </c>
      <c r="CA15" t="s">
        <v>495</v>
      </c>
      <c r="CK15" t="s">
        <v>740</v>
      </c>
      <c r="CL15" t="s">
        <v>396</v>
      </c>
      <c r="CN15">
        <v>0</v>
      </c>
      <c r="CO15">
        <v>1</v>
      </c>
      <c r="CP15" t="s">
        <v>437</v>
      </c>
      <c r="CQ15" t="s">
        <v>438</v>
      </c>
      <c r="CX15" t="s">
        <v>403</v>
      </c>
      <c r="CY15" t="s">
        <v>400</v>
      </c>
      <c r="CZ15">
        <v>0</v>
      </c>
      <c r="DD15">
        <v>0</v>
      </c>
      <c r="DE15" t="s">
        <v>439</v>
      </c>
      <c r="DF15" t="s">
        <v>632</v>
      </c>
      <c r="DH15">
        <v>1</v>
      </c>
      <c r="DI15">
        <v>1</v>
      </c>
      <c r="DK15" t="s">
        <v>741</v>
      </c>
      <c r="DL15">
        <v>0</v>
      </c>
      <c r="DM15" t="s">
        <v>538</v>
      </c>
      <c r="DN15" t="s">
        <v>534</v>
      </c>
      <c r="DO15" t="s">
        <v>742</v>
      </c>
      <c r="DP15" t="s">
        <v>743</v>
      </c>
      <c r="DT15" t="s">
        <v>744</v>
      </c>
      <c r="DX15" t="s">
        <v>745</v>
      </c>
      <c r="DY15" t="s">
        <v>746</v>
      </c>
      <c r="DZ15" t="s">
        <v>747</v>
      </c>
      <c r="EA15" t="s">
        <v>748</v>
      </c>
      <c r="ED15" t="s">
        <v>632</v>
      </c>
      <c r="EG15" t="s">
        <v>749</v>
      </c>
      <c r="EP15" t="s">
        <v>743</v>
      </c>
      <c r="EQ15" t="s">
        <v>750</v>
      </c>
      <c r="ER15">
        <v>0</v>
      </c>
      <c r="ES15">
        <v>0</v>
      </c>
      <c r="EU15">
        <v>0</v>
      </c>
    </row>
    <row r="16" spans="1:366" x14ac:dyDescent="0.25">
      <c r="A16" t="s">
        <v>751</v>
      </c>
      <c r="B16" t="str">
        <f>"801542031121"</f>
        <v>801542031121</v>
      </c>
      <c r="C16" t="s">
        <v>721</v>
      </c>
      <c r="D16" t="s">
        <v>722</v>
      </c>
      <c r="E16" t="s">
        <v>515</v>
      </c>
      <c r="F16" t="s">
        <v>516</v>
      </c>
      <c r="G16" t="str">
        <f>"24.5"</f>
        <v>24.5</v>
      </c>
      <c r="H16" t="str">
        <f>"29.25"</f>
        <v>29.25</v>
      </c>
      <c r="I16" t="str">
        <f>"32"</f>
        <v>32</v>
      </c>
      <c r="J16" t="str">
        <f>"30.2"</f>
        <v>30.2</v>
      </c>
      <c r="K16" t="s">
        <v>723</v>
      </c>
      <c r="L16" t="s">
        <v>752</v>
      </c>
      <c r="N16" t="s">
        <v>725</v>
      </c>
      <c r="O16" t="s">
        <v>372</v>
      </c>
      <c r="T16" t="s">
        <v>373</v>
      </c>
      <c r="U16" t="s">
        <v>373</v>
      </c>
      <c r="V16" t="s">
        <v>753</v>
      </c>
      <c r="W16" t="s">
        <v>754</v>
      </c>
      <c r="X16" t="s">
        <v>755</v>
      </c>
      <c r="Y16" t="s">
        <v>756</v>
      </c>
      <c r="Z16" t="s">
        <v>757</v>
      </c>
      <c r="AA16" t="s">
        <v>758</v>
      </c>
      <c r="AB16" t="s">
        <v>759</v>
      </c>
      <c r="AC16" t="s">
        <v>760</v>
      </c>
      <c r="AD16" t="s">
        <v>761</v>
      </c>
      <c r="AE16" t="s">
        <v>762</v>
      </c>
      <c r="AF16" t="s">
        <v>763</v>
      </c>
      <c r="AG16" t="s">
        <v>764</v>
      </c>
      <c r="AH16" t="s">
        <v>765</v>
      </c>
      <c r="BA16" t="str">
        <f>"1899"</f>
        <v>1899</v>
      </c>
      <c r="BB16" t="str">
        <f>"800"</f>
        <v>800</v>
      </c>
      <c r="BC16" t="s">
        <v>388</v>
      </c>
      <c r="BD16" t="str">
        <f t="shared" si="0"/>
        <v>1</v>
      </c>
      <c r="BE16" t="s">
        <v>766</v>
      </c>
      <c r="BF16" t="str">
        <f>"27.17"</f>
        <v>27.17</v>
      </c>
      <c r="BG16" t="str">
        <f>"31.3"</f>
        <v>31.3</v>
      </c>
      <c r="BH16" t="str">
        <f>"34.25"</f>
        <v>34.25</v>
      </c>
      <c r="BI16" t="str">
        <f>"44.53"</f>
        <v>44.53</v>
      </c>
      <c r="BY16" t="str">
        <f>"14.83"</f>
        <v>14.83</v>
      </c>
      <c r="BZ16" t="str">
        <f>"0.42"</f>
        <v>0.42</v>
      </c>
      <c r="CA16" t="s">
        <v>390</v>
      </c>
      <c r="CK16" t="s">
        <v>740</v>
      </c>
      <c r="CL16" t="s">
        <v>396</v>
      </c>
      <c r="CN16">
        <v>0</v>
      </c>
      <c r="CO16">
        <v>1</v>
      </c>
      <c r="CP16" t="s">
        <v>437</v>
      </c>
      <c r="CQ16" t="s">
        <v>438</v>
      </c>
      <c r="CX16" t="s">
        <v>403</v>
      </c>
      <c r="CY16" t="s">
        <v>400</v>
      </c>
      <c r="CZ16">
        <v>0</v>
      </c>
      <c r="DD16">
        <v>0</v>
      </c>
      <c r="DE16" t="s">
        <v>439</v>
      </c>
      <c r="DF16" t="s">
        <v>632</v>
      </c>
      <c r="DH16">
        <v>1</v>
      </c>
      <c r="DI16">
        <v>1</v>
      </c>
      <c r="DK16" t="s">
        <v>741</v>
      </c>
      <c r="DL16">
        <v>0</v>
      </c>
      <c r="DM16" t="s">
        <v>538</v>
      </c>
      <c r="DN16" t="s">
        <v>534</v>
      </c>
      <c r="DO16" t="s">
        <v>742</v>
      </c>
      <c r="DP16" t="s">
        <v>743</v>
      </c>
      <c r="DT16" t="s">
        <v>744</v>
      </c>
      <c r="DX16" t="s">
        <v>745</v>
      </c>
      <c r="DY16" t="s">
        <v>746</v>
      </c>
      <c r="DZ16" t="s">
        <v>747</v>
      </c>
      <c r="EA16" t="s">
        <v>748</v>
      </c>
      <c r="ED16" t="s">
        <v>632</v>
      </c>
      <c r="EG16" t="s">
        <v>749</v>
      </c>
      <c r="EP16" t="s">
        <v>743</v>
      </c>
      <c r="EQ16" t="s">
        <v>750</v>
      </c>
      <c r="ER16">
        <v>0</v>
      </c>
      <c r="ES16">
        <v>0</v>
      </c>
      <c r="EU16">
        <v>0</v>
      </c>
    </row>
    <row r="17" spans="1:193" x14ac:dyDescent="0.25">
      <c r="A17" t="s">
        <v>767</v>
      </c>
      <c r="B17" t="str">
        <f>"198394019552"</f>
        <v>198394019552</v>
      </c>
      <c r="C17" t="s">
        <v>768</v>
      </c>
      <c r="D17" t="s">
        <v>769</v>
      </c>
      <c r="E17" t="s">
        <v>413</v>
      </c>
      <c r="G17" t="str">
        <f>"84"</f>
        <v>84</v>
      </c>
      <c r="H17" t="str">
        <f>"43"</f>
        <v>43</v>
      </c>
      <c r="I17" t="str">
        <f>"32"</f>
        <v>32</v>
      </c>
      <c r="J17" t="str">
        <f>"132.28"</f>
        <v>132.28</v>
      </c>
      <c r="K17" t="s">
        <v>770</v>
      </c>
      <c r="L17" t="s">
        <v>771</v>
      </c>
      <c r="N17" t="s">
        <v>772</v>
      </c>
      <c r="O17" t="s">
        <v>773</v>
      </c>
      <c r="P17" t="s">
        <v>774</v>
      </c>
      <c r="Q17" t="s">
        <v>775</v>
      </c>
      <c r="T17" t="s">
        <v>373</v>
      </c>
      <c r="U17" t="s">
        <v>402</v>
      </c>
      <c r="V17" t="s">
        <v>776</v>
      </c>
      <c r="W17" t="s">
        <v>777</v>
      </c>
      <c r="X17" t="s">
        <v>778</v>
      </c>
      <c r="Y17" t="s">
        <v>779</v>
      </c>
      <c r="Z17" t="s">
        <v>780</v>
      </c>
      <c r="AA17" t="s">
        <v>781</v>
      </c>
      <c r="AB17" t="s">
        <v>782</v>
      </c>
      <c r="AC17" t="s">
        <v>783</v>
      </c>
      <c r="AD17" t="s">
        <v>784</v>
      </c>
      <c r="AE17" t="s">
        <v>785</v>
      </c>
      <c r="AF17" t="s">
        <v>786</v>
      </c>
      <c r="AG17" t="s">
        <v>787</v>
      </c>
      <c r="AH17" t="s">
        <v>788</v>
      </c>
      <c r="BA17" t="str">
        <f>"2299"</f>
        <v>2299</v>
      </c>
      <c r="BB17" t="str">
        <f>"970"</f>
        <v>970</v>
      </c>
      <c r="BC17" t="s">
        <v>388</v>
      </c>
      <c r="BD17" t="str">
        <f t="shared" si="0"/>
        <v>1</v>
      </c>
      <c r="BE17" t="s">
        <v>389</v>
      </c>
      <c r="BF17" t="str">
        <f>"85.04"</f>
        <v>85.04</v>
      </c>
      <c r="BG17" t="str">
        <f>"43.7"</f>
        <v>43.7</v>
      </c>
      <c r="BH17" t="str">
        <f>"21.65"</f>
        <v>21.65</v>
      </c>
      <c r="BI17" t="str">
        <f>"158.73"</f>
        <v>158.73</v>
      </c>
      <c r="BY17" t="str">
        <f>"46.54"</f>
        <v>46.54</v>
      </c>
      <c r="BZ17" t="str">
        <f>"1.318"</f>
        <v>1.318</v>
      </c>
      <c r="CA17" t="s">
        <v>390</v>
      </c>
      <c r="CH17" t="s">
        <v>789</v>
      </c>
      <c r="CI17" t="s">
        <v>450</v>
      </c>
      <c r="CJ17" t="s">
        <v>790</v>
      </c>
      <c r="CK17" t="s">
        <v>451</v>
      </c>
      <c r="CL17" t="s">
        <v>791</v>
      </c>
      <c r="CM17" t="s">
        <v>792</v>
      </c>
      <c r="CN17">
        <v>0</v>
      </c>
      <c r="CO17">
        <v>2</v>
      </c>
      <c r="CP17" t="s">
        <v>437</v>
      </c>
      <c r="CQ17" t="s">
        <v>631</v>
      </c>
      <c r="CU17" t="s">
        <v>793</v>
      </c>
      <c r="CX17" t="s">
        <v>403</v>
      </c>
      <c r="CY17" t="s">
        <v>400</v>
      </c>
      <c r="CZ17">
        <v>0</v>
      </c>
      <c r="DD17">
        <v>30000</v>
      </c>
      <c r="DE17" t="s">
        <v>570</v>
      </c>
      <c r="DF17" t="s">
        <v>406</v>
      </c>
      <c r="DG17" t="s">
        <v>407</v>
      </c>
      <c r="DH17">
        <v>2</v>
      </c>
      <c r="DI17">
        <v>4</v>
      </c>
      <c r="DK17" t="s">
        <v>794</v>
      </c>
      <c r="DL17">
        <v>0</v>
      </c>
      <c r="DM17" t="s">
        <v>795</v>
      </c>
      <c r="DN17" t="s">
        <v>796</v>
      </c>
      <c r="DO17" t="s">
        <v>797</v>
      </c>
      <c r="DP17" t="s">
        <v>798</v>
      </c>
      <c r="DT17" t="s">
        <v>799</v>
      </c>
      <c r="DU17" t="s">
        <v>797</v>
      </c>
      <c r="DV17" t="s">
        <v>474</v>
      </c>
      <c r="DW17" t="s">
        <v>790</v>
      </c>
      <c r="DX17" t="s">
        <v>800</v>
      </c>
      <c r="DZ17" t="s">
        <v>801</v>
      </c>
      <c r="EA17" t="s">
        <v>797</v>
      </c>
      <c r="ED17" t="s">
        <v>406</v>
      </c>
      <c r="EE17" t="s">
        <v>407</v>
      </c>
      <c r="EF17" t="s">
        <v>802</v>
      </c>
      <c r="EG17" t="s">
        <v>803</v>
      </c>
      <c r="EH17" t="s">
        <v>615</v>
      </c>
    </row>
    <row r="18" spans="1:193" x14ac:dyDescent="0.25">
      <c r="A18" t="s">
        <v>804</v>
      </c>
      <c r="B18" t="str">
        <f>"801542759636"</f>
        <v>801542759636</v>
      </c>
      <c r="C18" t="s">
        <v>805</v>
      </c>
      <c r="D18" t="s">
        <v>769</v>
      </c>
      <c r="E18" t="s">
        <v>413</v>
      </c>
      <c r="G18" t="str">
        <f>"86"</f>
        <v>86</v>
      </c>
      <c r="H18" t="str">
        <f>"40"</f>
        <v>40</v>
      </c>
      <c r="I18" t="str">
        <f>"32"</f>
        <v>32</v>
      </c>
      <c r="J18" t="str">
        <f>"132.28"</f>
        <v>132.28</v>
      </c>
      <c r="K18" t="s">
        <v>806</v>
      </c>
      <c r="L18" t="s">
        <v>807</v>
      </c>
      <c r="N18" t="s">
        <v>808</v>
      </c>
      <c r="O18" t="s">
        <v>809</v>
      </c>
      <c r="P18" t="s">
        <v>810</v>
      </c>
      <c r="Q18" t="s">
        <v>775</v>
      </c>
      <c r="T18" t="s">
        <v>373</v>
      </c>
      <c r="U18" t="s">
        <v>402</v>
      </c>
      <c r="V18" t="s">
        <v>811</v>
      </c>
      <c r="W18" t="s">
        <v>812</v>
      </c>
      <c r="X18" t="s">
        <v>813</v>
      </c>
      <c r="Y18" t="s">
        <v>814</v>
      </c>
      <c r="Z18" t="s">
        <v>815</v>
      </c>
      <c r="AA18" t="s">
        <v>816</v>
      </c>
      <c r="AB18" t="s">
        <v>817</v>
      </c>
      <c r="AC18" t="s">
        <v>818</v>
      </c>
      <c r="AD18" t="s">
        <v>819</v>
      </c>
      <c r="AE18" t="s">
        <v>820</v>
      </c>
      <c r="AF18" t="s">
        <v>821</v>
      </c>
      <c r="BA18" t="str">
        <f>"2199"</f>
        <v>2199</v>
      </c>
      <c r="BB18" t="str">
        <f>"925"</f>
        <v>925</v>
      </c>
      <c r="BC18" t="s">
        <v>388</v>
      </c>
      <c r="BD18" t="str">
        <f t="shared" si="0"/>
        <v>1</v>
      </c>
      <c r="BE18" t="s">
        <v>389</v>
      </c>
      <c r="BF18" t="str">
        <f>"86.61"</f>
        <v>86.61</v>
      </c>
      <c r="BG18" t="str">
        <f>"41.34"</f>
        <v>41.34</v>
      </c>
      <c r="BH18" t="str">
        <f>"29.92"</f>
        <v>29.92</v>
      </c>
      <c r="BI18" t="str">
        <f>"158.95"</f>
        <v>158.95</v>
      </c>
      <c r="BY18" t="str">
        <f>"62.01"</f>
        <v>62.01</v>
      </c>
      <c r="BZ18" t="str">
        <f>"1.756"</f>
        <v>1.756</v>
      </c>
      <c r="CA18" t="s">
        <v>431</v>
      </c>
      <c r="CH18" t="s">
        <v>822</v>
      </c>
      <c r="CI18" t="s">
        <v>797</v>
      </c>
      <c r="CJ18" t="s">
        <v>823</v>
      </c>
      <c r="CK18" t="s">
        <v>600</v>
      </c>
      <c r="CL18" t="s">
        <v>791</v>
      </c>
      <c r="CM18" t="s">
        <v>823</v>
      </c>
      <c r="CN18">
        <v>0</v>
      </c>
      <c r="CO18">
        <v>2</v>
      </c>
      <c r="CP18" t="s">
        <v>437</v>
      </c>
      <c r="CQ18" t="s">
        <v>631</v>
      </c>
      <c r="CU18" t="s">
        <v>824</v>
      </c>
      <c r="CX18" t="s">
        <v>403</v>
      </c>
      <c r="CY18" t="s">
        <v>400</v>
      </c>
      <c r="CZ18">
        <v>0</v>
      </c>
      <c r="DD18">
        <v>25000</v>
      </c>
      <c r="DE18" t="s">
        <v>570</v>
      </c>
      <c r="DF18" t="s">
        <v>406</v>
      </c>
      <c r="DG18" t="s">
        <v>407</v>
      </c>
      <c r="DH18">
        <v>1</v>
      </c>
      <c r="DI18">
        <v>4</v>
      </c>
      <c r="DK18" t="s">
        <v>825</v>
      </c>
      <c r="DL18">
        <v>0</v>
      </c>
      <c r="DM18" t="s">
        <v>795</v>
      </c>
      <c r="DN18" t="s">
        <v>600</v>
      </c>
      <c r="DO18" t="s">
        <v>446</v>
      </c>
      <c r="DP18" t="s">
        <v>826</v>
      </c>
      <c r="DT18" t="s">
        <v>448</v>
      </c>
      <c r="DU18" t="s">
        <v>448</v>
      </c>
      <c r="DV18" t="s">
        <v>474</v>
      </c>
      <c r="DW18" t="s">
        <v>443</v>
      </c>
      <c r="DX18" t="s">
        <v>827</v>
      </c>
      <c r="DY18" t="s">
        <v>828</v>
      </c>
      <c r="DZ18" t="s">
        <v>829</v>
      </c>
      <c r="EA18" t="s">
        <v>830</v>
      </c>
      <c r="ED18" t="s">
        <v>406</v>
      </c>
      <c r="EE18" t="s">
        <v>407</v>
      </c>
      <c r="EF18" t="s">
        <v>831</v>
      </c>
      <c r="EG18" t="s">
        <v>641</v>
      </c>
      <c r="ET18" t="s">
        <v>832</v>
      </c>
    </row>
    <row r="19" spans="1:193" x14ac:dyDescent="0.25">
      <c r="A19" t="s">
        <v>833</v>
      </c>
      <c r="B19" t="str">
        <f>"801542719517"</f>
        <v>801542719517</v>
      </c>
      <c r="C19" t="s">
        <v>834</v>
      </c>
      <c r="D19" t="s">
        <v>835</v>
      </c>
      <c r="E19" t="s">
        <v>515</v>
      </c>
      <c r="F19" t="s">
        <v>516</v>
      </c>
      <c r="G19" t="str">
        <f>"28.5"</f>
        <v>28.5</v>
      </c>
      <c r="H19" t="str">
        <f>"36"</f>
        <v>36</v>
      </c>
      <c r="I19" t="str">
        <f>"33"</f>
        <v>33</v>
      </c>
      <c r="J19" t="str">
        <f>"44.09"</f>
        <v>44.09</v>
      </c>
      <c r="K19" t="s">
        <v>836</v>
      </c>
      <c r="L19" t="s">
        <v>837</v>
      </c>
      <c r="M19" t="s">
        <v>838</v>
      </c>
      <c r="N19" t="s">
        <v>839</v>
      </c>
      <c r="O19" t="s">
        <v>840</v>
      </c>
      <c r="P19" t="s">
        <v>555</v>
      </c>
      <c r="Q19" t="s">
        <v>519</v>
      </c>
      <c r="T19" t="s">
        <v>402</v>
      </c>
      <c r="U19" t="s">
        <v>402</v>
      </c>
      <c r="V19" t="s">
        <v>841</v>
      </c>
      <c r="W19" t="s">
        <v>842</v>
      </c>
      <c r="X19" t="s">
        <v>843</v>
      </c>
      <c r="Y19" t="s">
        <v>844</v>
      </c>
      <c r="Z19" t="s">
        <v>845</v>
      </c>
      <c r="AA19" t="s">
        <v>846</v>
      </c>
      <c r="AB19" t="s">
        <v>847</v>
      </c>
      <c r="AC19" t="s">
        <v>848</v>
      </c>
      <c r="AD19" t="s">
        <v>849</v>
      </c>
      <c r="AE19" t="s">
        <v>850</v>
      </c>
      <c r="AF19" t="s">
        <v>851</v>
      </c>
      <c r="AG19" t="s">
        <v>852</v>
      </c>
      <c r="AH19" t="s">
        <v>853</v>
      </c>
      <c r="AI19" t="s">
        <v>854</v>
      </c>
      <c r="BA19" t="str">
        <f>"1449"</f>
        <v>1449</v>
      </c>
      <c r="BB19" t="str">
        <f>"610"</f>
        <v>610</v>
      </c>
      <c r="BC19" t="s">
        <v>388</v>
      </c>
      <c r="BD19" t="str">
        <f t="shared" si="0"/>
        <v>1</v>
      </c>
      <c r="BE19" t="s">
        <v>389</v>
      </c>
      <c r="BF19" t="str">
        <f>"40.16"</f>
        <v>40.16</v>
      </c>
      <c r="BG19" t="str">
        <f>"33.86"</f>
        <v>33.86</v>
      </c>
      <c r="BH19" t="str">
        <f>"31.5"</f>
        <v>31.5</v>
      </c>
      <c r="BI19" t="str">
        <f>"66.58"</f>
        <v>66.58</v>
      </c>
      <c r="BY19" t="str">
        <f>"24.79"</f>
        <v>24.79</v>
      </c>
      <c r="BZ19" t="str">
        <f>"0.702"</f>
        <v>0.702</v>
      </c>
      <c r="CA19" t="s">
        <v>495</v>
      </c>
      <c r="CH19" t="s">
        <v>855</v>
      </c>
      <c r="CI19" t="s">
        <v>797</v>
      </c>
      <c r="CJ19" t="s">
        <v>638</v>
      </c>
      <c r="CK19" t="s">
        <v>856</v>
      </c>
      <c r="CL19" t="s">
        <v>602</v>
      </c>
      <c r="CN19">
        <v>0</v>
      </c>
      <c r="CO19">
        <v>1</v>
      </c>
      <c r="CP19" t="s">
        <v>437</v>
      </c>
      <c r="CQ19" t="s">
        <v>631</v>
      </c>
      <c r="CU19" t="s">
        <v>793</v>
      </c>
      <c r="CX19" t="s">
        <v>403</v>
      </c>
      <c r="CY19" t="s">
        <v>400</v>
      </c>
      <c r="CZ19">
        <v>0</v>
      </c>
      <c r="DD19">
        <v>25000</v>
      </c>
      <c r="DE19" t="s">
        <v>570</v>
      </c>
      <c r="DF19" t="s">
        <v>406</v>
      </c>
      <c r="DG19" t="s">
        <v>407</v>
      </c>
      <c r="DH19">
        <v>1</v>
      </c>
      <c r="DI19">
        <v>1</v>
      </c>
      <c r="DK19" t="s">
        <v>857</v>
      </c>
      <c r="DL19">
        <v>0</v>
      </c>
      <c r="DM19" t="s">
        <v>538</v>
      </c>
      <c r="DN19" t="s">
        <v>858</v>
      </c>
      <c r="DO19" t="s">
        <v>447</v>
      </c>
      <c r="DP19" t="s">
        <v>859</v>
      </c>
      <c r="DT19" t="s">
        <v>827</v>
      </c>
      <c r="DU19" t="s">
        <v>797</v>
      </c>
      <c r="DV19" t="s">
        <v>511</v>
      </c>
      <c r="DW19" t="s">
        <v>600</v>
      </c>
      <c r="DX19" t="s">
        <v>635</v>
      </c>
      <c r="DY19" t="s">
        <v>860</v>
      </c>
      <c r="DZ19" t="s">
        <v>638</v>
      </c>
      <c r="EA19" t="s">
        <v>613</v>
      </c>
      <c r="ED19" t="s">
        <v>406</v>
      </c>
      <c r="EE19" t="s">
        <v>407</v>
      </c>
      <c r="EF19" t="s">
        <v>831</v>
      </c>
      <c r="EG19" t="s">
        <v>615</v>
      </c>
      <c r="EP19" t="s">
        <v>600</v>
      </c>
      <c r="EQ19" t="s">
        <v>638</v>
      </c>
      <c r="ER19">
        <v>0</v>
      </c>
      <c r="ES19">
        <v>0</v>
      </c>
      <c r="EU19">
        <v>0</v>
      </c>
    </row>
    <row r="20" spans="1:193" x14ac:dyDescent="0.25">
      <c r="A20" t="s">
        <v>861</v>
      </c>
      <c r="B20" t="str">
        <f>"801542737559"</f>
        <v>801542737559</v>
      </c>
      <c r="C20" t="s">
        <v>862</v>
      </c>
      <c r="D20" t="s">
        <v>835</v>
      </c>
      <c r="E20" t="s">
        <v>515</v>
      </c>
      <c r="F20" t="s">
        <v>516</v>
      </c>
      <c r="G20" t="str">
        <f>"28.5"</f>
        <v>28.5</v>
      </c>
      <c r="H20" t="str">
        <f>"36"</f>
        <v>36</v>
      </c>
      <c r="I20" t="str">
        <f>"33"</f>
        <v>33</v>
      </c>
      <c r="J20" t="str">
        <f>"44.09"</f>
        <v>44.09</v>
      </c>
      <c r="K20" t="s">
        <v>863</v>
      </c>
      <c r="L20" t="s">
        <v>837</v>
      </c>
      <c r="M20" t="s">
        <v>838</v>
      </c>
      <c r="N20" t="s">
        <v>416</v>
      </c>
      <c r="O20" t="s">
        <v>555</v>
      </c>
      <c r="P20" t="s">
        <v>519</v>
      </c>
      <c r="T20" t="s">
        <v>373</v>
      </c>
      <c r="U20" t="s">
        <v>373</v>
      </c>
      <c r="V20" t="s">
        <v>864</v>
      </c>
      <c r="W20" t="s">
        <v>865</v>
      </c>
      <c r="X20" t="s">
        <v>866</v>
      </c>
      <c r="Y20" t="s">
        <v>867</v>
      </c>
      <c r="Z20" t="s">
        <v>868</v>
      </c>
      <c r="AA20" t="s">
        <v>869</v>
      </c>
      <c r="AB20" t="s">
        <v>870</v>
      </c>
      <c r="AC20" t="s">
        <v>871</v>
      </c>
      <c r="AD20" t="s">
        <v>872</v>
      </c>
      <c r="AE20" t="s">
        <v>873</v>
      </c>
      <c r="AF20" t="s">
        <v>874</v>
      </c>
      <c r="BA20" t="str">
        <f>"1999"</f>
        <v>1999</v>
      </c>
      <c r="BB20" t="str">
        <f>"840"</f>
        <v>840</v>
      </c>
      <c r="BC20" t="s">
        <v>388</v>
      </c>
      <c r="BD20" t="str">
        <f t="shared" si="0"/>
        <v>1</v>
      </c>
      <c r="BE20" t="s">
        <v>389</v>
      </c>
      <c r="BF20" t="str">
        <f>"40.16"</f>
        <v>40.16</v>
      </c>
      <c r="BG20" t="str">
        <f>"33.86"</f>
        <v>33.86</v>
      </c>
      <c r="BH20" t="str">
        <f>"31.5"</f>
        <v>31.5</v>
      </c>
      <c r="BI20" t="str">
        <f>"66.58"</f>
        <v>66.58</v>
      </c>
      <c r="BY20" t="str">
        <f>"24.79"</f>
        <v>24.79</v>
      </c>
      <c r="BZ20" t="str">
        <f>"0.702"</f>
        <v>0.702</v>
      </c>
      <c r="CA20" t="s">
        <v>495</v>
      </c>
      <c r="CH20" t="s">
        <v>855</v>
      </c>
      <c r="CI20" t="s">
        <v>797</v>
      </c>
      <c r="CJ20" t="s">
        <v>638</v>
      </c>
      <c r="CK20" t="s">
        <v>856</v>
      </c>
      <c r="CL20" t="s">
        <v>602</v>
      </c>
      <c r="CN20">
        <v>0</v>
      </c>
      <c r="CO20">
        <v>1</v>
      </c>
      <c r="CP20" t="s">
        <v>437</v>
      </c>
      <c r="CQ20" t="s">
        <v>438</v>
      </c>
      <c r="CU20" t="s">
        <v>793</v>
      </c>
      <c r="CX20" t="s">
        <v>403</v>
      </c>
      <c r="CY20" t="s">
        <v>400</v>
      </c>
      <c r="CZ20">
        <v>0</v>
      </c>
      <c r="DD20">
        <v>0</v>
      </c>
      <c r="DE20" t="s">
        <v>570</v>
      </c>
      <c r="DF20" t="s">
        <v>406</v>
      </c>
      <c r="DG20" t="s">
        <v>407</v>
      </c>
      <c r="DH20">
        <v>1</v>
      </c>
      <c r="DI20">
        <v>1</v>
      </c>
      <c r="DK20" t="s">
        <v>857</v>
      </c>
      <c r="DL20">
        <v>0</v>
      </c>
      <c r="DM20" t="s">
        <v>538</v>
      </c>
      <c r="DN20" t="s">
        <v>858</v>
      </c>
      <c r="DO20" t="s">
        <v>447</v>
      </c>
      <c r="DP20" t="s">
        <v>859</v>
      </c>
      <c r="DT20" t="s">
        <v>827</v>
      </c>
      <c r="DU20" t="s">
        <v>797</v>
      </c>
      <c r="DV20" t="s">
        <v>511</v>
      </c>
      <c r="DW20" t="s">
        <v>600</v>
      </c>
      <c r="DX20" t="s">
        <v>635</v>
      </c>
      <c r="DY20" t="s">
        <v>860</v>
      </c>
      <c r="DZ20" t="s">
        <v>638</v>
      </c>
      <c r="EA20" t="s">
        <v>613</v>
      </c>
      <c r="ED20" t="s">
        <v>406</v>
      </c>
      <c r="EE20" t="s">
        <v>407</v>
      </c>
      <c r="EF20" t="s">
        <v>831</v>
      </c>
      <c r="EG20" t="s">
        <v>615</v>
      </c>
      <c r="EP20" t="s">
        <v>600</v>
      </c>
      <c r="EQ20" t="s">
        <v>638</v>
      </c>
      <c r="ER20">
        <v>0</v>
      </c>
      <c r="ES20">
        <v>0</v>
      </c>
      <c r="EU20">
        <v>0</v>
      </c>
    </row>
    <row r="21" spans="1:193" x14ac:dyDescent="0.25">
      <c r="A21" t="s">
        <v>875</v>
      </c>
      <c r="B21" t="str">
        <f>"801542672416"</f>
        <v>801542672416</v>
      </c>
      <c r="C21" t="s">
        <v>876</v>
      </c>
      <c r="D21" t="s">
        <v>835</v>
      </c>
      <c r="E21" t="s">
        <v>515</v>
      </c>
      <c r="F21" t="s">
        <v>516</v>
      </c>
      <c r="G21" t="str">
        <f>"28.5"</f>
        <v>28.5</v>
      </c>
      <c r="H21" t="str">
        <f>"36"</f>
        <v>36</v>
      </c>
      <c r="I21" t="str">
        <f>"33"</f>
        <v>33</v>
      </c>
      <c r="J21" t="str">
        <f>"44.09"</f>
        <v>44.09</v>
      </c>
      <c r="K21" t="s">
        <v>877</v>
      </c>
      <c r="L21" t="s">
        <v>837</v>
      </c>
      <c r="M21" t="s">
        <v>585</v>
      </c>
      <c r="N21" t="s">
        <v>878</v>
      </c>
      <c r="O21" t="s">
        <v>879</v>
      </c>
      <c r="P21" t="s">
        <v>555</v>
      </c>
      <c r="Q21" t="s">
        <v>775</v>
      </c>
      <c r="T21" t="s">
        <v>373</v>
      </c>
      <c r="U21" t="s">
        <v>373</v>
      </c>
      <c r="V21" t="s">
        <v>880</v>
      </c>
      <c r="W21" t="s">
        <v>881</v>
      </c>
      <c r="X21" t="s">
        <v>882</v>
      </c>
      <c r="Y21" t="s">
        <v>883</v>
      </c>
      <c r="Z21" t="s">
        <v>884</v>
      </c>
      <c r="AA21" t="s">
        <v>885</v>
      </c>
      <c r="AB21" t="s">
        <v>886</v>
      </c>
      <c r="AC21" t="s">
        <v>887</v>
      </c>
      <c r="AD21" t="s">
        <v>888</v>
      </c>
      <c r="AE21" t="s">
        <v>889</v>
      </c>
      <c r="AF21" t="s">
        <v>890</v>
      </c>
      <c r="AG21" t="s">
        <v>891</v>
      </c>
      <c r="AH21" t="s">
        <v>892</v>
      </c>
      <c r="AI21" t="s">
        <v>893</v>
      </c>
      <c r="BA21" t="str">
        <f>"1449"</f>
        <v>1449</v>
      </c>
      <c r="BB21" t="str">
        <f>"610"</f>
        <v>610</v>
      </c>
      <c r="BC21" t="s">
        <v>388</v>
      </c>
      <c r="BD21" t="str">
        <f t="shared" si="0"/>
        <v>1</v>
      </c>
      <c r="BE21" t="s">
        <v>389</v>
      </c>
      <c r="BF21" t="str">
        <f>"37.8"</f>
        <v>37.8</v>
      </c>
      <c r="BG21" t="str">
        <f>"31.5"</f>
        <v>31.5</v>
      </c>
      <c r="BH21" t="str">
        <f>"32.28"</f>
        <v>32.28</v>
      </c>
      <c r="BI21" t="str">
        <f>"70.33"</f>
        <v>70.33</v>
      </c>
      <c r="BY21" t="str">
        <f>"22.25"</f>
        <v>22.25</v>
      </c>
      <c r="BZ21" t="str">
        <f>"0.63"</f>
        <v>0.63</v>
      </c>
      <c r="CA21" t="s">
        <v>431</v>
      </c>
      <c r="CH21" t="s">
        <v>855</v>
      </c>
      <c r="CI21" t="s">
        <v>797</v>
      </c>
      <c r="CJ21" t="s">
        <v>638</v>
      </c>
      <c r="CK21" t="s">
        <v>856</v>
      </c>
      <c r="CL21" t="s">
        <v>602</v>
      </c>
      <c r="CN21">
        <v>0</v>
      </c>
      <c r="CO21">
        <v>1</v>
      </c>
      <c r="CP21" t="s">
        <v>437</v>
      </c>
      <c r="CQ21" t="s">
        <v>631</v>
      </c>
      <c r="CU21" t="s">
        <v>793</v>
      </c>
      <c r="CX21" t="s">
        <v>403</v>
      </c>
      <c r="CY21" t="s">
        <v>400</v>
      </c>
      <c r="CZ21">
        <v>0</v>
      </c>
      <c r="DD21">
        <v>25000</v>
      </c>
      <c r="DE21" t="s">
        <v>570</v>
      </c>
      <c r="DF21" t="s">
        <v>406</v>
      </c>
      <c r="DG21" t="s">
        <v>407</v>
      </c>
      <c r="DH21">
        <v>1</v>
      </c>
      <c r="DI21">
        <v>1</v>
      </c>
      <c r="DK21" t="s">
        <v>857</v>
      </c>
      <c r="DL21">
        <v>0</v>
      </c>
      <c r="DM21" t="s">
        <v>538</v>
      </c>
      <c r="DN21" t="s">
        <v>858</v>
      </c>
      <c r="DO21" t="s">
        <v>447</v>
      </c>
      <c r="DP21" t="s">
        <v>859</v>
      </c>
      <c r="DT21" t="s">
        <v>827</v>
      </c>
      <c r="DU21" t="s">
        <v>797</v>
      </c>
      <c r="DV21" t="s">
        <v>511</v>
      </c>
      <c r="DW21" t="s">
        <v>600</v>
      </c>
      <c r="DX21" t="s">
        <v>635</v>
      </c>
      <c r="DY21" t="s">
        <v>860</v>
      </c>
      <c r="DZ21" t="s">
        <v>638</v>
      </c>
      <c r="EA21" t="s">
        <v>613</v>
      </c>
      <c r="ED21" t="s">
        <v>406</v>
      </c>
      <c r="EE21" t="s">
        <v>407</v>
      </c>
      <c r="EF21" t="s">
        <v>831</v>
      </c>
      <c r="EG21" t="s">
        <v>615</v>
      </c>
      <c r="EP21" t="s">
        <v>600</v>
      </c>
      <c r="EQ21" t="s">
        <v>638</v>
      </c>
      <c r="ER21">
        <v>0</v>
      </c>
      <c r="ES21">
        <v>0</v>
      </c>
      <c r="EU21">
        <v>0</v>
      </c>
    </row>
    <row r="22" spans="1:193" x14ac:dyDescent="0.25">
      <c r="A22" t="s">
        <v>894</v>
      </c>
      <c r="B22" t="str">
        <f>"801542032005"</f>
        <v>801542032005</v>
      </c>
      <c r="C22" t="s">
        <v>895</v>
      </c>
      <c r="D22" t="s">
        <v>835</v>
      </c>
      <c r="E22" t="s">
        <v>515</v>
      </c>
      <c r="F22" t="s">
        <v>516</v>
      </c>
      <c r="G22" t="str">
        <f>"28.5"</f>
        <v>28.5</v>
      </c>
      <c r="H22" t="str">
        <f>"36"</f>
        <v>36</v>
      </c>
      <c r="I22" t="str">
        <f>"33"</f>
        <v>33</v>
      </c>
      <c r="J22" t="str">
        <f>"44.09"</f>
        <v>44.09</v>
      </c>
      <c r="K22" t="s">
        <v>414</v>
      </c>
      <c r="L22" t="s">
        <v>837</v>
      </c>
      <c r="M22" t="s">
        <v>838</v>
      </c>
      <c r="N22" t="s">
        <v>416</v>
      </c>
      <c r="O22" t="s">
        <v>555</v>
      </c>
      <c r="P22" t="s">
        <v>519</v>
      </c>
      <c r="T22" t="s">
        <v>373</v>
      </c>
      <c r="U22" t="s">
        <v>373</v>
      </c>
      <c r="V22" t="s">
        <v>896</v>
      </c>
      <c r="W22" t="s">
        <v>897</v>
      </c>
      <c r="X22" t="s">
        <v>898</v>
      </c>
      <c r="Y22" t="s">
        <v>899</v>
      </c>
      <c r="Z22" t="s">
        <v>900</v>
      </c>
      <c r="AA22" t="s">
        <v>901</v>
      </c>
      <c r="AB22" t="s">
        <v>902</v>
      </c>
      <c r="AC22" t="s">
        <v>903</v>
      </c>
      <c r="AD22" t="s">
        <v>904</v>
      </c>
      <c r="AE22" t="s">
        <v>905</v>
      </c>
      <c r="AF22" t="s">
        <v>906</v>
      </c>
      <c r="AG22" t="s">
        <v>907</v>
      </c>
      <c r="AH22" t="s">
        <v>908</v>
      </c>
      <c r="BA22" t="str">
        <f>"1999"</f>
        <v>1999</v>
      </c>
      <c r="BB22" t="str">
        <f>"840"</f>
        <v>840</v>
      </c>
      <c r="BC22" t="s">
        <v>388</v>
      </c>
      <c r="BD22" t="str">
        <f t="shared" si="0"/>
        <v>1</v>
      </c>
      <c r="BE22" t="s">
        <v>389</v>
      </c>
      <c r="BF22" t="str">
        <f>"40.16"</f>
        <v>40.16</v>
      </c>
      <c r="BG22" t="str">
        <f>"33.86"</f>
        <v>33.86</v>
      </c>
      <c r="BH22" t="str">
        <f>"31.5"</f>
        <v>31.5</v>
      </c>
      <c r="BI22" t="str">
        <f>"66.58"</f>
        <v>66.58</v>
      </c>
      <c r="BY22" t="str">
        <f>"24.79"</f>
        <v>24.79</v>
      </c>
      <c r="BZ22" t="str">
        <f>"0.702"</f>
        <v>0.702</v>
      </c>
      <c r="CA22" t="s">
        <v>431</v>
      </c>
      <c r="CH22" t="s">
        <v>855</v>
      </c>
      <c r="CI22" t="s">
        <v>797</v>
      </c>
      <c r="CJ22" t="s">
        <v>638</v>
      </c>
      <c r="CK22" t="s">
        <v>856</v>
      </c>
      <c r="CL22" t="s">
        <v>602</v>
      </c>
      <c r="CN22">
        <v>0</v>
      </c>
      <c r="CO22">
        <v>1</v>
      </c>
      <c r="CP22" t="s">
        <v>437</v>
      </c>
      <c r="CQ22" t="s">
        <v>438</v>
      </c>
      <c r="CU22" t="s">
        <v>793</v>
      </c>
      <c r="CX22" t="s">
        <v>403</v>
      </c>
      <c r="CY22" t="s">
        <v>400</v>
      </c>
      <c r="CZ22">
        <v>0</v>
      </c>
      <c r="DD22">
        <v>0</v>
      </c>
      <c r="DE22" t="s">
        <v>570</v>
      </c>
      <c r="DF22" t="s">
        <v>406</v>
      </c>
      <c r="DG22" t="s">
        <v>407</v>
      </c>
      <c r="DH22">
        <v>1</v>
      </c>
      <c r="DI22">
        <v>1</v>
      </c>
      <c r="DK22" t="s">
        <v>857</v>
      </c>
      <c r="DL22">
        <v>0</v>
      </c>
      <c r="DM22" t="s">
        <v>538</v>
      </c>
      <c r="DN22" t="s">
        <v>858</v>
      </c>
      <c r="DO22" t="s">
        <v>447</v>
      </c>
      <c r="DP22" t="s">
        <v>859</v>
      </c>
      <c r="DT22" t="s">
        <v>827</v>
      </c>
      <c r="DU22" t="s">
        <v>797</v>
      </c>
      <c r="DV22" t="s">
        <v>511</v>
      </c>
      <c r="DW22" t="s">
        <v>600</v>
      </c>
      <c r="DX22" t="s">
        <v>635</v>
      </c>
      <c r="DY22" t="s">
        <v>860</v>
      </c>
      <c r="DZ22" t="s">
        <v>638</v>
      </c>
      <c r="EA22" t="s">
        <v>613</v>
      </c>
      <c r="ED22" t="s">
        <v>406</v>
      </c>
      <c r="EE22" t="s">
        <v>407</v>
      </c>
      <c r="EF22" t="s">
        <v>831</v>
      </c>
      <c r="EG22" t="s">
        <v>615</v>
      </c>
      <c r="EP22" t="s">
        <v>600</v>
      </c>
      <c r="EQ22" t="s">
        <v>638</v>
      </c>
      <c r="ER22">
        <v>0</v>
      </c>
      <c r="ES22">
        <v>0</v>
      </c>
      <c r="EU22">
        <v>0</v>
      </c>
    </row>
    <row r="23" spans="1:193" x14ac:dyDescent="0.25">
      <c r="A23" t="s">
        <v>909</v>
      </c>
      <c r="B23" t="str">
        <f>"198394062695"</f>
        <v>198394062695</v>
      </c>
      <c r="C23" t="s">
        <v>910</v>
      </c>
      <c r="D23" t="s">
        <v>835</v>
      </c>
      <c r="E23" t="s">
        <v>515</v>
      </c>
      <c r="F23" t="s">
        <v>516</v>
      </c>
      <c r="G23" t="str">
        <f>"28.5"</f>
        <v>28.5</v>
      </c>
      <c r="H23" t="str">
        <f>"36"</f>
        <v>36</v>
      </c>
      <c r="I23" t="str">
        <f>"33"</f>
        <v>33</v>
      </c>
      <c r="J23" t="str">
        <f>"44.09"</f>
        <v>44.09</v>
      </c>
      <c r="K23" t="s">
        <v>911</v>
      </c>
      <c r="L23" t="s">
        <v>837</v>
      </c>
      <c r="M23" t="s">
        <v>838</v>
      </c>
      <c r="N23" t="s">
        <v>912</v>
      </c>
      <c r="O23" t="s">
        <v>913</v>
      </c>
      <c r="P23" t="s">
        <v>555</v>
      </c>
      <c r="Q23" t="s">
        <v>519</v>
      </c>
      <c r="T23" t="s">
        <v>402</v>
      </c>
      <c r="U23" t="s">
        <v>402</v>
      </c>
      <c r="V23" t="s">
        <v>914</v>
      </c>
      <c r="W23" t="s">
        <v>915</v>
      </c>
      <c r="X23" t="s">
        <v>916</v>
      </c>
      <c r="Y23" t="s">
        <v>917</v>
      </c>
      <c r="Z23" t="s">
        <v>918</v>
      </c>
      <c r="AA23" t="s">
        <v>919</v>
      </c>
      <c r="AB23" t="s">
        <v>920</v>
      </c>
      <c r="AC23" t="s">
        <v>921</v>
      </c>
      <c r="AD23" t="s">
        <v>922</v>
      </c>
      <c r="AE23" t="s">
        <v>923</v>
      </c>
      <c r="AF23" t="s">
        <v>924</v>
      </c>
      <c r="AG23" t="s">
        <v>925</v>
      </c>
      <c r="AH23" t="s">
        <v>926</v>
      </c>
      <c r="BA23" t="str">
        <f>"1449"</f>
        <v>1449</v>
      </c>
      <c r="BB23" t="str">
        <f>"610"</f>
        <v>610</v>
      </c>
      <c r="BC23" t="s">
        <v>388</v>
      </c>
      <c r="BD23" t="str">
        <f t="shared" si="0"/>
        <v>1</v>
      </c>
      <c r="BE23" t="s">
        <v>389</v>
      </c>
      <c r="BF23" t="str">
        <f>"40.16"</f>
        <v>40.16</v>
      </c>
      <c r="BG23" t="str">
        <f>"33.86"</f>
        <v>33.86</v>
      </c>
      <c r="BH23" t="str">
        <f>"31.5"</f>
        <v>31.5</v>
      </c>
      <c r="BI23" t="str">
        <f>"66.58"</f>
        <v>66.58</v>
      </c>
      <c r="BY23" t="str">
        <f>"24.79"</f>
        <v>24.79</v>
      </c>
      <c r="BZ23" t="str">
        <f>"0.702"</f>
        <v>0.702</v>
      </c>
      <c r="CA23" t="s">
        <v>431</v>
      </c>
      <c r="CH23" t="s">
        <v>855</v>
      </c>
      <c r="CI23" t="s">
        <v>797</v>
      </c>
      <c r="CJ23" t="s">
        <v>638</v>
      </c>
      <c r="CK23" t="s">
        <v>856</v>
      </c>
      <c r="CL23" t="s">
        <v>602</v>
      </c>
      <c r="CN23">
        <v>0</v>
      </c>
      <c r="CO23">
        <v>1</v>
      </c>
      <c r="CP23" t="s">
        <v>437</v>
      </c>
      <c r="CQ23" t="s">
        <v>399</v>
      </c>
      <c r="CU23" t="s">
        <v>793</v>
      </c>
      <c r="CX23" t="s">
        <v>403</v>
      </c>
      <c r="CY23" t="s">
        <v>400</v>
      </c>
      <c r="CZ23">
        <v>0</v>
      </c>
      <c r="DD23">
        <v>50000</v>
      </c>
      <c r="DE23" t="s">
        <v>570</v>
      </c>
      <c r="DF23" t="s">
        <v>406</v>
      </c>
      <c r="DG23" t="s">
        <v>407</v>
      </c>
      <c r="DH23">
        <v>1</v>
      </c>
      <c r="DI23">
        <v>1</v>
      </c>
      <c r="DK23" t="s">
        <v>857</v>
      </c>
      <c r="DL23">
        <v>0</v>
      </c>
      <c r="DM23" t="s">
        <v>538</v>
      </c>
      <c r="DN23" t="s">
        <v>858</v>
      </c>
      <c r="DO23" t="s">
        <v>447</v>
      </c>
      <c r="DP23" t="s">
        <v>859</v>
      </c>
      <c r="DT23" t="s">
        <v>827</v>
      </c>
      <c r="DU23" t="s">
        <v>797</v>
      </c>
      <c r="DV23" t="s">
        <v>511</v>
      </c>
      <c r="DW23" t="s">
        <v>600</v>
      </c>
      <c r="DX23" t="s">
        <v>635</v>
      </c>
      <c r="DY23" t="s">
        <v>860</v>
      </c>
      <c r="DZ23" t="s">
        <v>638</v>
      </c>
      <c r="EA23" t="s">
        <v>613</v>
      </c>
      <c r="ED23" t="s">
        <v>406</v>
      </c>
      <c r="EE23" t="s">
        <v>407</v>
      </c>
      <c r="EF23" t="s">
        <v>831</v>
      </c>
      <c r="EG23" t="s">
        <v>615</v>
      </c>
      <c r="EP23" t="s">
        <v>600</v>
      </c>
      <c r="EQ23" t="s">
        <v>638</v>
      </c>
      <c r="ER23">
        <v>0</v>
      </c>
      <c r="ES23">
        <v>0</v>
      </c>
      <c r="EU23">
        <v>0</v>
      </c>
    </row>
    <row r="24" spans="1:193" x14ac:dyDescent="0.25">
      <c r="A24" t="s">
        <v>927</v>
      </c>
      <c r="B24" t="str">
        <f>"801542882655"</f>
        <v>801542882655</v>
      </c>
      <c r="C24" t="s">
        <v>928</v>
      </c>
      <c r="D24" t="s">
        <v>929</v>
      </c>
      <c r="E24" t="s">
        <v>930</v>
      </c>
      <c r="G24" t="str">
        <f>"69"</f>
        <v>69</v>
      </c>
      <c r="H24" t="str">
        <f>"16"</f>
        <v>16</v>
      </c>
      <c r="I24" t="str">
        <f>"30"</f>
        <v>30</v>
      </c>
      <c r="J24" t="str">
        <f>"114.62"</f>
        <v>114.62</v>
      </c>
      <c r="K24" t="s">
        <v>931</v>
      </c>
      <c r="L24" t="s">
        <v>837</v>
      </c>
      <c r="M24" t="s">
        <v>932</v>
      </c>
      <c r="N24" t="s">
        <v>933</v>
      </c>
      <c r="O24" t="s">
        <v>555</v>
      </c>
      <c r="T24" t="s">
        <v>373</v>
      </c>
      <c r="U24" t="s">
        <v>373</v>
      </c>
      <c r="V24" t="s">
        <v>934</v>
      </c>
      <c r="W24" t="s">
        <v>935</v>
      </c>
      <c r="X24" t="s">
        <v>936</v>
      </c>
      <c r="Y24" t="s">
        <v>937</v>
      </c>
      <c r="Z24" t="s">
        <v>938</v>
      </c>
      <c r="AA24" t="s">
        <v>939</v>
      </c>
      <c r="AB24" t="s">
        <v>940</v>
      </c>
      <c r="AC24" t="s">
        <v>941</v>
      </c>
      <c r="AD24" t="s">
        <v>942</v>
      </c>
      <c r="AE24" t="s">
        <v>943</v>
      </c>
      <c r="AF24" t="s">
        <v>944</v>
      </c>
      <c r="AG24" t="s">
        <v>945</v>
      </c>
      <c r="AH24" t="s">
        <v>946</v>
      </c>
      <c r="AI24" t="s">
        <v>947</v>
      </c>
      <c r="AJ24" t="s">
        <v>948</v>
      </c>
      <c r="BA24" t="str">
        <f>"1699"</f>
        <v>1699</v>
      </c>
      <c r="BB24" t="str">
        <f>"715"</f>
        <v>715</v>
      </c>
      <c r="BC24" t="s">
        <v>949</v>
      </c>
      <c r="BD24" t="str">
        <f t="shared" si="0"/>
        <v>1</v>
      </c>
      <c r="BE24" t="s">
        <v>389</v>
      </c>
      <c r="BF24" t="str">
        <f>"74"</f>
        <v>74</v>
      </c>
      <c r="BG24" t="str">
        <f>"21"</f>
        <v>21</v>
      </c>
      <c r="BH24" t="str">
        <f>"34.75"</f>
        <v>34.75</v>
      </c>
      <c r="BI24" t="str">
        <f>"168.63"</f>
        <v>168.63</v>
      </c>
      <c r="BY24" t="str">
        <f>"31.25"</f>
        <v>31.25</v>
      </c>
      <c r="BZ24" t="str">
        <f>"0.885"</f>
        <v>0.885</v>
      </c>
      <c r="CA24" t="s">
        <v>495</v>
      </c>
      <c r="CE24" t="s">
        <v>950</v>
      </c>
      <c r="CF24" t="s">
        <v>951</v>
      </c>
      <c r="CG24" t="s">
        <v>952</v>
      </c>
      <c r="CR24" t="s">
        <v>400</v>
      </c>
      <c r="CS24">
        <v>0</v>
      </c>
      <c r="CT24" t="s">
        <v>400</v>
      </c>
      <c r="CV24">
        <v>0</v>
      </c>
      <c r="CX24" t="s">
        <v>953</v>
      </c>
      <c r="CY24" t="s">
        <v>954</v>
      </c>
      <c r="DA24">
        <v>20</v>
      </c>
      <c r="DB24">
        <v>44.09</v>
      </c>
      <c r="DC24">
        <v>2</v>
      </c>
      <c r="DK24" t="s">
        <v>955</v>
      </c>
      <c r="DM24" t="s">
        <v>473</v>
      </c>
      <c r="EM24" t="s">
        <v>402</v>
      </c>
      <c r="EN24">
        <v>4</v>
      </c>
      <c r="EZ24" t="s">
        <v>602</v>
      </c>
      <c r="FA24" t="s">
        <v>956</v>
      </c>
      <c r="FB24" t="s">
        <v>957</v>
      </c>
      <c r="FC24" t="s">
        <v>958</v>
      </c>
      <c r="FD24" t="s">
        <v>956</v>
      </c>
      <c r="FE24" t="s">
        <v>952</v>
      </c>
      <c r="FF24">
        <v>0</v>
      </c>
      <c r="FG24" t="s">
        <v>402</v>
      </c>
      <c r="FH24" t="s">
        <v>959</v>
      </c>
      <c r="FI24">
        <v>4</v>
      </c>
      <c r="FJ24" t="s">
        <v>960</v>
      </c>
      <c r="FK24" t="s">
        <v>961</v>
      </c>
      <c r="FL24">
        <v>0</v>
      </c>
      <c r="FM24" t="s">
        <v>402</v>
      </c>
    </row>
    <row r="25" spans="1:193" x14ac:dyDescent="0.25">
      <c r="A25" t="s">
        <v>962</v>
      </c>
      <c r="B25" t="str">
        <f>"801542668389"</f>
        <v>801542668389</v>
      </c>
      <c r="C25" t="s">
        <v>963</v>
      </c>
      <c r="D25" t="s">
        <v>929</v>
      </c>
      <c r="E25" t="s">
        <v>964</v>
      </c>
      <c r="F25" t="s">
        <v>965</v>
      </c>
      <c r="G25" t="str">
        <f>"47"</f>
        <v>47</v>
      </c>
      <c r="H25" t="str">
        <f>"19"</f>
        <v>19</v>
      </c>
      <c r="I25" t="str">
        <f>"78"</f>
        <v>78</v>
      </c>
      <c r="J25" t="str">
        <f>"240.74"</f>
        <v>240.74</v>
      </c>
      <c r="K25" t="s">
        <v>966</v>
      </c>
      <c r="L25" t="s">
        <v>837</v>
      </c>
      <c r="N25" t="s">
        <v>933</v>
      </c>
      <c r="O25" t="s">
        <v>555</v>
      </c>
      <c r="T25" t="s">
        <v>373</v>
      </c>
      <c r="U25" t="s">
        <v>373</v>
      </c>
      <c r="V25" t="s">
        <v>967</v>
      </c>
      <c r="W25" t="s">
        <v>968</v>
      </c>
      <c r="X25" t="s">
        <v>969</v>
      </c>
      <c r="Y25" t="s">
        <v>970</v>
      </c>
      <c r="Z25" t="s">
        <v>971</v>
      </c>
      <c r="AA25" t="s">
        <v>972</v>
      </c>
      <c r="AB25" t="s">
        <v>973</v>
      </c>
      <c r="AC25" t="s">
        <v>974</v>
      </c>
      <c r="AD25" t="s">
        <v>975</v>
      </c>
      <c r="AE25" t="s">
        <v>976</v>
      </c>
      <c r="BA25" t="str">
        <f>"2699"</f>
        <v>2699</v>
      </c>
      <c r="BB25" t="str">
        <f>"1135"</f>
        <v>1135</v>
      </c>
      <c r="BC25" t="s">
        <v>949</v>
      </c>
      <c r="BD25" t="str">
        <f>"2"</f>
        <v>2</v>
      </c>
      <c r="BE25" t="s">
        <v>977</v>
      </c>
      <c r="BF25" t="str">
        <f>"50.75"</f>
        <v>50.75</v>
      </c>
      <c r="BG25" t="str">
        <f>"22"</f>
        <v>22</v>
      </c>
      <c r="BH25" t="str">
        <f>"14"</f>
        <v>14</v>
      </c>
      <c r="BI25" t="str">
        <f>"48.06"</f>
        <v>48.06</v>
      </c>
      <c r="BJ25" t="s">
        <v>978</v>
      </c>
      <c r="BK25" t="str">
        <f>"72"</f>
        <v>72</v>
      </c>
      <c r="BL25" t="str">
        <f>"24"</f>
        <v>24</v>
      </c>
      <c r="BM25" t="str">
        <f>"51.25"</f>
        <v>51.25</v>
      </c>
      <c r="BN25" t="str">
        <f>"253.75"</f>
        <v>253.75</v>
      </c>
      <c r="BY25" t="str">
        <f>"60.28"</f>
        <v>60.28</v>
      </c>
      <c r="BZ25" t="str">
        <f>"1.707"</f>
        <v>1.707</v>
      </c>
      <c r="CA25" t="s">
        <v>495</v>
      </c>
      <c r="CB25" t="s">
        <v>979</v>
      </c>
      <c r="CC25" t="s">
        <v>956</v>
      </c>
      <c r="CD25" t="s">
        <v>980</v>
      </c>
      <c r="CE25" t="s">
        <v>981</v>
      </c>
      <c r="CF25" t="s">
        <v>474</v>
      </c>
      <c r="CG25" t="s">
        <v>980</v>
      </c>
      <c r="CR25" t="s">
        <v>400</v>
      </c>
      <c r="CS25">
        <v>0</v>
      </c>
      <c r="CT25" t="s">
        <v>400</v>
      </c>
      <c r="CV25">
        <v>4</v>
      </c>
      <c r="CW25" t="s">
        <v>402</v>
      </c>
      <c r="CX25" t="s">
        <v>953</v>
      </c>
      <c r="CY25" t="s">
        <v>954</v>
      </c>
      <c r="DA25">
        <v>18.14</v>
      </c>
      <c r="DB25">
        <v>40</v>
      </c>
      <c r="DC25">
        <v>0</v>
      </c>
      <c r="DJ25" t="s">
        <v>982</v>
      </c>
      <c r="DK25" t="s">
        <v>955</v>
      </c>
      <c r="EM25" t="s">
        <v>402</v>
      </c>
      <c r="EN25">
        <v>4</v>
      </c>
      <c r="EZ25" t="s">
        <v>636</v>
      </c>
      <c r="FA25" t="s">
        <v>956</v>
      </c>
      <c r="FB25" t="s">
        <v>603</v>
      </c>
      <c r="FF25">
        <v>0</v>
      </c>
      <c r="FH25" t="s">
        <v>959</v>
      </c>
      <c r="FI25">
        <v>4</v>
      </c>
      <c r="FJ25" t="s">
        <v>960</v>
      </c>
      <c r="FK25" t="s">
        <v>961</v>
      </c>
      <c r="FL25">
        <v>0</v>
      </c>
      <c r="FN25" t="s">
        <v>983</v>
      </c>
      <c r="FO25" t="s">
        <v>984</v>
      </c>
      <c r="FP25" t="s">
        <v>402</v>
      </c>
      <c r="FQ25">
        <v>0</v>
      </c>
    </row>
    <row r="26" spans="1:193" x14ac:dyDescent="0.25">
      <c r="A26" t="s">
        <v>985</v>
      </c>
      <c r="B26" t="str">
        <f>"801542954888"</f>
        <v>801542954888</v>
      </c>
      <c r="C26" t="s">
        <v>986</v>
      </c>
      <c r="D26" t="s">
        <v>987</v>
      </c>
      <c r="E26" t="s">
        <v>988</v>
      </c>
      <c r="G26" t="str">
        <f>"62"</f>
        <v>62</v>
      </c>
      <c r="H26" t="str">
        <f>"18"</f>
        <v>18</v>
      </c>
      <c r="I26" t="str">
        <f>"30"</f>
        <v>30</v>
      </c>
      <c r="J26" t="str">
        <f>"187.83"</f>
        <v>187.83</v>
      </c>
      <c r="K26" t="s">
        <v>989</v>
      </c>
      <c r="N26" t="s">
        <v>372</v>
      </c>
      <c r="T26" t="s">
        <v>373</v>
      </c>
      <c r="U26" t="s">
        <v>373</v>
      </c>
      <c r="V26" t="s">
        <v>990</v>
      </c>
      <c r="W26" t="s">
        <v>991</v>
      </c>
      <c r="X26" t="s">
        <v>992</v>
      </c>
      <c r="Y26" t="s">
        <v>993</v>
      </c>
      <c r="Z26" t="s">
        <v>994</v>
      </c>
      <c r="AA26" t="s">
        <v>995</v>
      </c>
      <c r="AB26" t="s">
        <v>996</v>
      </c>
      <c r="AC26" t="s">
        <v>997</v>
      </c>
      <c r="AD26" t="s">
        <v>998</v>
      </c>
      <c r="AE26" t="s">
        <v>999</v>
      </c>
      <c r="AF26" t="s">
        <v>1000</v>
      </c>
      <c r="AG26" t="s">
        <v>1001</v>
      </c>
      <c r="AH26" t="s">
        <v>1002</v>
      </c>
      <c r="AI26" t="s">
        <v>1003</v>
      </c>
      <c r="AJ26" t="s">
        <v>1004</v>
      </c>
      <c r="AK26" t="s">
        <v>1005</v>
      </c>
      <c r="AL26" t="s">
        <v>1006</v>
      </c>
      <c r="BA26" t="str">
        <f>"1999"</f>
        <v>1999</v>
      </c>
      <c r="BB26" t="str">
        <f>"840"</f>
        <v>840</v>
      </c>
      <c r="BC26" t="s">
        <v>949</v>
      </c>
      <c r="BD26" t="str">
        <f>"1"</f>
        <v>1</v>
      </c>
      <c r="BE26" t="s">
        <v>389</v>
      </c>
      <c r="BF26" t="str">
        <f>"65.25"</f>
        <v>65.25</v>
      </c>
      <c r="BG26" t="str">
        <f>"21.75"</f>
        <v>21.75</v>
      </c>
      <c r="BH26" t="str">
        <f>"24.5"</f>
        <v>24.5</v>
      </c>
      <c r="BI26" t="str">
        <f>"207.45"</f>
        <v>207.45</v>
      </c>
      <c r="BY26" t="str">
        <f>"20.13"</f>
        <v>20.13</v>
      </c>
      <c r="BZ26" t="str">
        <f>"0.57"</f>
        <v>0.57</v>
      </c>
      <c r="CA26" t="s">
        <v>390</v>
      </c>
      <c r="CR26" t="s">
        <v>1007</v>
      </c>
      <c r="CS26">
        <v>6</v>
      </c>
      <c r="CT26" t="s">
        <v>1008</v>
      </c>
      <c r="CV26">
        <v>0</v>
      </c>
      <c r="CX26" t="s">
        <v>667</v>
      </c>
      <c r="CY26" t="s">
        <v>1009</v>
      </c>
      <c r="DC26">
        <v>0</v>
      </c>
      <c r="DJ26" t="s">
        <v>1010</v>
      </c>
      <c r="DK26" t="s">
        <v>1011</v>
      </c>
      <c r="DM26" t="s">
        <v>473</v>
      </c>
      <c r="DX26" t="s">
        <v>830</v>
      </c>
      <c r="EM26" t="s">
        <v>402</v>
      </c>
      <c r="EN26">
        <v>0</v>
      </c>
      <c r="FI26">
        <v>0</v>
      </c>
      <c r="FJ26" t="s">
        <v>1012</v>
      </c>
      <c r="FP26" t="s">
        <v>402</v>
      </c>
      <c r="FR26" t="s">
        <v>1013</v>
      </c>
      <c r="FS26" t="s">
        <v>1013</v>
      </c>
      <c r="FT26" t="s">
        <v>1014</v>
      </c>
      <c r="FU26" t="s">
        <v>1015</v>
      </c>
      <c r="FV26" t="s">
        <v>1016</v>
      </c>
      <c r="FW26" t="s">
        <v>1016</v>
      </c>
      <c r="FX26" t="s">
        <v>1017</v>
      </c>
      <c r="FY26" t="s">
        <v>402</v>
      </c>
      <c r="FZ26" t="s">
        <v>1018</v>
      </c>
      <c r="GA26" t="s">
        <v>402</v>
      </c>
    </row>
    <row r="27" spans="1:193" x14ac:dyDescent="0.25">
      <c r="A27" t="s">
        <v>1019</v>
      </c>
      <c r="B27" t="str">
        <f>"801542669591"</f>
        <v>801542669591</v>
      </c>
      <c r="C27" t="s">
        <v>1020</v>
      </c>
      <c r="D27" t="s">
        <v>929</v>
      </c>
      <c r="E27" t="s">
        <v>1021</v>
      </c>
      <c r="G27" t="str">
        <f>"56"</f>
        <v>56</v>
      </c>
      <c r="H27" t="str">
        <f>"17"</f>
        <v>17</v>
      </c>
      <c r="I27" t="str">
        <f>"29"</f>
        <v>29</v>
      </c>
      <c r="J27" t="str">
        <f>"99.54"</f>
        <v>99.54</v>
      </c>
      <c r="K27" t="s">
        <v>1022</v>
      </c>
      <c r="L27" t="s">
        <v>966</v>
      </c>
      <c r="M27" t="s">
        <v>837</v>
      </c>
      <c r="N27" t="s">
        <v>933</v>
      </c>
      <c r="O27" t="s">
        <v>555</v>
      </c>
      <c r="T27" t="s">
        <v>373</v>
      </c>
      <c r="U27" t="s">
        <v>373</v>
      </c>
      <c r="V27" t="s">
        <v>1023</v>
      </c>
      <c r="W27" t="s">
        <v>1024</v>
      </c>
      <c r="X27" t="s">
        <v>1025</v>
      </c>
      <c r="Y27" t="s">
        <v>1026</v>
      </c>
      <c r="Z27" t="s">
        <v>1027</v>
      </c>
      <c r="AA27" t="s">
        <v>1028</v>
      </c>
      <c r="AB27" t="s">
        <v>1029</v>
      </c>
      <c r="AC27" t="s">
        <v>1030</v>
      </c>
      <c r="AD27" t="s">
        <v>1031</v>
      </c>
      <c r="AE27" t="s">
        <v>1032</v>
      </c>
      <c r="AF27" t="s">
        <v>1033</v>
      </c>
      <c r="AG27" t="s">
        <v>1034</v>
      </c>
      <c r="AH27" t="s">
        <v>1035</v>
      </c>
      <c r="AI27" t="s">
        <v>1036</v>
      </c>
      <c r="BA27" t="str">
        <f>"1349"</f>
        <v>1349</v>
      </c>
      <c r="BB27" t="str">
        <f>"570"</f>
        <v>570</v>
      </c>
      <c r="BC27" t="s">
        <v>949</v>
      </c>
      <c r="BD27" t="str">
        <f>"1"</f>
        <v>1</v>
      </c>
      <c r="BE27" t="s">
        <v>389</v>
      </c>
      <c r="BF27" t="str">
        <f>"61"</f>
        <v>61</v>
      </c>
      <c r="BG27" t="str">
        <f>"22"</f>
        <v>22</v>
      </c>
      <c r="BH27" t="str">
        <f>"33.5"</f>
        <v>33.5</v>
      </c>
      <c r="BI27" t="str">
        <f>"137.02"</f>
        <v>137.02</v>
      </c>
      <c r="BY27" t="str">
        <f>"26.03"</f>
        <v>26.03</v>
      </c>
      <c r="BZ27" t="str">
        <f>"0.737"</f>
        <v>0.737</v>
      </c>
      <c r="CA27" t="s">
        <v>431</v>
      </c>
      <c r="CB27" t="s">
        <v>979</v>
      </c>
      <c r="CC27" t="s">
        <v>956</v>
      </c>
      <c r="CD27" t="s">
        <v>451</v>
      </c>
      <c r="CE27" t="s">
        <v>979</v>
      </c>
      <c r="CF27" t="s">
        <v>1037</v>
      </c>
      <c r="CG27" t="s">
        <v>1038</v>
      </c>
      <c r="CR27" t="s">
        <v>400</v>
      </c>
      <c r="CS27">
        <v>0</v>
      </c>
      <c r="CT27" t="s">
        <v>400</v>
      </c>
      <c r="CV27">
        <v>1</v>
      </c>
      <c r="CW27" t="s">
        <v>402</v>
      </c>
      <c r="CX27" t="s">
        <v>953</v>
      </c>
      <c r="CY27" t="s">
        <v>954</v>
      </c>
      <c r="DA27">
        <v>18.14</v>
      </c>
      <c r="DB27">
        <v>40</v>
      </c>
      <c r="DC27">
        <v>0</v>
      </c>
      <c r="DK27" t="s">
        <v>955</v>
      </c>
      <c r="EM27" t="s">
        <v>402</v>
      </c>
      <c r="EN27">
        <v>3</v>
      </c>
      <c r="EZ27" t="s">
        <v>1039</v>
      </c>
      <c r="FA27" t="s">
        <v>1040</v>
      </c>
      <c r="FB27" t="s">
        <v>1039</v>
      </c>
      <c r="FG27" t="s">
        <v>402</v>
      </c>
      <c r="FH27" t="s">
        <v>959</v>
      </c>
      <c r="FI27">
        <v>4</v>
      </c>
      <c r="FJ27" t="s">
        <v>960</v>
      </c>
      <c r="FK27" t="s">
        <v>961</v>
      </c>
      <c r="FO27" t="s">
        <v>984</v>
      </c>
      <c r="GB27" t="s">
        <v>474</v>
      </c>
      <c r="GC27" t="s">
        <v>1039</v>
      </c>
      <c r="GD27" t="s">
        <v>451</v>
      </c>
      <c r="GE27">
        <v>0</v>
      </c>
    </row>
    <row r="28" spans="1:193" x14ac:dyDescent="0.25">
      <c r="A28" t="s">
        <v>1041</v>
      </c>
      <c r="B28" t="str">
        <f>"801542695330"</f>
        <v>801542695330</v>
      </c>
      <c r="C28" t="s">
        <v>1042</v>
      </c>
      <c r="D28" t="s">
        <v>929</v>
      </c>
      <c r="E28" t="s">
        <v>1043</v>
      </c>
      <c r="G28" t="str">
        <f>"25"</f>
        <v>25</v>
      </c>
      <c r="H28" t="str">
        <f>"17.25"</f>
        <v>17.25</v>
      </c>
      <c r="I28" t="str">
        <f>"25.25"</f>
        <v>25.25</v>
      </c>
      <c r="J28" t="str">
        <f>"50.04"</f>
        <v>50.04</v>
      </c>
      <c r="K28" t="s">
        <v>1022</v>
      </c>
      <c r="L28" t="s">
        <v>837</v>
      </c>
      <c r="N28" t="s">
        <v>933</v>
      </c>
      <c r="O28" t="s">
        <v>555</v>
      </c>
      <c r="T28" t="s">
        <v>373</v>
      </c>
      <c r="U28" t="s">
        <v>373</v>
      </c>
      <c r="V28" t="s">
        <v>1044</v>
      </c>
      <c r="W28" t="s">
        <v>1045</v>
      </c>
      <c r="X28" t="s">
        <v>1046</v>
      </c>
      <c r="Y28" t="s">
        <v>1047</v>
      </c>
      <c r="Z28" t="s">
        <v>1048</v>
      </c>
      <c r="AA28" t="s">
        <v>1049</v>
      </c>
      <c r="AB28" t="s">
        <v>1050</v>
      </c>
      <c r="AC28" t="s">
        <v>1051</v>
      </c>
      <c r="AD28" t="s">
        <v>1052</v>
      </c>
      <c r="AE28" t="s">
        <v>1053</v>
      </c>
      <c r="BA28" t="str">
        <f>"699"</f>
        <v>699</v>
      </c>
      <c r="BB28" t="str">
        <f>"295"</f>
        <v>295</v>
      </c>
      <c r="BC28" t="s">
        <v>949</v>
      </c>
      <c r="BD28" t="str">
        <f>"1"</f>
        <v>1</v>
      </c>
      <c r="BE28" t="s">
        <v>389</v>
      </c>
      <c r="BF28" t="str">
        <f>"28.5"</f>
        <v>28.5</v>
      </c>
      <c r="BG28" t="str">
        <f>"20.75"</f>
        <v>20.75</v>
      </c>
      <c r="BH28" t="str">
        <f>"28.5"</f>
        <v>28.5</v>
      </c>
      <c r="BI28" t="str">
        <f>"60.63"</f>
        <v>60.63</v>
      </c>
      <c r="BY28" t="str">
        <f>"9.75"</f>
        <v>9.75</v>
      </c>
      <c r="BZ28" t="str">
        <f>"0.276"</f>
        <v>0.276</v>
      </c>
      <c r="CA28" t="s">
        <v>390</v>
      </c>
      <c r="CB28" t="s">
        <v>613</v>
      </c>
      <c r="CC28" t="s">
        <v>1040</v>
      </c>
      <c r="CD28" t="s">
        <v>1054</v>
      </c>
      <c r="CE28" t="s">
        <v>1055</v>
      </c>
      <c r="CF28" t="s">
        <v>610</v>
      </c>
      <c r="CG28" t="s">
        <v>1054</v>
      </c>
      <c r="CR28" t="s">
        <v>400</v>
      </c>
      <c r="CS28">
        <v>0</v>
      </c>
      <c r="CT28" t="s">
        <v>400</v>
      </c>
      <c r="CV28">
        <v>1</v>
      </c>
      <c r="CW28" t="s">
        <v>402</v>
      </c>
      <c r="CX28" t="s">
        <v>953</v>
      </c>
      <c r="CY28" t="s">
        <v>954</v>
      </c>
      <c r="DC28">
        <v>0</v>
      </c>
      <c r="DJ28" t="s">
        <v>408</v>
      </c>
      <c r="DK28" t="s">
        <v>955</v>
      </c>
      <c r="DM28" t="s">
        <v>473</v>
      </c>
      <c r="EM28" t="s">
        <v>402</v>
      </c>
      <c r="EN28">
        <v>2</v>
      </c>
      <c r="EZ28" t="s">
        <v>511</v>
      </c>
      <c r="FA28" t="s">
        <v>1040</v>
      </c>
      <c r="FB28" t="s">
        <v>1056</v>
      </c>
      <c r="FG28" t="s">
        <v>402</v>
      </c>
      <c r="FH28" t="s">
        <v>959</v>
      </c>
      <c r="FI28">
        <v>2</v>
      </c>
      <c r="FJ28" t="s">
        <v>960</v>
      </c>
      <c r="FK28" t="s">
        <v>961</v>
      </c>
      <c r="FO28" t="s">
        <v>984</v>
      </c>
    </row>
    <row r="29" spans="1:193" x14ac:dyDescent="0.25">
      <c r="A29" t="s">
        <v>1057</v>
      </c>
      <c r="B29" t="str">
        <f>"801542882600"</f>
        <v>801542882600</v>
      </c>
      <c r="C29" t="s">
        <v>1058</v>
      </c>
      <c r="D29" t="s">
        <v>929</v>
      </c>
      <c r="E29" t="s">
        <v>1043</v>
      </c>
      <c r="G29" t="str">
        <f>"25"</f>
        <v>25</v>
      </c>
      <c r="H29" t="str">
        <f>"17.25"</f>
        <v>17.25</v>
      </c>
      <c r="I29" t="str">
        <f>"25.25"</f>
        <v>25.25</v>
      </c>
      <c r="J29" t="str">
        <f>"50.04"</f>
        <v>50.04</v>
      </c>
      <c r="K29" t="s">
        <v>931</v>
      </c>
      <c r="L29" t="s">
        <v>837</v>
      </c>
      <c r="N29" t="s">
        <v>933</v>
      </c>
      <c r="O29" t="s">
        <v>555</v>
      </c>
      <c r="T29" t="s">
        <v>373</v>
      </c>
      <c r="U29" t="s">
        <v>373</v>
      </c>
      <c r="V29" t="s">
        <v>1059</v>
      </c>
      <c r="W29" t="s">
        <v>1060</v>
      </c>
      <c r="X29" t="s">
        <v>1061</v>
      </c>
      <c r="Y29" t="s">
        <v>1062</v>
      </c>
      <c r="Z29" t="s">
        <v>1063</v>
      </c>
      <c r="AA29" t="s">
        <v>1064</v>
      </c>
      <c r="AB29" t="s">
        <v>1065</v>
      </c>
      <c r="AC29" t="s">
        <v>1066</v>
      </c>
      <c r="AD29" t="s">
        <v>1067</v>
      </c>
      <c r="AE29" t="s">
        <v>1068</v>
      </c>
      <c r="AF29" t="s">
        <v>1069</v>
      </c>
      <c r="AG29" t="s">
        <v>1070</v>
      </c>
      <c r="AH29" t="s">
        <v>1071</v>
      </c>
      <c r="AI29" t="s">
        <v>1072</v>
      </c>
      <c r="AJ29" t="s">
        <v>1073</v>
      </c>
      <c r="BA29" t="str">
        <f>"699"</f>
        <v>699</v>
      </c>
      <c r="BB29" t="str">
        <f>"295"</f>
        <v>295</v>
      </c>
      <c r="BC29" t="s">
        <v>949</v>
      </c>
      <c r="BD29" t="str">
        <f>"1"</f>
        <v>1</v>
      </c>
      <c r="BE29" t="s">
        <v>389</v>
      </c>
      <c r="BF29" t="str">
        <f>"28.5"</f>
        <v>28.5</v>
      </c>
      <c r="BG29" t="str">
        <f>"20.75"</f>
        <v>20.75</v>
      </c>
      <c r="BH29" t="str">
        <f>"28.5"</f>
        <v>28.5</v>
      </c>
      <c r="BI29" t="str">
        <f>"60.63"</f>
        <v>60.63</v>
      </c>
      <c r="BY29" t="str">
        <f>"9.75"</f>
        <v>9.75</v>
      </c>
      <c r="BZ29" t="str">
        <f>"0.276"</f>
        <v>0.276</v>
      </c>
      <c r="CA29" t="s">
        <v>495</v>
      </c>
      <c r="CB29" t="s">
        <v>613</v>
      </c>
      <c r="CC29" t="s">
        <v>1040</v>
      </c>
      <c r="CD29" t="s">
        <v>1054</v>
      </c>
      <c r="CE29" t="s">
        <v>1055</v>
      </c>
      <c r="CF29" t="s">
        <v>610</v>
      </c>
      <c r="CG29" t="s">
        <v>1054</v>
      </c>
      <c r="CR29" t="s">
        <v>400</v>
      </c>
      <c r="CS29">
        <v>0</v>
      </c>
      <c r="CT29" t="s">
        <v>400</v>
      </c>
      <c r="CV29">
        <v>1</v>
      </c>
      <c r="CW29" t="s">
        <v>402</v>
      </c>
      <c r="CX29" t="s">
        <v>953</v>
      </c>
      <c r="CY29" t="s">
        <v>954</v>
      </c>
      <c r="DC29">
        <v>0</v>
      </c>
      <c r="DJ29" t="s">
        <v>408</v>
      </c>
      <c r="DK29" t="s">
        <v>955</v>
      </c>
      <c r="DM29" t="s">
        <v>473</v>
      </c>
      <c r="EM29" t="s">
        <v>402</v>
      </c>
      <c r="EN29">
        <v>2</v>
      </c>
      <c r="EZ29" t="s">
        <v>511</v>
      </c>
      <c r="FA29" t="s">
        <v>1040</v>
      </c>
      <c r="FB29" t="s">
        <v>1056</v>
      </c>
      <c r="FG29" t="s">
        <v>402</v>
      </c>
      <c r="FH29" t="s">
        <v>959</v>
      </c>
      <c r="FI29">
        <v>2</v>
      </c>
      <c r="FJ29" t="s">
        <v>960</v>
      </c>
      <c r="FK29" t="s">
        <v>961</v>
      </c>
      <c r="FO29" t="s">
        <v>984</v>
      </c>
    </row>
    <row r="30" spans="1:193" x14ac:dyDescent="0.25">
      <c r="A30" t="s">
        <v>1074</v>
      </c>
      <c r="B30" t="str">
        <f>"801542007799"</f>
        <v>801542007799</v>
      </c>
      <c r="C30" t="s">
        <v>1075</v>
      </c>
      <c r="D30" t="s">
        <v>1076</v>
      </c>
      <c r="E30" t="s">
        <v>1077</v>
      </c>
      <c r="G30" t="str">
        <f>"51"</f>
        <v>51</v>
      </c>
      <c r="H30" t="str">
        <f>"27.5"</f>
        <v>27.5</v>
      </c>
      <c r="I30" t="str">
        <f>"17.5"</f>
        <v>17.5</v>
      </c>
      <c r="J30" t="str">
        <f>"76.54"</f>
        <v>76.54</v>
      </c>
      <c r="K30" t="s">
        <v>1078</v>
      </c>
      <c r="N30" t="s">
        <v>372</v>
      </c>
      <c r="T30" t="s">
        <v>373</v>
      </c>
      <c r="U30" t="s">
        <v>373</v>
      </c>
      <c r="V30" t="s">
        <v>1079</v>
      </c>
      <c r="W30" t="s">
        <v>1080</v>
      </c>
      <c r="X30" t="s">
        <v>1081</v>
      </c>
      <c r="Y30" t="s">
        <v>1082</v>
      </c>
      <c r="Z30" t="s">
        <v>1083</v>
      </c>
      <c r="AA30" t="s">
        <v>1084</v>
      </c>
      <c r="AB30" t="s">
        <v>1085</v>
      </c>
      <c r="AC30" t="s">
        <v>1086</v>
      </c>
      <c r="AD30" t="s">
        <v>1087</v>
      </c>
      <c r="AE30" t="s">
        <v>1088</v>
      </c>
      <c r="BA30" t="str">
        <f>"849"</f>
        <v>849</v>
      </c>
      <c r="BB30" t="str">
        <f>"360"</f>
        <v>360</v>
      </c>
      <c r="BC30" t="s">
        <v>949</v>
      </c>
      <c r="BD30" t="str">
        <f>"2"</f>
        <v>2</v>
      </c>
      <c r="BE30" t="s">
        <v>1089</v>
      </c>
      <c r="BF30" t="str">
        <f>"54.25"</f>
        <v>54.25</v>
      </c>
      <c r="BG30" t="str">
        <f>"6"</f>
        <v>6</v>
      </c>
      <c r="BH30" t="str">
        <f>"31"</f>
        <v>31</v>
      </c>
      <c r="BI30" t="str">
        <f>"57.58"</f>
        <v>57.58</v>
      </c>
      <c r="BJ30" t="s">
        <v>1090</v>
      </c>
      <c r="BK30" t="str">
        <f>"20.5"</f>
        <v>20.5</v>
      </c>
      <c r="BL30" t="str">
        <f>"10"</f>
        <v>10</v>
      </c>
      <c r="BM30" t="str">
        <f>"23"</f>
        <v>23</v>
      </c>
      <c r="BN30" t="str">
        <f>"32.49"</f>
        <v>32.49</v>
      </c>
      <c r="BY30" t="str">
        <f>"8.55"</f>
        <v>8.55</v>
      </c>
      <c r="BZ30" t="str">
        <f>"0.242"</f>
        <v>0.242</v>
      </c>
      <c r="CA30" t="s">
        <v>495</v>
      </c>
      <c r="CR30" t="s">
        <v>400</v>
      </c>
      <c r="CS30">
        <v>0</v>
      </c>
      <c r="CT30" t="s">
        <v>400</v>
      </c>
      <c r="CV30">
        <v>0</v>
      </c>
      <c r="CX30" t="s">
        <v>667</v>
      </c>
      <c r="CY30" t="s">
        <v>400</v>
      </c>
      <c r="DC30">
        <v>0</v>
      </c>
      <c r="DJ30" t="s">
        <v>408</v>
      </c>
      <c r="DK30" t="s">
        <v>1091</v>
      </c>
      <c r="DM30" t="s">
        <v>473</v>
      </c>
      <c r="DX30" t="s">
        <v>1055</v>
      </c>
      <c r="DZ30" t="s">
        <v>1092</v>
      </c>
      <c r="EI30" t="s">
        <v>449</v>
      </c>
      <c r="EJ30" t="s">
        <v>1055</v>
      </c>
      <c r="EK30" t="s">
        <v>1093</v>
      </c>
      <c r="EL30" t="s">
        <v>1094</v>
      </c>
      <c r="EM30" t="s">
        <v>402</v>
      </c>
      <c r="EN30">
        <v>0</v>
      </c>
      <c r="EO30">
        <v>0</v>
      </c>
      <c r="EX30" t="s">
        <v>1095</v>
      </c>
    </row>
    <row r="31" spans="1:193" x14ac:dyDescent="0.25">
      <c r="A31" t="s">
        <v>1096</v>
      </c>
      <c r="B31" t="str">
        <f>"801542579869"</f>
        <v>801542579869</v>
      </c>
      <c r="C31" t="s">
        <v>1097</v>
      </c>
      <c r="D31" t="s">
        <v>1098</v>
      </c>
      <c r="E31" t="s">
        <v>647</v>
      </c>
      <c r="F31" t="s">
        <v>648</v>
      </c>
      <c r="G31" t="str">
        <f>"54"</f>
        <v>54</v>
      </c>
      <c r="H31" t="str">
        <f>"54"</f>
        <v>54</v>
      </c>
      <c r="I31" t="str">
        <f>"30"</f>
        <v>30</v>
      </c>
      <c r="J31" t="str">
        <f>"117.06"</f>
        <v>117.06</v>
      </c>
      <c r="K31" t="s">
        <v>1099</v>
      </c>
      <c r="L31" t="s">
        <v>1100</v>
      </c>
      <c r="N31" t="s">
        <v>775</v>
      </c>
      <c r="O31" t="s">
        <v>1101</v>
      </c>
      <c r="T31" t="s">
        <v>373</v>
      </c>
      <c r="U31" t="s">
        <v>373</v>
      </c>
      <c r="V31" t="s">
        <v>1102</v>
      </c>
      <c r="W31" t="s">
        <v>1103</v>
      </c>
      <c r="X31" t="s">
        <v>1104</v>
      </c>
      <c r="Y31" t="s">
        <v>1105</v>
      </c>
      <c r="Z31" t="s">
        <v>1106</v>
      </c>
      <c r="AA31" t="s">
        <v>1107</v>
      </c>
      <c r="AB31" t="s">
        <v>1108</v>
      </c>
      <c r="AC31" t="s">
        <v>1109</v>
      </c>
      <c r="AD31" t="s">
        <v>1110</v>
      </c>
      <c r="AE31" t="s">
        <v>1111</v>
      </c>
      <c r="AF31" t="s">
        <v>1112</v>
      </c>
      <c r="AG31" t="s">
        <v>1113</v>
      </c>
      <c r="BA31" t="str">
        <f>"1499"</f>
        <v>1499</v>
      </c>
      <c r="BB31" t="str">
        <f>"630"</f>
        <v>630</v>
      </c>
      <c r="BC31" t="s">
        <v>949</v>
      </c>
      <c r="BD31" t="str">
        <f>"2"</f>
        <v>2</v>
      </c>
      <c r="BE31" t="s">
        <v>1090</v>
      </c>
      <c r="BF31" t="str">
        <f>"27.5"</f>
        <v>27.5</v>
      </c>
      <c r="BG31" t="str">
        <f>"27.5"</f>
        <v>27.5</v>
      </c>
      <c r="BH31" t="str">
        <f>"29"</f>
        <v>29</v>
      </c>
      <c r="BI31" t="str">
        <f>"47.62"</f>
        <v>47.62</v>
      </c>
      <c r="BJ31" t="s">
        <v>1089</v>
      </c>
      <c r="BK31" t="str">
        <f>"57.5"</f>
        <v>57.5</v>
      </c>
      <c r="BL31" t="str">
        <f>"7.5"</f>
        <v>7.5</v>
      </c>
      <c r="BM31" t="str">
        <f>"57.5"</f>
        <v>57.5</v>
      </c>
      <c r="BN31" t="str">
        <f>"118.72"</f>
        <v>118.72</v>
      </c>
      <c r="BY31" t="str">
        <f>"27.02"</f>
        <v>27.02</v>
      </c>
      <c r="BZ31" t="str">
        <f>"0.765"</f>
        <v>0.765</v>
      </c>
      <c r="CA31" t="s">
        <v>495</v>
      </c>
      <c r="CR31" t="s">
        <v>400</v>
      </c>
      <c r="CS31">
        <v>0</v>
      </c>
      <c r="CT31" t="s">
        <v>400</v>
      </c>
      <c r="CV31">
        <v>0</v>
      </c>
      <c r="CY31" t="s">
        <v>400</v>
      </c>
      <c r="DA31">
        <v>0</v>
      </c>
      <c r="DB31">
        <v>0</v>
      </c>
      <c r="DC31">
        <v>0</v>
      </c>
      <c r="DI31">
        <v>6</v>
      </c>
      <c r="DJ31" t="s">
        <v>471</v>
      </c>
      <c r="DK31" t="s">
        <v>1114</v>
      </c>
      <c r="DM31" t="s">
        <v>473</v>
      </c>
      <c r="DX31" t="s">
        <v>638</v>
      </c>
      <c r="EI31" t="s">
        <v>600</v>
      </c>
      <c r="EJ31" t="s">
        <v>638</v>
      </c>
      <c r="EK31" t="s">
        <v>600</v>
      </c>
      <c r="EL31" t="s">
        <v>1040</v>
      </c>
      <c r="EN31">
        <v>0</v>
      </c>
      <c r="EO31">
        <v>0</v>
      </c>
      <c r="EW31" t="s">
        <v>638</v>
      </c>
      <c r="EX31" t="s">
        <v>950</v>
      </c>
      <c r="EY31" t="s">
        <v>1115</v>
      </c>
    </row>
    <row r="32" spans="1:193" x14ac:dyDescent="0.25">
      <c r="A32" t="s">
        <v>1116</v>
      </c>
      <c r="B32" t="str">
        <f>"801542709099"</f>
        <v>801542709099</v>
      </c>
      <c r="C32" t="s">
        <v>1117</v>
      </c>
      <c r="D32" t="s">
        <v>1118</v>
      </c>
      <c r="E32" t="s">
        <v>459</v>
      </c>
      <c r="G32" t="str">
        <f>"15.75"</f>
        <v>15.75</v>
      </c>
      <c r="H32" t="str">
        <f>"15.75"</f>
        <v>15.75</v>
      </c>
      <c r="I32" t="str">
        <f>"21.25"</f>
        <v>21.25</v>
      </c>
      <c r="J32" t="str">
        <f>"29.63"</f>
        <v>29.63</v>
      </c>
      <c r="K32" t="s">
        <v>1119</v>
      </c>
      <c r="L32" t="s">
        <v>1120</v>
      </c>
      <c r="N32" t="s">
        <v>1121</v>
      </c>
      <c r="O32" t="s">
        <v>555</v>
      </c>
      <c r="T32" t="s">
        <v>373</v>
      </c>
      <c r="U32" t="s">
        <v>373</v>
      </c>
      <c r="V32" s="1" t="s">
        <v>1122</v>
      </c>
      <c r="W32" t="s">
        <v>1123</v>
      </c>
      <c r="X32" t="s">
        <v>1124</v>
      </c>
      <c r="Y32" t="s">
        <v>1125</v>
      </c>
      <c r="Z32" t="s">
        <v>1126</v>
      </c>
      <c r="AA32" t="s">
        <v>1127</v>
      </c>
      <c r="AB32" t="s">
        <v>1128</v>
      </c>
      <c r="AC32" t="s">
        <v>1129</v>
      </c>
      <c r="AD32" t="s">
        <v>1130</v>
      </c>
      <c r="AE32" t="s">
        <v>1131</v>
      </c>
      <c r="BA32" t="str">
        <f>"449"</f>
        <v>449</v>
      </c>
      <c r="BB32" t="str">
        <f>"190"</f>
        <v>190</v>
      </c>
      <c r="BC32" t="s">
        <v>949</v>
      </c>
      <c r="BD32" t="str">
        <f>"1"</f>
        <v>1</v>
      </c>
      <c r="BE32" t="s">
        <v>389</v>
      </c>
      <c r="BF32" t="str">
        <f>"19.5"</f>
        <v>19.5</v>
      </c>
      <c r="BG32" t="str">
        <f>"19.5"</f>
        <v>19.5</v>
      </c>
      <c r="BH32" t="str">
        <f>"25"</f>
        <v>25</v>
      </c>
      <c r="BI32" t="str">
        <f>"44.67"</f>
        <v>44.67</v>
      </c>
      <c r="BY32" t="str">
        <f>"5.51"</f>
        <v>5.51</v>
      </c>
      <c r="BZ32" t="str">
        <f>"0.156"</f>
        <v>0.156</v>
      </c>
      <c r="CA32" t="s">
        <v>431</v>
      </c>
      <c r="CR32" t="s">
        <v>400</v>
      </c>
      <c r="CS32">
        <v>0</v>
      </c>
      <c r="CT32" t="s">
        <v>400</v>
      </c>
      <c r="CV32">
        <v>0</v>
      </c>
      <c r="CY32" t="s">
        <v>400</v>
      </c>
      <c r="DC32">
        <v>0</v>
      </c>
      <c r="DJ32" t="s">
        <v>1132</v>
      </c>
      <c r="DK32" t="s">
        <v>1133</v>
      </c>
      <c r="DM32" t="s">
        <v>473</v>
      </c>
      <c r="DX32" t="s">
        <v>435</v>
      </c>
      <c r="DY32" t="s">
        <v>453</v>
      </c>
      <c r="DZ32" t="s">
        <v>453</v>
      </c>
      <c r="EI32" t="s">
        <v>956</v>
      </c>
      <c r="EJ32" t="s">
        <v>435</v>
      </c>
      <c r="EK32" t="s">
        <v>956</v>
      </c>
      <c r="EL32" t="s">
        <v>956</v>
      </c>
      <c r="EN32">
        <v>0</v>
      </c>
      <c r="EO32">
        <v>0</v>
      </c>
      <c r="GF32" t="s">
        <v>1055</v>
      </c>
      <c r="GG32" t="s">
        <v>1134</v>
      </c>
      <c r="GH32" t="s">
        <v>1055</v>
      </c>
      <c r="GI32" t="s">
        <v>1135</v>
      </c>
      <c r="GJ32" t="s">
        <v>1136</v>
      </c>
      <c r="GK32" t="s">
        <v>1135</v>
      </c>
    </row>
    <row r="33" spans="1:217" x14ac:dyDescent="0.25">
      <c r="A33" t="s">
        <v>1137</v>
      </c>
      <c r="B33" t="str">
        <f>"198394123686"</f>
        <v>198394123686</v>
      </c>
      <c r="C33" t="s">
        <v>1138</v>
      </c>
      <c r="D33" t="s">
        <v>1139</v>
      </c>
      <c r="E33" t="s">
        <v>413</v>
      </c>
      <c r="G33" t="str">
        <f>"62"</f>
        <v>62</v>
      </c>
      <c r="H33" t="str">
        <f>"66"</f>
        <v>66</v>
      </c>
      <c r="I33" t="str">
        <f>"40.5"</f>
        <v>40.5</v>
      </c>
      <c r="J33" t="str">
        <f>"119.05"</f>
        <v>119.05</v>
      </c>
      <c r="K33" t="s">
        <v>1140</v>
      </c>
      <c r="N33" t="s">
        <v>371</v>
      </c>
      <c r="T33" t="s">
        <v>373</v>
      </c>
      <c r="U33" t="s">
        <v>402</v>
      </c>
      <c r="V33" t="s">
        <v>1141</v>
      </c>
      <c r="W33" t="s">
        <v>1142</v>
      </c>
      <c r="X33" t="s">
        <v>1143</v>
      </c>
      <c r="Y33" t="s">
        <v>1144</v>
      </c>
      <c r="Z33" t="s">
        <v>1145</v>
      </c>
      <c r="AA33" t="s">
        <v>1146</v>
      </c>
      <c r="AB33" t="s">
        <v>1147</v>
      </c>
      <c r="AC33" t="s">
        <v>1148</v>
      </c>
      <c r="BA33" t="str">
        <f>"2499"</f>
        <v>2499</v>
      </c>
      <c r="BB33" t="str">
        <f>"1050"</f>
        <v>1050</v>
      </c>
      <c r="BC33" t="s">
        <v>1149</v>
      </c>
      <c r="BD33" t="str">
        <f>"1"</f>
        <v>1</v>
      </c>
      <c r="BE33" t="s">
        <v>389</v>
      </c>
      <c r="BF33" t="str">
        <f>"63"</f>
        <v>63</v>
      </c>
      <c r="BG33" t="str">
        <f>"67.5"</f>
        <v>67.5</v>
      </c>
      <c r="BH33" t="str">
        <f>"33.5"</f>
        <v>33.5</v>
      </c>
      <c r="BI33" t="str">
        <f>"130.07"</f>
        <v>130.07</v>
      </c>
      <c r="BY33" t="str">
        <f>"82.42"</f>
        <v>82.42</v>
      </c>
      <c r="BZ33" t="str">
        <f>"2.334"</f>
        <v>2.334</v>
      </c>
      <c r="CA33" t="s">
        <v>431</v>
      </c>
      <c r="CK33" t="s">
        <v>1150</v>
      </c>
      <c r="CL33" t="s">
        <v>1151</v>
      </c>
      <c r="CN33">
        <v>0</v>
      </c>
      <c r="CO33">
        <v>5</v>
      </c>
      <c r="CP33" t="s">
        <v>437</v>
      </c>
      <c r="CQ33" t="s">
        <v>1152</v>
      </c>
      <c r="CU33" t="s">
        <v>1153</v>
      </c>
      <c r="CX33" t="s">
        <v>403</v>
      </c>
      <c r="CZ33">
        <v>0</v>
      </c>
      <c r="DD33">
        <v>100000</v>
      </c>
      <c r="DE33" t="s">
        <v>439</v>
      </c>
      <c r="DF33" t="s">
        <v>632</v>
      </c>
      <c r="DG33" t="s">
        <v>407</v>
      </c>
      <c r="DH33">
        <v>1</v>
      </c>
      <c r="DI33">
        <v>3</v>
      </c>
      <c r="DK33" t="s">
        <v>1154</v>
      </c>
      <c r="DL33">
        <v>0</v>
      </c>
      <c r="DM33" t="s">
        <v>410</v>
      </c>
      <c r="DN33" t="s">
        <v>796</v>
      </c>
      <c r="DO33" t="s">
        <v>446</v>
      </c>
      <c r="DP33" t="s">
        <v>1155</v>
      </c>
      <c r="DT33" t="s">
        <v>1156</v>
      </c>
      <c r="DU33" t="s">
        <v>448</v>
      </c>
      <c r="DV33" t="s">
        <v>600</v>
      </c>
      <c r="DW33" t="s">
        <v>600</v>
      </c>
      <c r="DX33" t="s">
        <v>1040</v>
      </c>
      <c r="DY33" t="s">
        <v>1157</v>
      </c>
      <c r="DZ33" t="s">
        <v>1158</v>
      </c>
      <c r="EA33" t="s">
        <v>1159</v>
      </c>
      <c r="ED33" t="s">
        <v>406</v>
      </c>
      <c r="EE33" t="s">
        <v>454</v>
      </c>
      <c r="EF33" t="s">
        <v>831</v>
      </c>
      <c r="EG33" t="s">
        <v>1160</v>
      </c>
      <c r="EP33" t="s">
        <v>1161</v>
      </c>
      <c r="EQ33" t="s">
        <v>1162</v>
      </c>
      <c r="GL33" t="s">
        <v>448</v>
      </c>
      <c r="GM33" t="s">
        <v>791</v>
      </c>
      <c r="GN33" t="s">
        <v>791</v>
      </c>
    </row>
    <row r="34" spans="1:217" x14ac:dyDescent="0.25">
      <c r="A34" t="s">
        <v>1163</v>
      </c>
      <c r="B34" t="str">
        <f>"801542555986"</f>
        <v>801542555986</v>
      </c>
      <c r="C34" t="s">
        <v>1164</v>
      </c>
      <c r="D34" t="s">
        <v>1165</v>
      </c>
      <c r="E34" t="s">
        <v>1166</v>
      </c>
      <c r="F34" t="s">
        <v>1167</v>
      </c>
      <c r="G34" t="str">
        <f>"129"</f>
        <v>129</v>
      </c>
      <c r="H34" t="str">
        <f>"68"</f>
        <v>68</v>
      </c>
      <c r="I34" t="str">
        <f>"32.5"</f>
        <v>32.5</v>
      </c>
      <c r="J34" t="str">
        <f>"281.53"</f>
        <v>281.53</v>
      </c>
      <c r="K34" t="s">
        <v>1168</v>
      </c>
      <c r="L34" t="s">
        <v>1169</v>
      </c>
      <c r="N34" t="s">
        <v>1170</v>
      </c>
      <c r="O34" t="s">
        <v>1171</v>
      </c>
      <c r="P34" t="s">
        <v>1172</v>
      </c>
      <c r="T34" t="s">
        <v>402</v>
      </c>
      <c r="U34" t="s">
        <v>373</v>
      </c>
      <c r="V34" t="s">
        <v>1173</v>
      </c>
      <c r="W34" t="s">
        <v>1174</v>
      </c>
      <c r="X34" t="s">
        <v>1175</v>
      </c>
      <c r="Y34" t="s">
        <v>1176</v>
      </c>
      <c r="Z34" t="s">
        <v>1177</v>
      </c>
      <c r="AA34" t="s">
        <v>1178</v>
      </c>
      <c r="AB34" t="s">
        <v>1179</v>
      </c>
      <c r="AC34" t="s">
        <v>1180</v>
      </c>
      <c r="AD34" t="s">
        <v>1181</v>
      </c>
      <c r="AE34" t="s">
        <v>1182</v>
      </c>
      <c r="AF34" t="s">
        <v>1183</v>
      </c>
      <c r="AG34" t="s">
        <v>1184</v>
      </c>
      <c r="AH34" t="s">
        <v>1185</v>
      </c>
      <c r="BA34" t="str">
        <f>"3999"</f>
        <v>3999</v>
      </c>
      <c r="BB34" t="str">
        <f>"1680"</f>
        <v>1680</v>
      </c>
      <c r="BC34" t="s">
        <v>1149</v>
      </c>
      <c r="BD34" t="str">
        <f>"2"</f>
        <v>2</v>
      </c>
      <c r="BE34" t="s">
        <v>1186</v>
      </c>
      <c r="BF34" t="str">
        <f>"56.3"</f>
        <v>56.3</v>
      </c>
      <c r="BG34" t="str">
        <f>"75.59"</f>
        <v>75.59</v>
      </c>
      <c r="BH34" t="str">
        <f>"30.31"</f>
        <v>30.31</v>
      </c>
      <c r="BI34" t="str">
        <f>"149.91"</f>
        <v>149.91</v>
      </c>
      <c r="BJ34" t="s">
        <v>389</v>
      </c>
      <c r="BK34" t="str">
        <f>"85.04"</f>
        <v>85.04</v>
      </c>
      <c r="BL34" t="str">
        <f>"47.24"</f>
        <v>47.24</v>
      </c>
      <c r="BM34" t="str">
        <f>"28.35"</f>
        <v>28.35</v>
      </c>
      <c r="BN34" t="str">
        <f>"152.12"</f>
        <v>152.12</v>
      </c>
      <c r="BY34" t="str">
        <f>"140.55"</f>
        <v>140.55</v>
      </c>
      <c r="BZ34" t="str">
        <f>"3.98"</f>
        <v>3.98</v>
      </c>
      <c r="CA34" t="s">
        <v>495</v>
      </c>
      <c r="CP34" t="s">
        <v>437</v>
      </c>
      <c r="CQ34" t="s">
        <v>1152</v>
      </c>
      <c r="CU34" t="s">
        <v>1187</v>
      </c>
      <c r="CY34" t="s">
        <v>400</v>
      </c>
      <c r="DD34">
        <v>30000</v>
      </c>
      <c r="DE34" t="s">
        <v>439</v>
      </c>
      <c r="DF34" t="s">
        <v>406</v>
      </c>
      <c r="DG34" t="s">
        <v>407</v>
      </c>
      <c r="DI34">
        <v>3</v>
      </c>
      <c r="DJ34" t="s">
        <v>1188</v>
      </c>
      <c r="DK34" t="s">
        <v>1189</v>
      </c>
      <c r="DM34" t="s">
        <v>410</v>
      </c>
      <c r="ED34" t="s">
        <v>406</v>
      </c>
      <c r="EE34" t="s">
        <v>407</v>
      </c>
      <c r="EF34" t="s">
        <v>1190</v>
      </c>
      <c r="EG34" t="s">
        <v>749</v>
      </c>
      <c r="GO34" t="s">
        <v>402</v>
      </c>
      <c r="GP34" t="s">
        <v>1191</v>
      </c>
      <c r="GQ34" t="s">
        <v>1192</v>
      </c>
    </row>
    <row r="35" spans="1:217" x14ac:dyDescent="0.25">
      <c r="A35" t="s">
        <v>1193</v>
      </c>
      <c r="B35" t="str">
        <f>"801542699925"</f>
        <v>801542699925</v>
      </c>
      <c r="C35" t="s">
        <v>1194</v>
      </c>
      <c r="D35" t="s">
        <v>1165</v>
      </c>
      <c r="E35" t="s">
        <v>1166</v>
      </c>
      <c r="F35" t="s">
        <v>1167</v>
      </c>
      <c r="G35" t="str">
        <f>"129"</f>
        <v>129</v>
      </c>
      <c r="H35" t="str">
        <f>"68"</f>
        <v>68</v>
      </c>
      <c r="I35" t="str">
        <f>"32.5"</f>
        <v>32.5</v>
      </c>
      <c r="J35" t="str">
        <f>"281.53"</f>
        <v>281.53</v>
      </c>
      <c r="K35" t="s">
        <v>1195</v>
      </c>
      <c r="L35" t="s">
        <v>1169</v>
      </c>
      <c r="N35" t="s">
        <v>371</v>
      </c>
      <c r="O35" t="s">
        <v>1172</v>
      </c>
      <c r="T35" t="s">
        <v>373</v>
      </c>
      <c r="U35" t="s">
        <v>402</v>
      </c>
      <c r="V35" t="s">
        <v>1196</v>
      </c>
      <c r="W35" t="s">
        <v>1197</v>
      </c>
      <c r="X35" t="s">
        <v>1198</v>
      </c>
      <c r="Y35" t="s">
        <v>1199</v>
      </c>
      <c r="Z35" t="s">
        <v>1200</v>
      </c>
      <c r="AA35" t="s">
        <v>1201</v>
      </c>
      <c r="AB35" t="s">
        <v>1202</v>
      </c>
      <c r="AC35" t="s">
        <v>1203</v>
      </c>
      <c r="BA35" t="str">
        <f>"4199"</f>
        <v>4199</v>
      </c>
      <c r="BB35" t="str">
        <f>"1765"</f>
        <v>1765</v>
      </c>
      <c r="BC35" t="s">
        <v>1149</v>
      </c>
      <c r="BD35" t="str">
        <f>"2"</f>
        <v>2</v>
      </c>
      <c r="BE35" t="s">
        <v>389</v>
      </c>
      <c r="BF35" t="str">
        <f>"56.3"</f>
        <v>56.3</v>
      </c>
      <c r="BG35" t="str">
        <f>"75.59"</f>
        <v>75.59</v>
      </c>
      <c r="BH35" t="str">
        <f>"30.31"</f>
        <v>30.31</v>
      </c>
      <c r="BI35" t="str">
        <f>"149.91"</f>
        <v>149.91</v>
      </c>
      <c r="BJ35" t="s">
        <v>389</v>
      </c>
      <c r="BK35" t="str">
        <f>"85.04"</f>
        <v>85.04</v>
      </c>
      <c r="BL35" t="str">
        <f>"47.24"</f>
        <v>47.24</v>
      </c>
      <c r="BM35" t="str">
        <f>"28.35"</f>
        <v>28.35</v>
      </c>
      <c r="BN35" t="str">
        <f>"152.12"</f>
        <v>152.12</v>
      </c>
      <c r="BY35" t="str">
        <f>"140.55"</f>
        <v>140.55</v>
      </c>
      <c r="BZ35" t="str">
        <f>"3.98"</f>
        <v>3.98</v>
      </c>
      <c r="CA35" t="s">
        <v>495</v>
      </c>
      <c r="CP35" t="s">
        <v>437</v>
      </c>
      <c r="CQ35" t="s">
        <v>1152</v>
      </c>
      <c r="CU35" t="s">
        <v>1187</v>
      </c>
      <c r="CY35" t="s">
        <v>400</v>
      </c>
      <c r="DD35">
        <v>15000</v>
      </c>
      <c r="DE35" t="s">
        <v>439</v>
      </c>
      <c r="DF35" t="s">
        <v>406</v>
      </c>
      <c r="DG35" t="s">
        <v>407</v>
      </c>
      <c r="DI35">
        <v>3</v>
      </c>
      <c r="DJ35" t="s">
        <v>1188</v>
      </c>
      <c r="DK35" t="s">
        <v>1189</v>
      </c>
      <c r="DM35" t="s">
        <v>410</v>
      </c>
      <c r="ED35" t="s">
        <v>406</v>
      </c>
      <c r="EE35" t="s">
        <v>407</v>
      </c>
      <c r="EF35" t="s">
        <v>1190</v>
      </c>
      <c r="EG35" t="s">
        <v>749</v>
      </c>
      <c r="GO35" t="s">
        <v>402</v>
      </c>
      <c r="GP35" t="s">
        <v>1191</v>
      </c>
      <c r="GQ35" t="s">
        <v>1192</v>
      </c>
    </row>
    <row r="36" spans="1:217" x14ac:dyDescent="0.25">
      <c r="A36" t="s">
        <v>1204</v>
      </c>
      <c r="B36" t="str">
        <f>"801542031350"</f>
        <v>801542031350</v>
      </c>
      <c r="C36" t="s">
        <v>1205</v>
      </c>
      <c r="D36" t="s">
        <v>1165</v>
      </c>
      <c r="E36" t="s">
        <v>1166</v>
      </c>
      <c r="F36" t="s">
        <v>1167</v>
      </c>
      <c r="G36" t="str">
        <f>"129"</f>
        <v>129</v>
      </c>
      <c r="H36" t="str">
        <f>"68"</f>
        <v>68</v>
      </c>
      <c r="I36" t="str">
        <f>"32.5"</f>
        <v>32.5</v>
      </c>
      <c r="J36" t="str">
        <f>"281.53"</f>
        <v>281.53</v>
      </c>
      <c r="K36" t="s">
        <v>1206</v>
      </c>
      <c r="L36" t="s">
        <v>1169</v>
      </c>
      <c r="N36" t="s">
        <v>416</v>
      </c>
      <c r="O36" t="s">
        <v>1172</v>
      </c>
      <c r="T36" t="s">
        <v>373</v>
      </c>
      <c r="U36" t="s">
        <v>373</v>
      </c>
      <c r="V36" t="s">
        <v>1207</v>
      </c>
      <c r="W36" t="s">
        <v>1208</v>
      </c>
      <c r="X36" t="s">
        <v>1209</v>
      </c>
      <c r="Y36" t="s">
        <v>1210</v>
      </c>
      <c r="Z36" t="s">
        <v>1211</v>
      </c>
      <c r="AA36" t="s">
        <v>1212</v>
      </c>
      <c r="AB36" t="s">
        <v>1213</v>
      </c>
      <c r="AC36" t="s">
        <v>1214</v>
      </c>
      <c r="AD36" t="s">
        <v>1215</v>
      </c>
      <c r="AE36" t="s">
        <v>1216</v>
      </c>
      <c r="AF36" t="s">
        <v>1217</v>
      </c>
      <c r="AG36" t="s">
        <v>1218</v>
      </c>
      <c r="AH36" t="s">
        <v>1219</v>
      </c>
      <c r="AI36" t="s">
        <v>1220</v>
      </c>
      <c r="AJ36" t="s">
        <v>1221</v>
      </c>
      <c r="BA36" t="str">
        <f>"5999"</f>
        <v>5999</v>
      </c>
      <c r="BB36" t="str">
        <f>"2520"</f>
        <v>2520</v>
      </c>
      <c r="BC36" t="s">
        <v>1149</v>
      </c>
      <c r="BD36" t="str">
        <f>"2"</f>
        <v>2</v>
      </c>
      <c r="BE36" t="s">
        <v>389</v>
      </c>
      <c r="BF36" t="str">
        <f>"56.3"</f>
        <v>56.3</v>
      </c>
      <c r="BG36" t="str">
        <f>"75.59"</f>
        <v>75.59</v>
      </c>
      <c r="BH36" t="str">
        <f>"30.31"</f>
        <v>30.31</v>
      </c>
      <c r="BI36" t="str">
        <f>"149.91"</f>
        <v>149.91</v>
      </c>
      <c r="BJ36" t="s">
        <v>389</v>
      </c>
      <c r="BK36" t="str">
        <f>"85.04"</f>
        <v>85.04</v>
      </c>
      <c r="BL36" t="str">
        <f>"47.24"</f>
        <v>47.24</v>
      </c>
      <c r="BM36" t="str">
        <f>"28.35"</f>
        <v>28.35</v>
      </c>
      <c r="BN36" t="str">
        <f>"152.12"</f>
        <v>152.12</v>
      </c>
      <c r="BY36" t="str">
        <f>"140.55"</f>
        <v>140.55</v>
      </c>
      <c r="BZ36" t="str">
        <f>"3.98"</f>
        <v>3.98</v>
      </c>
      <c r="CA36" t="s">
        <v>390</v>
      </c>
      <c r="CP36" t="s">
        <v>437</v>
      </c>
      <c r="CQ36" t="s">
        <v>438</v>
      </c>
      <c r="CU36" t="s">
        <v>1187</v>
      </c>
      <c r="CY36" t="s">
        <v>400</v>
      </c>
      <c r="DD36">
        <v>0</v>
      </c>
      <c r="DE36" t="s">
        <v>439</v>
      </c>
      <c r="DF36" t="s">
        <v>406</v>
      </c>
      <c r="DG36" t="s">
        <v>407</v>
      </c>
      <c r="DI36">
        <v>3</v>
      </c>
      <c r="DJ36" t="s">
        <v>1188</v>
      </c>
      <c r="DK36" t="s">
        <v>1189</v>
      </c>
      <c r="DM36" t="s">
        <v>410</v>
      </c>
      <c r="ED36" t="s">
        <v>406</v>
      </c>
      <c r="EE36" t="s">
        <v>407</v>
      </c>
      <c r="EF36" t="s">
        <v>1190</v>
      </c>
      <c r="EG36" t="s">
        <v>749</v>
      </c>
      <c r="GO36" t="s">
        <v>402</v>
      </c>
      <c r="GP36" t="s">
        <v>1191</v>
      </c>
      <c r="GQ36" t="s">
        <v>1192</v>
      </c>
    </row>
    <row r="37" spans="1:217" x14ac:dyDescent="0.25">
      <c r="A37" t="s">
        <v>1222</v>
      </c>
      <c r="B37" t="str">
        <f>"801542663711"</f>
        <v>801542663711</v>
      </c>
      <c r="C37" t="s">
        <v>1223</v>
      </c>
      <c r="D37" t="s">
        <v>1224</v>
      </c>
      <c r="E37" t="s">
        <v>930</v>
      </c>
      <c r="G37" t="str">
        <f>"77"</f>
        <v>77</v>
      </c>
      <c r="H37" t="str">
        <f>"18"</f>
        <v>18</v>
      </c>
      <c r="I37" t="str">
        <f>"30.5"</f>
        <v>30.5</v>
      </c>
      <c r="J37" t="str">
        <f>"158.51"</f>
        <v>158.51</v>
      </c>
      <c r="K37" t="s">
        <v>1225</v>
      </c>
      <c r="L37" t="s">
        <v>1226</v>
      </c>
      <c r="N37" t="s">
        <v>1227</v>
      </c>
      <c r="O37" t="s">
        <v>555</v>
      </c>
      <c r="T37" t="s">
        <v>373</v>
      </c>
      <c r="U37" t="s">
        <v>373</v>
      </c>
      <c r="V37" t="s">
        <v>1228</v>
      </c>
      <c r="W37" t="s">
        <v>1229</v>
      </c>
      <c r="X37" t="s">
        <v>1230</v>
      </c>
      <c r="Y37" t="s">
        <v>1231</v>
      </c>
      <c r="Z37" t="s">
        <v>1232</v>
      </c>
      <c r="AA37" t="s">
        <v>1233</v>
      </c>
      <c r="AB37" t="s">
        <v>1234</v>
      </c>
      <c r="AC37" t="s">
        <v>1235</v>
      </c>
      <c r="AD37" t="s">
        <v>1236</v>
      </c>
      <c r="AE37" t="s">
        <v>1237</v>
      </c>
      <c r="AF37" t="s">
        <v>1238</v>
      </c>
      <c r="AG37" t="s">
        <v>1239</v>
      </c>
      <c r="BA37" t="str">
        <f>"3999"</f>
        <v>3999</v>
      </c>
      <c r="BB37" t="str">
        <f>"1680"</f>
        <v>1680</v>
      </c>
      <c r="BC37" t="s">
        <v>1149</v>
      </c>
      <c r="BD37" t="str">
        <f t="shared" ref="BD37:BD44" si="2">"1"</f>
        <v>1</v>
      </c>
      <c r="BE37" t="s">
        <v>389</v>
      </c>
      <c r="BF37" t="str">
        <f>"82.48"</f>
        <v>82.48</v>
      </c>
      <c r="BG37" t="str">
        <f>"23.98"</f>
        <v>23.98</v>
      </c>
      <c r="BH37" t="str">
        <f>"31.69"</f>
        <v>31.69</v>
      </c>
      <c r="BI37" t="str">
        <f>"229.5"</f>
        <v>229.5</v>
      </c>
      <c r="BY37" t="str">
        <f>"36.27"</f>
        <v>36.27</v>
      </c>
      <c r="BZ37" t="str">
        <f>"1.027"</f>
        <v>1.027</v>
      </c>
      <c r="CA37" t="s">
        <v>431</v>
      </c>
      <c r="CB37" t="s">
        <v>950</v>
      </c>
      <c r="CC37" t="s">
        <v>956</v>
      </c>
      <c r="CD37" t="s">
        <v>602</v>
      </c>
      <c r="CE37" t="s">
        <v>950</v>
      </c>
      <c r="CF37" t="s">
        <v>1240</v>
      </c>
      <c r="CG37" t="s">
        <v>602</v>
      </c>
      <c r="CR37" t="s">
        <v>400</v>
      </c>
      <c r="CS37">
        <v>0</v>
      </c>
      <c r="CT37" t="s">
        <v>400</v>
      </c>
      <c r="CV37">
        <v>2</v>
      </c>
      <c r="CW37" t="s">
        <v>402</v>
      </c>
      <c r="CX37" t="s">
        <v>1241</v>
      </c>
      <c r="CY37" t="s">
        <v>954</v>
      </c>
      <c r="DA37">
        <v>18.14</v>
      </c>
      <c r="DB37">
        <v>40</v>
      </c>
      <c r="DC37">
        <v>0</v>
      </c>
      <c r="DK37" t="s">
        <v>1242</v>
      </c>
      <c r="DM37" t="s">
        <v>669</v>
      </c>
      <c r="DX37" t="s">
        <v>1243</v>
      </c>
      <c r="EM37" t="s">
        <v>402</v>
      </c>
      <c r="EN37">
        <v>4</v>
      </c>
      <c r="EZ37" t="s">
        <v>1092</v>
      </c>
      <c r="FA37" t="s">
        <v>956</v>
      </c>
      <c r="FB37" t="s">
        <v>1244</v>
      </c>
      <c r="FF37">
        <v>0</v>
      </c>
      <c r="FG37" t="s">
        <v>402</v>
      </c>
      <c r="FH37" t="s">
        <v>1245</v>
      </c>
      <c r="FI37">
        <v>2</v>
      </c>
      <c r="FJ37" t="s">
        <v>960</v>
      </c>
      <c r="FK37" t="s">
        <v>1246</v>
      </c>
      <c r="FL37">
        <v>0</v>
      </c>
      <c r="FO37" t="s">
        <v>984</v>
      </c>
      <c r="GB37" t="s">
        <v>950</v>
      </c>
      <c r="GC37" t="s">
        <v>1240</v>
      </c>
      <c r="GD37" t="s">
        <v>602</v>
      </c>
      <c r="GR37" t="s">
        <v>950</v>
      </c>
      <c r="GS37" t="s">
        <v>950</v>
      </c>
      <c r="GT37" t="s">
        <v>1240</v>
      </c>
      <c r="GU37" t="s">
        <v>1240</v>
      </c>
      <c r="GV37" t="s">
        <v>602</v>
      </c>
      <c r="GW37" t="s">
        <v>602</v>
      </c>
    </row>
    <row r="38" spans="1:217" x14ac:dyDescent="0.25">
      <c r="A38" t="s">
        <v>1247</v>
      </c>
      <c r="B38" t="str">
        <f>"801542618049"</f>
        <v>801542618049</v>
      </c>
      <c r="C38" t="s">
        <v>1248</v>
      </c>
      <c r="D38" t="s">
        <v>1249</v>
      </c>
      <c r="E38" t="s">
        <v>988</v>
      </c>
      <c r="G38" t="str">
        <f>"35.5"</f>
        <v>35.5</v>
      </c>
      <c r="H38" t="str">
        <f>"19.75"</f>
        <v>19.75</v>
      </c>
      <c r="I38" t="str">
        <f>"48"</f>
        <v>48</v>
      </c>
      <c r="J38" t="str">
        <f>"249.12"</f>
        <v>249.12</v>
      </c>
      <c r="K38" t="s">
        <v>1017</v>
      </c>
      <c r="N38" t="s">
        <v>555</v>
      </c>
      <c r="T38" t="s">
        <v>373</v>
      </c>
      <c r="U38" t="s">
        <v>373</v>
      </c>
      <c r="V38" t="s">
        <v>1250</v>
      </c>
      <c r="W38" t="s">
        <v>1251</v>
      </c>
      <c r="X38" t="s">
        <v>1252</v>
      </c>
      <c r="Y38" t="s">
        <v>1253</v>
      </c>
      <c r="Z38" t="s">
        <v>1254</v>
      </c>
      <c r="AA38" t="s">
        <v>1255</v>
      </c>
      <c r="AB38" t="s">
        <v>1256</v>
      </c>
      <c r="AC38" t="s">
        <v>1257</v>
      </c>
      <c r="AD38" t="s">
        <v>1258</v>
      </c>
      <c r="AE38" t="s">
        <v>1259</v>
      </c>
      <c r="AF38" t="s">
        <v>1260</v>
      </c>
      <c r="AG38" t="s">
        <v>1261</v>
      </c>
      <c r="AH38" t="s">
        <v>1262</v>
      </c>
      <c r="AI38" t="s">
        <v>1263</v>
      </c>
      <c r="AJ38" t="s">
        <v>1264</v>
      </c>
      <c r="AK38" t="s">
        <v>1265</v>
      </c>
      <c r="BA38" t="str">
        <f>"2099"</f>
        <v>2099</v>
      </c>
      <c r="BB38" t="str">
        <f>"885"</f>
        <v>885</v>
      </c>
      <c r="BC38" t="s">
        <v>665</v>
      </c>
      <c r="BD38" t="str">
        <f t="shared" si="2"/>
        <v>1</v>
      </c>
      <c r="BE38" t="s">
        <v>1266</v>
      </c>
      <c r="BF38" t="str">
        <f>"39.37"</f>
        <v>39.37</v>
      </c>
      <c r="BG38" t="str">
        <f>"23.43"</f>
        <v>23.43</v>
      </c>
      <c r="BH38" t="str">
        <f>"54.13"</f>
        <v>54.13</v>
      </c>
      <c r="BI38" t="str">
        <f>"273.37"</f>
        <v>273.37</v>
      </c>
      <c r="BY38" t="str">
        <f>"28.89"</f>
        <v>28.89</v>
      </c>
      <c r="BZ38" t="str">
        <f>"0.818"</f>
        <v>0.818</v>
      </c>
      <c r="CA38" t="s">
        <v>431</v>
      </c>
      <c r="CR38" t="s">
        <v>1007</v>
      </c>
      <c r="CS38">
        <v>8</v>
      </c>
      <c r="CT38" t="s">
        <v>400</v>
      </c>
      <c r="CV38">
        <v>0</v>
      </c>
      <c r="CY38" t="s">
        <v>1009</v>
      </c>
      <c r="DC38">
        <v>0</v>
      </c>
      <c r="DJ38" t="s">
        <v>1267</v>
      </c>
      <c r="DK38" t="s">
        <v>1249</v>
      </c>
      <c r="DM38" t="s">
        <v>473</v>
      </c>
      <c r="DX38" t="s">
        <v>1268</v>
      </c>
      <c r="EM38" t="s">
        <v>402</v>
      </c>
      <c r="EN38">
        <v>0</v>
      </c>
      <c r="FI38">
        <v>0</v>
      </c>
      <c r="FJ38" t="s">
        <v>1012</v>
      </c>
      <c r="FR38" t="s">
        <v>1269</v>
      </c>
      <c r="FS38" t="s">
        <v>1269</v>
      </c>
      <c r="FT38" t="s">
        <v>1270</v>
      </c>
      <c r="FU38" t="s">
        <v>1271</v>
      </c>
      <c r="FV38" t="s">
        <v>1272</v>
      </c>
      <c r="FW38" t="s">
        <v>1273</v>
      </c>
      <c r="FX38" t="s">
        <v>1017</v>
      </c>
    </row>
    <row r="39" spans="1:217" x14ac:dyDescent="0.25">
      <c r="A39" t="s">
        <v>1274</v>
      </c>
      <c r="B39" t="str">
        <f>"801542702830"</f>
        <v>801542702830</v>
      </c>
      <c r="C39" t="s">
        <v>1275</v>
      </c>
      <c r="D39" t="s">
        <v>1276</v>
      </c>
      <c r="E39" t="s">
        <v>1043</v>
      </c>
      <c r="G39" t="str">
        <f>"23.5"</f>
        <v>23.5</v>
      </c>
      <c r="H39" t="str">
        <f>"17.75"</f>
        <v>17.75</v>
      </c>
      <c r="I39" t="str">
        <f>"25.5"</f>
        <v>25.5</v>
      </c>
      <c r="J39" t="str">
        <f>"79.37"</f>
        <v>79.37</v>
      </c>
      <c r="K39" t="s">
        <v>1017</v>
      </c>
      <c r="L39" t="s">
        <v>1277</v>
      </c>
      <c r="N39" t="s">
        <v>555</v>
      </c>
      <c r="T39" t="s">
        <v>373</v>
      </c>
      <c r="U39" t="s">
        <v>373</v>
      </c>
      <c r="W39" t="s">
        <v>1278</v>
      </c>
      <c r="X39" t="s">
        <v>1279</v>
      </c>
      <c r="Y39" t="s">
        <v>1280</v>
      </c>
      <c r="Z39" t="s">
        <v>1281</v>
      </c>
      <c r="AA39" t="s">
        <v>1282</v>
      </c>
      <c r="AB39" t="s">
        <v>1283</v>
      </c>
      <c r="AC39" t="s">
        <v>1284</v>
      </c>
      <c r="AD39" t="s">
        <v>1285</v>
      </c>
      <c r="AE39" t="s">
        <v>1286</v>
      </c>
      <c r="AF39" t="s">
        <v>1287</v>
      </c>
      <c r="AG39" t="s">
        <v>1288</v>
      </c>
      <c r="BA39" t="str">
        <f>"849"</f>
        <v>849</v>
      </c>
      <c r="BB39" t="str">
        <f>"360"</f>
        <v>360</v>
      </c>
      <c r="BC39" t="s">
        <v>665</v>
      </c>
      <c r="BD39" t="str">
        <f t="shared" si="2"/>
        <v>1</v>
      </c>
      <c r="BE39" t="s">
        <v>1266</v>
      </c>
      <c r="BF39" t="str">
        <f>"27.36"</f>
        <v>27.36</v>
      </c>
      <c r="BG39" t="str">
        <f>"21.65"</f>
        <v>21.65</v>
      </c>
      <c r="BH39" t="str">
        <f>"32.68"</f>
        <v>32.68</v>
      </c>
      <c r="BI39" t="str">
        <f>"103.62"</f>
        <v>103.62</v>
      </c>
      <c r="BY39" t="str">
        <f>"11.19"</f>
        <v>11.19</v>
      </c>
      <c r="BZ39" t="str">
        <f>"0.317"</f>
        <v>0.317</v>
      </c>
      <c r="CA39" t="s">
        <v>495</v>
      </c>
      <c r="CE39" t="s">
        <v>1289</v>
      </c>
      <c r="CF39" t="s">
        <v>1290</v>
      </c>
      <c r="CG39" t="s">
        <v>1291</v>
      </c>
      <c r="CR39" t="s">
        <v>1007</v>
      </c>
      <c r="CS39">
        <v>2</v>
      </c>
      <c r="CT39" t="s">
        <v>400</v>
      </c>
      <c r="CV39">
        <v>0</v>
      </c>
      <c r="CY39" t="s">
        <v>1009</v>
      </c>
      <c r="DC39">
        <v>0</v>
      </c>
      <c r="DJ39" t="s">
        <v>408</v>
      </c>
      <c r="DK39" t="s">
        <v>1249</v>
      </c>
      <c r="DM39" t="s">
        <v>473</v>
      </c>
      <c r="DX39" t="s">
        <v>1292</v>
      </c>
      <c r="EN39">
        <v>1</v>
      </c>
      <c r="FI39">
        <v>0</v>
      </c>
      <c r="FJ39" t="s">
        <v>1012</v>
      </c>
      <c r="FR39" t="s">
        <v>1293</v>
      </c>
      <c r="FT39" t="s">
        <v>1294</v>
      </c>
      <c r="FV39" t="s">
        <v>1295</v>
      </c>
      <c r="FX39" t="s">
        <v>1017</v>
      </c>
    </row>
    <row r="40" spans="1:217" x14ac:dyDescent="0.25">
      <c r="A40" t="s">
        <v>1296</v>
      </c>
      <c r="B40" t="str">
        <f>"801542616236"</f>
        <v>801542616236</v>
      </c>
      <c r="C40" t="s">
        <v>1297</v>
      </c>
      <c r="D40" t="s">
        <v>1249</v>
      </c>
      <c r="E40" t="s">
        <v>988</v>
      </c>
      <c r="G40" t="str">
        <f>"70"</f>
        <v>70</v>
      </c>
      <c r="H40" t="str">
        <f>"18.5"</f>
        <v>18.5</v>
      </c>
      <c r="I40" t="str">
        <f>"38.5"</f>
        <v>38.5</v>
      </c>
      <c r="J40" t="str">
        <f>"321.87"</f>
        <v>321.87</v>
      </c>
      <c r="K40" t="s">
        <v>1017</v>
      </c>
      <c r="L40" t="s">
        <v>1277</v>
      </c>
      <c r="N40" t="s">
        <v>555</v>
      </c>
      <c r="T40" t="s">
        <v>402</v>
      </c>
      <c r="U40" t="s">
        <v>373</v>
      </c>
      <c r="V40" t="s">
        <v>1298</v>
      </c>
      <c r="W40" t="s">
        <v>1299</v>
      </c>
      <c r="X40" t="s">
        <v>1300</v>
      </c>
      <c r="Y40" t="s">
        <v>1301</v>
      </c>
      <c r="Z40" t="s">
        <v>1302</v>
      </c>
      <c r="AA40" t="s">
        <v>1303</v>
      </c>
      <c r="AB40" t="s">
        <v>1304</v>
      </c>
      <c r="AC40" t="s">
        <v>1305</v>
      </c>
      <c r="AD40" t="s">
        <v>1306</v>
      </c>
      <c r="AE40" t="s">
        <v>1307</v>
      </c>
      <c r="AF40" t="s">
        <v>1308</v>
      </c>
      <c r="AG40" t="s">
        <v>1309</v>
      </c>
      <c r="AH40" t="s">
        <v>1310</v>
      </c>
      <c r="AI40" t="s">
        <v>1311</v>
      </c>
      <c r="BA40" t="str">
        <f>"2899"</f>
        <v>2899</v>
      </c>
      <c r="BB40" t="str">
        <f>"1220"</f>
        <v>1220</v>
      </c>
      <c r="BC40" t="s">
        <v>665</v>
      </c>
      <c r="BD40" t="str">
        <f t="shared" si="2"/>
        <v>1</v>
      </c>
      <c r="BE40" t="s">
        <v>1266</v>
      </c>
      <c r="BF40" t="str">
        <f>"73.62"</f>
        <v>73.62</v>
      </c>
      <c r="BG40" t="str">
        <f>"22.44"</f>
        <v>22.44</v>
      </c>
      <c r="BH40" t="str">
        <f>"45.28"</f>
        <v>45.28</v>
      </c>
      <c r="BI40" t="str">
        <f>"368.17"</f>
        <v>368.17</v>
      </c>
      <c r="BY40" t="str">
        <f>"43.3"</f>
        <v>43.3</v>
      </c>
      <c r="BZ40" t="str">
        <f>"1.226"</f>
        <v>1.226</v>
      </c>
      <c r="CA40" t="s">
        <v>495</v>
      </c>
      <c r="CR40" t="s">
        <v>1007</v>
      </c>
      <c r="CS40">
        <v>8</v>
      </c>
      <c r="CT40" t="s">
        <v>1312</v>
      </c>
      <c r="CV40">
        <v>0</v>
      </c>
      <c r="CY40" t="s">
        <v>1009</v>
      </c>
      <c r="DC40">
        <v>0</v>
      </c>
      <c r="DJ40" t="s">
        <v>1010</v>
      </c>
      <c r="DK40" t="s">
        <v>1249</v>
      </c>
      <c r="DM40" t="s">
        <v>473</v>
      </c>
      <c r="DX40" t="s">
        <v>1292</v>
      </c>
      <c r="EM40" t="s">
        <v>402</v>
      </c>
      <c r="EN40">
        <v>0</v>
      </c>
      <c r="FI40">
        <v>0</v>
      </c>
      <c r="FJ40" t="s">
        <v>1012</v>
      </c>
      <c r="FR40" t="s">
        <v>1313</v>
      </c>
      <c r="FT40" t="s">
        <v>1314</v>
      </c>
      <c r="FV40" t="s">
        <v>1315</v>
      </c>
      <c r="FX40" t="s">
        <v>1017</v>
      </c>
    </row>
    <row r="41" spans="1:217" x14ac:dyDescent="0.25">
      <c r="A41" t="s">
        <v>1316</v>
      </c>
      <c r="B41" t="str">
        <f>"801542761028"</f>
        <v>801542761028</v>
      </c>
      <c r="C41" t="s">
        <v>1317</v>
      </c>
      <c r="D41" t="s">
        <v>1318</v>
      </c>
      <c r="E41" t="s">
        <v>1319</v>
      </c>
      <c r="F41" t="s">
        <v>1320</v>
      </c>
      <c r="G41" t="str">
        <f>"70.75"</f>
        <v>70.75</v>
      </c>
      <c r="H41" t="str">
        <f>"27.5"</f>
        <v>27.5</v>
      </c>
      <c r="I41" t="str">
        <f>"30.75"</f>
        <v>30.75</v>
      </c>
      <c r="J41" t="str">
        <f>"252.43"</f>
        <v>252.43</v>
      </c>
      <c r="K41" t="s">
        <v>1321</v>
      </c>
      <c r="L41" t="s">
        <v>1322</v>
      </c>
      <c r="M41" t="s">
        <v>1323</v>
      </c>
      <c r="N41" t="s">
        <v>1324</v>
      </c>
      <c r="O41" t="s">
        <v>1325</v>
      </c>
      <c r="T41" t="s">
        <v>373</v>
      </c>
      <c r="U41" t="s">
        <v>373</v>
      </c>
      <c r="V41" t="s">
        <v>1326</v>
      </c>
      <c r="W41" t="s">
        <v>1327</v>
      </c>
      <c r="X41" t="s">
        <v>1328</v>
      </c>
      <c r="Y41" t="s">
        <v>1329</v>
      </c>
      <c r="Z41" t="s">
        <v>1330</v>
      </c>
      <c r="AA41" t="s">
        <v>1331</v>
      </c>
      <c r="AB41" t="s">
        <v>1332</v>
      </c>
      <c r="AC41" t="s">
        <v>1333</v>
      </c>
      <c r="AD41" t="s">
        <v>1334</v>
      </c>
      <c r="AE41" t="s">
        <v>1335</v>
      </c>
      <c r="AF41" t="s">
        <v>1336</v>
      </c>
      <c r="AG41" t="s">
        <v>1337</v>
      </c>
      <c r="AH41" t="s">
        <v>1338</v>
      </c>
      <c r="AI41" t="s">
        <v>1339</v>
      </c>
      <c r="BA41" t="str">
        <f>"3499"</f>
        <v>3499</v>
      </c>
      <c r="BB41" t="str">
        <f>"1470"</f>
        <v>1470</v>
      </c>
      <c r="BC41" t="s">
        <v>665</v>
      </c>
      <c r="BD41" t="str">
        <f t="shared" si="2"/>
        <v>1</v>
      </c>
      <c r="BE41" t="s">
        <v>389</v>
      </c>
      <c r="BF41" t="str">
        <f>"74.61"</f>
        <v>74.61</v>
      </c>
      <c r="BG41" t="str">
        <f>"31.5"</f>
        <v>31.5</v>
      </c>
      <c r="BH41" t="str">
        <f>"25.59"</f>
        <v>25.59</v>
      </c>
      <c r="BI41" t="str">
        <f>"328.49"</f>
        <v>328.49</v>
      </c>
      <c r="BY41" t="str">
        <f>"34.78"</f>
        <v>34.78</v>
      </c>
      <c r="BZ41" t="str">
        <f>"0.985"</f>
        <v>0.985</v>
      </c>
      <c r="CA41" t="s">
        <v>495</v>
      </c>
      <c r="CE41" t="s">
        <v>1340</v>
      </c>
      <c r="CF41" t="s">
        <v>1341</v>
      </c>
      <c r="CG41" t="s">
        <v>1342</v>
      </c>
      <c r="CR41" t="s">
        <v>1343</v>
      </c>
      <c r="CS41">
        <v>4</v>
      </c>
      <c r="CT41" t="s">
        <v>1344</v>
      </c>
      <c r="CV41">
        <v>0</v>
      </c>
      <c r="CX41" t="s">
        <v>1241</v>
      </c>
      <c r="CY41" t="s">
        <v>1009</v>
      </c>
      <c r="DC41">
        <v>3</v>
      </c>
      <c r="DJ41" t="s">
        <v>1345</v>
      </c>
      <c r="DK41" t="s">
        <v>1346</v>
      </c>
      <c r="DM41" t="s">
        <v>669</v>
      </c>
      <c r="DX41" t="s">
        <v>676</v>
      </c>
      <c r="DY41" t="s">
        <v>568</v>
      </c>
      <c r="DZ41" t="s">
        <v>1347</v>
      </c>
      <c r="EI41" t="s">
        <v>1348</v>
      </c>
      <c r="EJ41" t="s">
        <v>1349</v>
      </c>
      <c r="EK41" t="s">
        <v>1348</v>
      </c>
      <c r="EL41" t="s">
        <v>1350</v>
      </c>
      <c r="EM41" t="s">
        <v>402</v>
      </c>
      <c r="EN41">
        <v>3</v>
      </c>
      <c r="EW41" t="s">
        <v>1349</v>
      </c>
      <c r="FC41" t="s">
        <v>1351</v>
      </c>
      <c r="FD41" t="s">
        <v>956</v>
      </c>
      <c r="FE41" t="s">
        <v>1352</v>
      </c>
      <c r="FH41" t="s">
        <v>959</v>
      </c>
      <c r="FI41">
        <v>2</v>
      </c>
      <c r="FJ41" t="s">
        <v>960</v>
      </c>
      <c r="FM41" t="s">
        <v>402</v>
      </c>
      <c r="FO41" t="s">
        <v>984</v>
      </c>
      <c r="FR41" t="s">
        <v>1353</v>
      </c>
      <c r="FS41" t="s">
        <v>1353</v>
      </c>
      <c r="FT41" t="s">
        <v>1354</v>
      </c>
      <c r="FU41" t="s">
        <v>1355</v>
      </c>
      <c r="FV41" t="s">
        <v>1356</v>
      </c>
      <c r="FW41" t="s">
        <v>1356</v>
      </c>
      <c r="FX41" t="s">
        <v>1017</v>
      </c>
      <c r="FZ41" t="s">
        <v>1018</v>
      </c>
      <c r="GA41" t="s">
        <v>402</v>
      </c>
      <c r="GB41" t="s">
        <v>1340</v>
      </c>
      <c r="GC41" t="s">
        <v>1341</v>
      </c>
      <c r="GD41" t="s">
        <v>1352</v>
      </c>
      <c r="GE41">
        <v>0</v>
      </c>
      <c r="GR41" t="s">
        <v>1340</v>
      </c>
      <c r="GT41" t="s">
        <v>1341</v>
      </c>
      <c r="GV41" t="s">
        <v>1352</v>
      </c>
      <c r="GX41" t="s">
        <v>1357</v>
      </c>
      <c r="GY41" t="s">
        <v>1353</v>
      </c>
      <c r="GZ41" t="s">
        <v>1353</v>
      </c>
      <c r="HA41" t="s">
        <v>1358</v>
      </c>
      <c r="HB41" t="s">
        <v>1359</v>
      </c>
      <c r="HC41" t="s">
        <v>1356</v>
      </c>
      <c r="HD41" t="s">
        <v>1356</v>
      </c>
      <c r="HE41" t="s">
        <v>1351</v>
      </c>
      <c r="HF41" t="s">
        <v>956</v>
      </c>
      <c r="HG41" t="s">
        <v>1342</v>
      </c>
      <c r="HH41" t="s">
        <v>402</v>
      </c>
      <c r="HI41" t="s">
        <v>402</v>
      </c>
    </row>
    <row r="42" spans="1:217" x14ac:dyDescent="0.25">
      <c r="A42" t="s">
        <v>1360</v>
      </c>
      <c r="B42" t="str">
        <f>"801542414900"</f>
        <v>801542414900</v>
      </c>
      <c r="C42" t="s">
        <v>1361</v>
      </c>
      <c r="D42" t="s">
        <v>1318</v>
      </c>
      <c r="E42" t="s">
        <v>1319</v>
      </c>
      <c r="F42" t="s">
        <v>1320</v>
      </c>
      <c r="G42" t="str">
        <f>"70.75"</f>
        <v>70.75</v>
      </c>
      <c r="H42" t="str">
        <f>"27.5"</f>
        <v>27.5</v>
      </c>
      <c r="I42" t="str">
        <f>"30.75"</f>
        <v>30.75</v>
      </c>
      <c r="J42" t="str">
        <f>"252.43"</f>
        <v>252.43</v>
      </c>
      <c r="K42" t="s">
        <v>1362</v>
      </c>
      <c r="L42" t="s">
        <v>1363</v>
      </c>
      <c r="M42" t="s">
        <v>1364</v>
      </c>
      <c r="N42" t="s">
        <v>1324</v>
      </c>
      <c r="O42" t="s">
        <v>555</v>
      </c>
      <c r="T42" t="s">
        <v>373</v>
      </c>
      <c r="U42" t="s">
        <v>373</v>
      </c>
      <c r="V42" t="s">
        <v>1365</v>
      </c>
      <c r="W42" t="s">
        <v>1366</v>
      </c>
      <c r="X42" t="s">
        <v>1367</v>
      </c>
      <c r="Y42" t="s">
        <v>1368</v>
      </c>
      <c r="Z42" t="s">
        <v>1369</v>
      </c>
      <c r="AA42" t="s">
        <v>1370</v>
      </c>
      <c r="AB42" t="s">
        <v>1371</v>
      </c>
      <c r="AC42" t="s">
        <v>1372</v>
      </c>
      <c r="AD42" t="s">
        <v>1373</v>
      </c>
      <c r="AE42" t="s">
        <v>1374</v>
      </c>
      <c r="AF42" t="s">
        <v>1375</v>
      </c>
      <c r="AG42" t="s">
        <v>1376</v>
      </c>
      <c r="AH42" t="s">
        <v>1377</v>
      </c>
      <c r="AI42" t="s">
        <v>1378</v>
      </c>
      <c r="AJ42" t="s">
        <v>1379</v>
      </c>
      <c r="BA42" t="str">
        <f>"3499"</f>
        <v>3499</v>
      </c>
      <c r="BB42" t="str">
        <f>"1470"</f>
        <v>1470</v>
      </c>
      <c r="BC42" t="s">
        <v>665</v>
      </c>
      <c r="BD42" t="str">
        <f t="shared" si="2"/>
        <v>1</v>
      </c>
      <c r="BE42" t="s">
        <v>389</v>
      </c>
      <c r="BF42" t="str">
        <f>"74.61"</f>
        <v>74.61</v>
      </c>
      <c r="BG42" t="str">
        <f>"31.5"</f>
        <v>31.5</v>
      </c>
      <c r="BH42" t="str">
        <f>"25.59"</f>
        <v>25.59</v>
      </c>
      <c r="BI42" t="str">
        <f>"328.49"</f>
        <v>328.49</v>
      </c>
      <c r="BY42" t="str">
        <f>"34.78"</f>
        <v>34.78</v>
      </c>
      <c r="BZ42" t="str">
        <f>"0.985"</f>
        <v>0.985</v>
      </c>
      <c r="CA42" t="s">
        <v>495</v>
      </c>
      <c r="CE42" t="s">
        <v>1340</v>
      </c>
      <c r="CF42" t="s">
        <v>1341</v>
      </c>
      <c r="CG42" t="s">
        <v>1342</v>
      </c>
      <c r="CR42" t="s">
        <v>1343</v>
      </c>
      <c r="CS42">
        <v>4</v>
      </c>
      <c r="CT42" t="s">
        <v>1344</v>
      </c>
      <c r="CV42">
        <v>0</v>
      </c>
      <c r="CX42" t="s">
        <v>1241</v>
      </c>
      <c r="CY42" t="s">
        <v>1009</v>
      </c>
      <c r="DC42">
        <v>3</v>
      </c>
      <c r="DJ42" t="s">
        <v>1345</v>
      </c>
      <c r="DK42" t="s">
        <v>1346</v>
      </c>
      <c r="DM42" t="s">
        <v>669</v>
      </c>
      <c r="DX42" t="s">
        <v>676</v>
      </c>
      <c r="DY42" t="s">
        <v>568</v>
      </c>
      <c r="DZ42" t="s">
        <v>1347</v>
      </c>
      <c r="EI42" t="s">
        <v>1348</v>
      </c>
      <c r="EJ42" t="s">
        <v>1349</v>
      </c>
      <c r="EK42" t="s">
        <v>1348</v>
      </c>
      <c r="EL42" t="s">
        <v>1350</v>
      </c>
      <c r="EM42" t="s">
        <v>402</v>
      </c>
      <c r="EN42">
        <v>3</v>
      </c>
      <c r="EW42" t="s">
        <v>1349</v>
      </c>
      <c r="FC42" t="s">
        <v>1351</v>
      </c>
      <c r="FD42" t="s">
        <v>956</v>
      </c>
      <c r="FE42" t="s">
        <v>1352</v>
      </c>
      <c r="FH42" t="s">
        <v>959</v>
      </c>
      <c r="FI42">
        <v>2</v>
      </c>
      <c r="FJ42" t="s">
        <v>960</v>
      </c>
      <c r="FM42" t="s">
        <v>402</v>
      </c>
      <c r="FO42" t="s">
        <v>984</v>
      </c>
      <c r="FR42" t="s">
        <v>1353</v>
      </c>
      <c r="FS42" t="s">
        <v>1353</v>
      </c>
      <c r="FT42" t="s">
        <v>1354</v>
      </c>
      <c r="FU42" t="s">
        <v>1355</v>
      </c>
      <c r="FV42" t="s">
        <v>1356</v>
      </c>
      <c r="FW42" t="s">
        <v>1356</v>
      </c>
      <c r="FX42" t="s">
        <v>1017</v>
      </c>
      <c r="FZ42" t="s">
        <v>1018</v>
      </c>
      <c r="GA42" t="s">
        <v>402</v>
      </c>
      <c r="GB42" t="s">
        <v>1340</v>
      </c>
      <c r="GC42" t="s">
        <v>1341</v>
      </c>
      <c r="GD42" t="s">
        <v>1352</v>
      </c>
      <c r="GE42">
        <v>0</v>
      </c>
      <c r="GR42" t="s">
        <v>1340</v>
      </c>
      <c r="GT42" t="s">
        <v>1341</v>
      </c>
      <c r="GV42" t="s">
        <v>1352</v>
      </c>
      <c r="GX42" t="s">
        <v>1357</v>
      </c>
      <c r="GY42" t="s">
        <v>1353</v>
      </c>
      <c r="GZ42" t="s">
        <v>1353</v>
      </c>
      <c r="HA42" t="s">
        <v>1358</v>
      </c>
      <c r="HB42" t="s">
        <v>1359</v>
      </c>
      <c r="HC42" t="s">
        <v>1356</v>
      </c>
      <c r="HD42" t="s">
        <v>1356</v>
      </c>
      <c r="HE42" t="s">
        <v>1351</v>
      </c>
      <c r="HF42" t="s">
        <v>956</v>
      </c>
      <c r="HG42" t="s">
        <v>1342</v>
      </c>
      <c r="HH42" t="s">
        <v>402</v>
      </c>
      <c r="HI42" t="s">
        <v>402</v>
      </c>
    </row>
    <row r="43" spans="1:217" x14ac:dyDescent="0.25">
      <c r="A43" t="s">
        <v>1380</v>
      </c>
      <c r="B43" t="str">
        <f>"801542760991"</f>
        <v>801542760991</v>
      </c>
      <c r="C43" t="s">
        <v>1381</v>
      </c>
      <c r="D43" t="s">
        <v>1318</v>
      </c>
      <c r="E43" t="s">
        <v>459</v>
      </c>
      <c r="G43" t="str">
        <f>"17"</f>
        <v>17</v>
      </c>
      <c r="H43" t="str">
        <f>"17"</f>
        <v>17</v>
      </c>
      <c r="I43" t="str">
        <f>"24.25"</f>
        <v>24.25</v>
      </c>
      <c r="J43" t="str">
        <f>"37.48"</f>
        <v>37.48</v>
      </c>
      <c r="K43" t="s">
        <v>1321</v>
      </c>
      <c r="L43" t="s">
        <v>1382</v>
      </c>
      <c r="M43" t="s">
        <v>1383</v>
      </c>
      <c r="N43" t="s">
        <v>1324</v>
      </c>
      <c r="O43" t="s">
        <v>372</v>
      </c>
      <c r="P43" t="s">
        <v>1384</v>
      </c>
      <c r="T43" t="s">
        <v>373</v>
      </c>
      <c r="U43" t="s">
        <v>373</v>
      </c>
      <c r="V43" t="s">
        <v>1385</v>
      </c>
      <c r="W43" t="s">
        <v>1386</v>
      </c>
      <c r="X43" t="s">
        <v>1387</v>
      </c>
      <c r="Y43" t="s">
        <v>1388</v>
      </c>
      <c r="Z43" t="s">
        <v>1389</v>
      </c>
      <c r="AA43" t="s">
        <v>1390</v>
      </c>
      <c r="AB43" t="s">
        <v>1391</v>
      </c>
      <c r="BA43" t="str">
        <f>"899"</f>
        <v>899</v>
      </c>
      <c r="BB43" t="str">
        <f>"380"</f>
        <v>380</v>
      </c>
      <c r="BC43" t="s">
        <v>665</v>
      </c>
      <c r="BD43" t="str">
        <f t="shared" si="2"/>
        <v>1</v>
      </c>
      <c r="BE43" t="s">
        <v>389</v>
      </c>
      <c r="BF43" t="str">
        <f>"20.28"</f>
        <v>20.28</v>
      </c>
      <c r="BG43" t="str">
        <f>"20.47"</f>
        <v>20.47</v>
      </c>
      <c r="BH43" t="str">
        <f>"30"</f>
        <v>30</v>
      </c>
      <c r="BI43" t="str">
        <f>"52.91"</f>
        <v>52.91</v>
      </c>
      <c r="BY43" t="str">
        <f>"7.2"</f>
        <v>7.2</v>
      </c>
      <c r="BZ43" t="str">
        <f>"0.204"</f>
        <v>0.204</v>
      </c>
      <c r="CA43" t="s">
        <v>431</v>
      </c>
      <c r="CR43" t="s">
        <v>400</v>
      </c>
      <c r="CS43">
        <v>0</v>
      </c>
      <c r="CT43" t="s">
        <v>400</v>
      </c>
      <c r="CV43">
        <v>0</v>
      </c>
      <c r="CX43" t="s">
        <v>953</v>
      </c>
      <c r="CY43" t="s">
        <v>400</v>
      </c>
      <c r="DC43">
        <v>0</v>
      </c>
      <c r="DJ43" t="s">
        <v>471</v>
      </c>
      <c r="DK43" t="s">
        <v>1392</v>
      </c>
      <c r="DM43" t="s">
        <v>473</v>
      </c>
      <c r="DX43" t="s">
        <v>1393</v>
      </c>
      <c r="EI43" t="s">
        <v>546</v>
      </c>
      <c r="EJ43" t="s">
        <v>1393</v>
      </c>
      <c r="EK43" t="s">
        <v>546</v>
      </c>
      <c r="EL43" t="s">
        <v>1394</v>
      </c>
      <c r="EN43">
        <v>0</v>
      </c>
      <c r="EO43">
        <v>0</v>
      </c>
      <c r="EX43" t="s">
        <v>392</v>
      </c>
    </row>
    <row r="44" spans="1:217" x14ac:dyDescent="0.25">
      <c r="A44" t="s">
        <v>1395</v>
      </c>
      <c r="B44" t="str">
        <f>"801542640606"</f>
        <v>801542640606</v>
      </c>
      <c r="C44" t="s">
        <v>1396</v>
      </c>
      <c r="D44" t="s">
        <v>1397</v>
      </c>
      <c r="E44" t="s">
        <v>1077</v>
      </c>
      <c r="G44" t="str">
        <f>"60"</f>
        <v>60</v>
      </c>
      <c r="H44" t="str">
        <f>"26"</f>
        <v>26</v>
      </c>
      <c r="I44" t="str">
        <f>"16"</f>
        <v>16</v>
      </c>
      <c r="J44" t="str">
        <f>"73.85"</f>
        <v>73.85</v>
      </c>
      <c r="K44" t="s">
        <v>1398</v>
      </c>
      <c r="N44" t="s">
        <v>1399</v>
      </c>
      <c r="T44" t="s">
        <v>373</v>
      </c>
      <c r="U44" t="s">
        <v>373</v>
      </c>
      <c r="V44" t="s">
        <v>1400</v>
      </c>
      <c r="W44" t="s">
        <v>1401</v>
      </c>
      <c r="X44" t="s">
        <v>1402</v>
      </c>
      <c r="Y44" t="s">
        <v>1403</v>
      </c>
      <c r="Z44" t="s">
        <v>1404</v>
      </c>
      <c r="AA44" t="s">
        <v>1405</v>
      </c>
      <c r="AB44" t="s">
        <v>1406</v>
      </c>
      <c r="AC44" t="s">
        <v>1407</v>
      </c>
      <c r="AD44" t="s">
        <v>1408</v>
      </c>
      <c r="AE44" t="s">
        <v>1409</v>
      </c>
      <c r="AF44" t="s">
        <v>1410</v>
      </c>
      <c r="AG44" t="s">
        <v>1411</v>
      </c>
      <c r="BA44" t="str">
        <f>"999"</f>
        <v>999</v>
      </c>
      <c r="BB44" t="str">
        <f>"420"</f>
        <v>420</v>
      </c>
      <c r="BC44" t="s">
        <v>665</v>
      </c>
      <c r="BD44" t="str">
        <f t="shared" si="2"/>
        <v>1</v>
      </c>
      <c r="BE44" t="s">
        <v>1266</v>
      </c>
      <c r="BF44" t="str">
        <f>"64.17"</f>
        <v>64.17</v>
      </c>
      <c r="BG44" t="str">
        <f>"29.53"</f>
        <v>29.53</v>
      </c>
      <c r="BH44" t="str">
        <f>"21.85"</f>
        <v>21.85</v>
      </c>
      <c r="BI44" t="str">
        <f>"103.62"</f>
        <v>103.62</v>
      </c>
      <c r="BY44" t="str">
        <f>"23.94"</f>
        <v>23.94</v>
      </c>
      <c r="BZ44" t="str">
        <f>"0.678"</f>
        <v>0.678</v>
      </c>
      <c r="CA44" t="s">
        <v>431</v>
      </c>
      <c r="CB44" t="s">
        <v>1412</v>
      </c>
      <c r="CC44" t="s">
        <v>1348</v>
      </c>
      <c r="CD44" t="s">
        <v>1413</v>
      </c>
      <c r="CE44" t="s">
        <v>1412</v>
      </c>
      <c r="CF44" t="s">
        <v>1037</v>
      </c>
      <c r="CG44" t="s">
        <v>1413</v>
      </c>
      <c r="CR44" t="s">
        <v>400</v>
      </c>
      <c r="CS44">
        <v>0</v>
      </c>
      <c r="CT44" t="s">
        <v>400</v>
      </c>
      <c r="CV44">
        <v>1</v>
      </c>
      <c r="CW44" t="s">
        <v>402</v>
      </c>
      <c r="CX44" t="s">
        <v>1414</v>
      </c>
      <c r="CY44" t="s">
        <v>404</v>
      </c>
      <c r="DC44">
        <v>0</v>
      </c>
      <c r="DJ44" t="s">
        <v>408</v>
      </c>
      <c r="DK44" t="s">
        <v>1415</v>
      </c>
      <c r="DM44" t="s">
        <v>473</v>
      </c>
      <c r="DX44" t="s">
        <v>1290</v>
      </c>
      <c r="DZ44" t="s">
        <v>1413</v>
      </c>
      <c r="EI44" t="s">
        <v>1412</v>
      </c>
      <c r="EJ44" t="s">
        <v>1416</v>
      </c>
      <c r="EK44" t="s">
        <v>1417</v>
      </c>
      <c r="EL44" t="s">
        <v>395</v>
      </c>
      <c r="EM44" t="s">
        <v>402</v>
      </c>
      <c r="EN44">
        <v>0</v>
      </c>
      <c r="EO44">
        <v>0</v>
      </c>
    </row>
    <row r="45" spans="1:217" x14ac:dyDescent="0.25">
      <c r="A45" t="s">
        <v>1418</v>
      </c>
      <c r="B45" t="str">
        <f>"801542667412"</f>
        <v>801542667412</v>
      </c>
      <c r="C45" t="s">
        <v>1419</v>
      </c>
      <c r="D45" t="s">
        <v>1420</v>
      </c>
      <c r="E45" t="s">
        <v>647</v>
      </c>
      <c r="F45" t="s">
        <v>648</v>
      </c>
      <c r="G45" t="str">
        <f>"94"</f>
        <v>94</v>
      </c>
      <c r="H45" t="str">
        <f>"42"</f>
        <v>42</v>
      </c>
      <c r="I45" t="str">
        <f>"30"</f>
        <v>30</v>
      </c>
      <c r="J45" t="str">
        <f>"139.33"</f>
        <v>139.33</v>
      </c>
      <c r="K45" t="s">
        <v>1421</v>
      </c>
      <c r="L45" t="s">
        <v>1422</v>
      </c>
      <c r="N45" t="s">
        <v>1423</v>
      </c>
      <c r="O45" t="s">
        <v>1424</v>
      </c>
      <c r="T45" t="s">
        <v>402</v>
      </c>
      <c r="U45" t="s">
        <v>373</v>
      </c>
      <c r="V45" t="s">
        <v>1425</v>
      </c>
      <c r="W45" t="s">
        <v>1426</v>
      </c>
      <c r="X45" t="s">
        <v>1427</v>
      </c>
      <c r="Y45" t="s">
        <v>1428</v>
      </c>
      <c r="Z45" t="s">
        <v>1429</v>
      </c>
      <c r="AA45" t="s">
        <v>1430</v>
      </c>
      <c r="AB45" t="s">
        <v>1431</v>
      </c>
      <c r="AC45" t="s">
        <v>1432</v>
      </c>
      <c r="AD45" t="s">
        <v>1433</v>
      </c>
      <c r="AE45" t="s">
        <v>1434</v>
      </c>
      <c r="AF45" t="s">
        <v>1435</v>
      </c>
      <c r="AG45" t="s">
        <v>1436</v>
      </c>
      <c r="BA45" t="str">
        <f>"1299"</f>
        <v>1299</v>
      </c>
      <c r="BB45" t="str">
        <f>"550"</f>
        <v>550</v>
      </c>
      <c r="BC45" t="s">
        <v>665</v>
      </c>
      <c r="BD45" t="str">
        <f>"2"</f>
        <v>2</v>
      </c>
      <c r="BE45" t="s">
        <v>1089</v>
      </c>
      <c r="BF45" t="str">
        <f>"99.21"</f>
        <v>99.21</v>
      </c>
      <c r="BG45" t="str">
        <f>"4.72"</f>
        <v>4.72</v>
      </c>
      <c r="BH45" t="str">
        <f>"46.26"</f>
        <v>46.26</v>
      </c>
      <c r="BI45" t="str">
        <f>"103.62"</f>
        <v>103.62</v>
      </c>
      <c r="BJ45" t="s">
        <v>1090</v>
      </c>
      <c r="BK45" t="str">
        <f>"23.03"</f>
        <v>23.03</v>
      </c>
      <c r="BL45" t="str">
        <f>"22.24"</f>
        <v>22.24</v>
      </c>
      <c r="BM45" t="str">
        <f>"31.1"</f>
        <v>31.1</v>
      </c>
      <c r="BN45" t="str">
        <f>"82.67"</f>
        <v>82.67</v>
      </c>
      <c r="BY45" t="str">
        <f>"21.75"</f>
        <v>21.75</v>
      </c>
      <c r="BZ45" t="str">
        <f>"0.616"</f>
        <v>0.616</v>
      </c>
      <c r="CA45" t="s">
        <v>431</v>
      </c>
      <c r="CR45" t="s">
        <v>400</v>
      </c>
      <c r="CS45">
        <v>0</v>
      </c>
      <c r="CT45" t="s">
        <v>400</v>
      </c>
      <c r="CV45">
        <v>0</v>
      </c>
      <c r="CX45" t="s">
        <v>953</v>
      </c>
      <c r="CY45" t="s">
        <v>400</v>
      </c>
      <c r="DA45">
        <v>0</v>
      </c>
      <c r="DB45">
        <v>0</v>
      </c>
      <c r="DC45">
        <v>0</v>
      </c>
      <c r="DI45">
        <v>10</v>
      </c>
      <c r="DJ45" t="s">
        <v>1437</v>
      </c>
      <c r="DK45" t="s">
        <v>1438</v>
      </c>
      <c r="DM45" t="s">
        <v>669</v>
      </c>
      <c r="DX45" t="s">
        <v>1439</v>
      </c>
      <c r="DZ45" t="s">
        <v>1440</v>
      </c>
      <c r="EI45" t="s">
        <v>743</v>
      </c>
      <c r="EJ45" t="s">
        <v>1439</v>
      </c>
      <c r="EK45" t="s">
        <v>635</v>
      </c>
      <c r="EL45" t="s">
        <v>1441</v>
      </c>
      <c r="EM45" t="s">
        <v>402</v>
      </c>
      <c r="EN45">
        <v>0</v>
      </c>
      <c r="EO45">
        <v>0</v>
      </c>
      <c r="EW45" t="s">
        <v>1439</v>
      </c>
      <c r="EX45" t="s">
        <v>1442</v>
      </c>
      <c r="EY45" t="s">
        <v>1443</v>
      </c>
    </row>
    <row r="46" spans="1:217" x14ac:dyDescent="0.25">
      <c r="A46" t="s">
        <v>1444</v>
      </c>
      <c r="B46" t="str">
        <f>"801542099114"</f>
        <v>801542099114</v>
      </c>
      <c r="C46" t="s">
        <v>1445</v>
      </c>
      <c r="D46" t="s">
        <v>1420</v>
      </c>
      <c r="E46" t="s">
        <v>647</v>
      </c>
      <c r="F46" t="s">
        <v>648</v>
      </c>
      <c r="G46" t="str">
        <f>"94"</f>
        <v>94</v>
      </c>
      <c r="H46" t="str">
        <f>"42"</f>
        <v>42</v>
      </c>
      <c r="I46" t="str">
        <f>"30"</f>
        <v>30</v>
      </c>
      <c r="J46" t="str">
        <f>"139.33"</f>
        <v>139.33</v>
      </c>
      <c r="K46" t="s">
        <v>1446</v>
      </c>
      <c r="L46" t="s">
        <v>1447</v>
      </c>
      <c r="N46" t="s">
        <v>1423</v>
      </c>
      <c r="O46" t="s">
        <v>1424</v>
      </c>
      <c r="T46" t="s">
        <v>402</v>
      </c>
      <c r="U46" t="s">
        <v>373</v>
      </c>
      <c r="V46" t="s">
        <v>1448</v>
      </c>
      <c r="W46" t="s">
        <v>1449</v>
      </c>
      <c r="X46" t="s">
        <v>1450</v>
      </c>
      <c r="Y46" t="s">
        <v>1451</v>
      </c>
      <c r="Z46" t="s">
        <v>1452</v>
      </c>
      <c r="AA46" t="s">
        <v>1453</v>
      </c>
      <c r="AB46" t="s">
        <v>1454</v>
      </c>
      <c r="AC46" t="s">
        <v>1455</v>
      </c>
      <c r="AD46" t="s">
        <v>1456</v>
      </c>
      <c r="AE46" t="s">
        <v>1457</v>
      </c>
      <c r="AF46" t="s">
        <v>1458</v>
      </c>
      <c r="AG46" t="s">
        <v>1459</v>
      </c>
      <c r="BA46" t="str">
        <f>"1299"</f>
        <v>1299</v>
      </c>
      <c r="BB46" t="str">
        <f>"550"</f>
        <v>550</v>
      </c>
      <c r="BC46" t="s">
        <v>665</v>
      </c>
      <c r="BD46" t="str">
        <f>"2"</f>
        <v>2</v>
      </c>
      <c r="BE46" t="s">
        <v>1089</v>
      </c>
      <c r="BF46" t="str">
        <f>"99.21"</f>
        <v>99.21</v>
      </c>
      <c r="BG46" t="str">
        <f>"4.72"</f>
        <v>4.72</v>
      </c>
      <c r="BH46" t="str">
        <f>"46.26"</f>
        <v>46.26</v>
      </c>
      <c r="BI46" t="str">
        <f>"103.62"</f>
        <v>103.62</v>
      </c>
      <c r="BJ46" t="s">
        <v>1090</v>
      </c>
      <c r="BK46" t="str">
        <f>"23.03"</f>
        <v>23.03</v>
      </c>
      <c r="BL46" t="str">
        <f>"22.24"</f>
        <v>22.24</v>
      </c>
      <c r="BM46" t="str">
        <f>"31.1"</f>
        <v>31.1</v>
      </c>
      <c r="BN46" t="str">
        <f>"82.67"</f>
        <v>82.67</v>
      </c>
      <c r="BY46" t="str">
        <f>"21.75"</f>
        <v>21.75</v>
      </c>
      <c r="BZ46" t="str">
        <f>"0.616"</f>
        <v>0.616</v>
      </c>
      <c r="CA46" t="s">
        <v>431</v>
      </c>
      <c r="CR46" t="s">
        <v>400</v>
      </c>
      <c r="CS46">
        <v>0</v>
      </c>
      <c r="CT46" t="s">
        <v>400</v>
      </c>
      <c r="CV46">
        <v>0</v>
      </c>
      <c r="CX46" t="s">
        <v>953</v>
      </c>
      <c r="CY46" t="s">
        <v>400</v>
      </c>
      <c r="DA46">
        <v>0</v>
      </c>
      <c r="DB46">
        <v>0</v>
      </c>
      <c r="DC46">
        <v>0</v>
      </c>
      <c r="DI46">
        <v>10</v>
      </c>
      <c r="DJ46" t="s">
        <v>1437</v>
      </c>
      <c r="DK46" t="s">
        <v>1438</v>
      </c>
      <c r="DM46" t="s">
        <v>669</v>
      </c>
      <c r="DX46" t="s">
        <v>1439</v>
      </c>
      <c r="DZ46" t="s">
        <v>1440</v>
      </c>
      <c r="EI46" t="s">
        <v>743</v>
      </c>
      <c r="EJ46" t="s">
        <v>1439</v>
      </c>
      <c r="EK46" t="s">
        <v>635</v>
      </c>
      <c r="EL46" t="s">
        <v>1441</v>
      </c>
      <c r="EM46" t="s">
        <v>402</v>
      </c>
      <c r="EN46">
        <v>0</v>
      </c>
      <c r="EO46">
        <v>0</v>
      </c>
      <c r="EW46" t="s">
        <v>1439</v>
      </c>
      <c r="EX46" t="s">
        <v>1442</v>
      </c>
      <c r="EY46" t="s">
        <v>1443</v>
      </c>
    </row>
    <row r="47" spans="1:217" x14ac:dyDescent="0.25">
      <c r="A47" t="s">
        <v>1460</v>
      </c>
      <c r="B47" t="str">
        <f>"801542992637"</f>
        <v>801542992637</v>
      </c>
      <c r="C47" t="s">
        <v>1461</v>
      </c>
      <c r="D47" t="s">
        <v>1420</v>
      </c>
      <c r="E47" t="s">
        <v>647</v>
      </c>
      <c r="F47" t="s">
        <v>648</v>
      </c>
      <c r="G47" t="str">
        <f>"94"</f>
        <v>94</v>
      </c>
      <c r="H47" t="str">
        <f>"42"</f>
        <v>42</v>
      </c>
      <c r="I47" t="str">
        <f>"30"</f>
        <v>30</v>
      </c>
      <c r="J47" t="str">
        <f>"139.33"</f>
        <v>139.33</v>
      </c>
      <c r="K47" t="s">
        <v>1462</v>
      </c>
      <c r="N47" t="s">
        <v>1463</v>
      </c>
      <c r="O47" t="s">
        <v>372</v>
      </c>
      <c r="T47" t="s">
        <v>402</v>
      </c>
      <c r="U47" t="s">
        <v>373</v>
      </c>
      <c r="V47" t="s">
        <v>1464</v>
      </c>
      <c r="W47" t="s">
        <v>1465</v>
      </c>
      <c r="X47" t="s">
        <v>1466</v>
      </c>
      <c r="Y47" t="s">
        <v>1467</v>
      </c>
      <c r="Z47" t="s">
        <v>1468</v>
      </c>
      <c r="AA47" t="s">
        <v>1469</v>
      </c>
      <c r="AB47" t="s">
        <v>1470</v>
      </c>
      <c r="AC47" t="s">
        <v>1471</v>
      </c>
      <c r="AD47" t="s">
        <v>1472</v>
      </c>
      <c r="AE47" t="s">
        <v>1473</v>
      </c>
      <c r="BA47" t="str">
        <f>"1999"</f>
        <v>1999</v>
      </c>
      <c r="BB47" t="str">
        <f>"840"</f>
        <v>840</v>
      </c>
      <c r="BC47" t="s">
        <v>665</v>
      </c>
      <c r="BD47" t="str">
        <f>"2"</f>
        <v>2</v>
      </c>
      <c r="BE47" t="s">
        <v>1089</v>
      </c>
      <c r="BF47" t="str">
        <f>"99.21"</f>
        <v>99.21</v>
      </c>
      <c r="BG47" t="str">
        <f>"4.72"</f>
        <v>4.72</v>
      </c>
      <c r="BH47" t="str">
        <f>"46.26"</f>
        <v>46.26</v>
      </c>
      <c r="BI47" t="str">
        <f>"103.62"</f>
        <v>103.62</v>
      </c>
      <c r="BJ47" t="s">
        <v>1090</v>
      </c>
      <c r="BK47" t="str">
        <f>"23.03"</f>
        <v>23.03</v>
      </c>
      <c r="BL47" t="str">
        <f>"22.24"</f>
        <v>22.24</v>
      </c>
      <c r="BM47" t="str">
        <f>"31.1"</f>
        <v>31.1</v>
      </c>
      <c r="BN47" t="str">
        <f>"82.67"</f>
        <v>82.67</v>
      </c>
      <c r="BY47" t="str">
        <f>"21.75"</f>
        <v>21.75</v>
      </c>
      <c r="BZ47" t="str">
        <f>"0.616"</f>
        <v>0.616</v>
      </c>
      <c r="CA47" t="s">
        <v>431</v>
      </c>
      <c r="CR47" t="s">
        <v>400</v>
      </c>
      <c r="CS47">
        <v>0</v>
      </c>
      <c r="CT47" t="s">
        <v>400</v>
      </c>
      <c r="CV47">
        <v>0</v>
      </c>
      <c r="CX47" t="s">
        <v>953</v>
      </c>
      <c r="CY47" t="s">
        <v>400</v>
      </c>
      <c r="DA47">
        <v>0</v>
      </c>
      <c r="DB47">
        <v>0</v>
      </c>
      <c r="DC47">
        <v>0</v>
      </c>
      <c r="DI47">
        <v>10</v>
      </c>
      <c r="DJ47" t="s">
        <v>1437</v>
      </c>
      <c r="DK47" t="s">
        <v>1438</v>
      </c>
      <c r="DM47" t="s">
        <v>669</v>
      </c>
      <c r="DX47" t="s">
        <v>1439</v>
      </c>
      <c r="DZ47" t="s">
        <v>1440</v>
      </c>
      <c r="EI47" t="s">
        <v>743</v>
      </c>
      <c r="EJ47" t="s">
        <v>1439</v>
      </c>
      <c r="EK47" t="s">
        <v>635</v>
      </c>
      <c r="EL47" t="s">
        <v>1441</v>
      </c>
      <c r="EM47" t="s">
        <v>402</v>
      </c>
      <c r="EN47">
        <v>0</v>
      </c>
      <c r="EO47">
        <v>0</v>
      </c>
      <c r="EW47" t="s">
        <v>1439</v>
      </c>
      <c r="EX47" t="s">
        <v>1442</v>
      </c>
      <c r="EY47" t="s">
        <v>1443</v>
      </c>
    </row>
    <row r="48" spans="1:217" x14ac:dyDescent="0.25">
      <c r="A48" t="s">
        <v>1474</v>
      </c>
      <c r="B48" t="str">
        <f>"801542670696"</f>
        <v>801542670696</v>
      </c>
      <c r="C48" t="s">
        <v>1475</v>
      </c>
      <c r="D48" t="s">
        <v>571</v>
      </c>
      <c r="E48" t="s">
        <v>515</v>
      </c>
      <c r="F48" t="s">
        <v>516</v>
      </c>
      <c r="G48" t="str">
        <f>"32"</f>
        <v>32</v>
      </c>
      <c r="H48" t="str">
        <f>"33.5"</f>
        <v>33.5</v>
      </c>
      <c r="I48" t="str">
        <f>"35.5"</f>
        <v>35.5</v>
      </c>
      <c r="J48" t="str">
        <f>"50.71"</f>
        <v>50.71</v>
      </c>
      <c r="K48" t="s">
        <v>806</v>
      </c>
      <c r="L48" t="s">
        <v>1476</v>
      </c>
      <c r="N48" t="s">
        <v>808</v>
      </c>
      <c r="O48" t="s">
        <v>809</v>
      </c>
      <c r="P48" t="s">
        <v>810</v>
      </c>
      <c r="Q48" t="s">
        <v>372</v>
      </c>
      <c r="T48" t="s">
        <v>373</v>
      </c>
      <c r="U48" t="s">
        <v>402</v>
      </c>
      <c r="V48" t="s">
        <v>1477</v>
      </c>
      <c r="W48" t="s">
        <v>1478</v>
      </c>
      <c r="X48" t="s">
        <v>1479</v>
      </c>
      <c r="Y48" t="s">
        <v>1480</v>
      </c>
      <c r="Z48" t="s">
        <v>1481</v>
      </c>
      <c r="AA48" t="s">
        <v>1482</v>
      </c>
      <c r="AB48" t="s">
        <v>1483</v>
      </c>
      <c r="AC48" t="s">
        <v>1484</v>
      </c>
      <c r="AD48" t="s">
        <v>1485</v>
      </c>
      <c r="AE48" t="s">
        <v>1486</v>
      </c>
      <c r="BA48" t="str">
        <f>"1349"</f>
        <v>1349</v>
      </c>
      <c r="BB48" t="str">
        <f>"570"</f>
        <v>570</v>
      </c>
      <c r="BC48" t="s">
        <v>388</v>
      </c>
      <c r="BD48" t="str">
        <f t="shared" ref="BD48:BD74" si="3">"1"</f>
        <v>1</v>
      </c>
      <c r="BE48" t="s">
        <v>389</v>
      </c>
      <c r="BF48" t="str">
        <f>"34.25"</f>
        <v>34.25</v>
      </c>
      <c r="BG48" t="str">
        <f>"33.07"</f>
        <v>33.07</v>
      </c>
      <c r="BH48" t="str">
        <f>"32.68"</f>
        <v>32.68</v>
      </c>
      <c r="BI48" t="str">
        <f>"63.93"</f>
        <v>63.93</v>
      </c>
      <c r="BY48" t="str">
        <f>"21.44"</f>
        <v>21.44</v>
      </c>
      <c r="BZ48" t="str">
        <f>"0.607"</f>
        <v>0.607</v>
      </c>
      <c r="CA48" t="s">
        <v>390</v>
      </c>
      <c r="CH48" t="s">
        <v>796</v>
      </c>
      <c r="CI48" t="s">
        <v>450</v>
      </c>
      <c r="CJ48" t="s">
        <v>638</v>
      </c>
      <c r="CK48" t="s">
        <v>602</v>
      </c>
      <c r="CL48" t="s">
        <v>435</v>
      </c>
      <c r="CN48">
        <v>0</v>
      </c>
      <c r="CO48">
        <v>1</v>
      </c>
      <c r="CP48" t="s">
        <v>437</v>
      </c>
      <c r="CQ48" t="s">
        <v>631</v>
      </c>
      <c r="CU48" t="s">
        <v>604</v>
      </c>
      <c r="CX48" t="s">
        <v>403</v>
      </c>
      <c r="CY48" t="s">
        <v>400</v>
      </c>
      <c r="CZ48">
        <v>0</v>
      </c>
      <c r="DD48">
        <v>25000</v>
      </c>
      <c r="DE48" t="s">
        <v>439</v>
      </c>
      <c r="DF48" t="s">
        <v>406</v>
      </c>
      <c r="DG48" t="s">
        <v>407</v>
      </c>
      <c r="DH48">
        <v>1</v>
      </c>
      <c r="DI48">
        <v>1</v>
      </c>
      <c r="DK48" t="s">
        <v>1487</v>
      </c>
      <c r="DL48">
        <v>0</v>
      </c>
      <c r="DM48" t="s">
        <v>538</v>
      </c>
      <c r="DN48" t="s">
        <v>1488</v>
      </c>
      <c r="DO48" t="s">
        <v>1489</v>
      </c>
      <c r="DP48" t="s">
        <v>638</v>
      </c>
      <c r="DT48" t="s">
        <v>1490</v>
      </c>
      <c r="DU48" t="s">
        <v>450</v>
      </c>
      <c r="DV48" t="s">
        <v>791</v>
      </c>
      <c r="DW48" t="s">
        <v>601</v>
      </c>
      <c r="DX48" t="s">
        <v>640</v>
      </c>
      <c r="DY48" t="s">
        <v>1491</v>
      </c>
      <c r="DZ48" t="s">
        <v>1492</v>
      </c>
      <c r="EA48" t="s">
        <v>791</v>
      </c>
      <c r="ED48" t="s">
        <v>406</v>
      </c>
      <c r="EE48" t="s">
        <v>454</v>
      </c>
      <c r="EF48" t="s">
        <v>614</v>
      </c>
      <c r="EG48" t="s">
        <v>615</v>
      </c>
      <c r="EP48" t="s">
        <v>1151</v>
      </c>
      <c r="EQ48" t="s">
        <v>1493</v>
      </c>
      <c r="ER48">
        <v>0</v>
      </c>
      <c r="ES48">
        <v>0</v>
      </c>
      <c r="ET48" t="s">
        <v>832</v>
      </c>
      <c r="EU48">
        <v>0</v>
      </c>
    </row>
    <row r="49" spans="1:221" x14ac:dyDescent="0.25">
      <c r="A49" t="s">
        <v>1494</v>
      </c>
      <c r="B49" t="str">
        <f>"801542563479"</f>
        <v>801542563479</v>
      </c>
      <c r="C49" t="s">
        <v>1495</v>
      </c>
      <c r="D49" t="s">
        <v>571</v>
      </c>
      <c r="E49" t="s">
        <v>515</v>
      </c>
      <c r="F49" t="s">
        <v>516</v>
      </c>
      <c r="G49" t="str">
        <f>"27"</f>
        <v>27</v>
      </c>
      <c r="H49" t="str">
        <f>"35"</f>
        <v>35</v>
      </c>
      <c r="I49" t="str">
        <f>"29"</f>
        <v>29</v>
      </c>
      <c r="J49" t="str">
        <f>"39.46"</f>
        <v>39.46</v>
      </c>
      <c r="K49" t="s">
        <v>806</v>
      </c>
      <c r="L49" t="s">
        <v>585</v>
      </c>
      <c r="M49" t="s">
        <v>1496</v>
      </c>
      <c r="N49" t="s">
        <v>808</v>
      </c>
      <c r="O49" t="s">
        <v>809</v>
      </c>
      <c r="P49" t="s">
        <v>810</v>
      </c>
      <c r="Q49" t="s">
        <v>775</v>
      </c>
      <c r="R49" t="s">
        <v>416</v>
      </c>
      <c r="T49" t="s">
        <v>373</v>
      </c>
      <c r="U49" t="s">
        <v>402</v>
      </c>
      <c r="V49" t="s">
        <v>1497</v>
      </c>
      <c r="W49" t="s">
        <v>1498</v>
      </c>
      <c r="X49" t="s">
        <v>1499</v>
      </c>
      <c r="Y49" t="s">
        <v>1500</v>
      </c>
      <c r="Z49" t="s">
        <v>1501</v>
      </c>
      <c r="AA49" t="s">
        <v>1502</v>
      </c>
      <c r="AB49" t="s">
        <v>1503</v>
      </c>
      <c r="AC49" t="s">
        <v>1504</v>
      </c>
      <c r="AD49" t="s">
        <v>1505</v>
      </c>
      <c r="AE49" t="s">
        <v>1506</v>
      </c>
      <c r="AF49" t="s">
        <v>1507</v>
      </c>
      <c r="AG49" t="s">
        <v>1508</v>
      </c>
      <c r="BA49" t="str">
        <f>"1199"</f>
        <v>1199</v>
      </c>
      <c r="BB49" t="str">
        <f>"505"</f>
        <v>505</v>
      </c>
      <c r="BC49" t="s">
        <v>388</v>
      </c>
      <c r="BD49" t="str">
        <f t="shared" si="3"/>
        <v>1</v>
      </c>
      <c r="BE49" t="s">
        <v>389</v>
      </c>
      <c r="BF49" t="str">
        <f>"37.01"</f>
        <v>37.01</v>
      </c>
      <c r="BG49" t="str">
        <f>"29.92"</f>
        <v>29.92</v>
      </c>
      <c r="BH49" t="str">
        <f>"31.5"</f>
        <v>31.5</v>
      </c>
      <c r="BI49" t="str">
        <f>"57.32"</f>
        <v>57.32</v>
      </c>
      <c r="BY49" t="str">
        <f>"20.2"</f>
        <v>20.2</v>
      </c>
      <c r="BZ49" t="str">
        <f>"0.572"</f>
        <v>0.572</v>
      </c>
      <c r="CA49" t="s">
        <v>431</v>
      </c>
      <c r="CK49" t="s">
        <v>1151</v>
      </c>
      <c r="CL49" t="s">
        <v>511</v>
      </c>
      <c r="CN49">
        <v>0</v>
      </c>
      <c r="CO49">
        <v>1</v>
      </c>
      <c r="CP49" t="s">
        <v>437</v>
      </c>
      <c r="CQ49" t="s">
        <v>631</v>
      </c>
      <c r="CX49" t="s">
        <v>403</v>
      </c>
      <c r="CY49" t="s">
        <v>400</v>
      </c>
      <c r="CZ49">
        <v>0</v>
      </c>
      <c r="DD49">
        <v>25000</v>
      </c>
      <c r="DE49" t="s">
        <v>439</v>
      </c>
      <c r="DF49" t="s">
        <v>632</v>
      </c>
      <c r="DH49">
        <v>1</v>
      </c>
      <c r="DI49">
        <v>1</v>
      </c>
      <c r="DK49" t="s">
        <v>1509</v>
      </c>
      <c r="DL49">
        <v>0</v>
      </c>
      <c r="DM49" t="s">
        <v>538</v>
      </c>
      <c r="DN49" t="s">
        <v>1510</v>
      </c>
      <c r="DO49" t="s">
        <v>450</v>
      </c>
      <c r="DP49" t="s">
        <v>1511</v>
      </c>
      <c r="DT49" t="s">
        <v>827</v>
      </c>
      <c r="DX49" t="s">
        <v>1512</v>
      </c>
      <c r="DY49" t="s">
        <v>822</v>
      </c>
      <c r="DZ49" t="s">
        <v>828</v>
      </c>
      <c r="EA49" t="s">
        <v>958</v>
      </c>
      <c r="ED49" t="s">
        <v>632</v>
      </c>
      <c r="EG49" t="s">
        <v>1513</v>
      </c>
      <c r="EP49" t="s">
        <v>1514</v>
      </c>
      <c r="EQ49" t="s">
        <v>1054</v>
      </c>
      <c r="ER49">
        <v>0</v>
      </c>
      <c r="ES49">
        <v>0</v>
      </c>
      <c r="EU49">
        <v>0</v>
      </c>
    </row>
    <row r="50" spans="1:221" x14ac:dyDescent="0.25">
      <c r="A50" t="s">
        <v>1515</v>
      </c>
      <c r="B50" t="str">
        <f>"801542025090"</f>
        <v>801542025090</v>
      </c>
      <c r="C50" t="s">
        <v>1516</v>
      </c>
      <c r="D50" t="s">
        <v>571</v>
      </c>
      <c r="E50" t="s">
        <v>515</v>
      </c>
      <c r="F50" t="s">
        <v>516</v>
      </c>
      <c r="G50" t="str">
        <f>"27"</f>
        <v>27</v>
      </c>
      <c r="H50" t="str">
        <f>"35"</f>
        <v>35</v>
      </c>
      <c r="I50" t="str">
        <f>"29"</f>
        <v>29</v>
      </c>
      <c r="J50" t="str">
        <f>"39.46"</f>
        <v>39.46</v>
      </c>
      <c r="K50" t="s">
        <v>1517</v>
      </c>
      <c r="L50" t="s">
        <v>1518</v>
      </c>
      <c r="N50" t="s">
        <v>416</v>
      </c>
      <c r="O50" t="s">
        <v>775</v>
      </c>
      <c r="T50" t="s">
        <v>373</v>
      </c>
      <c r="U50" t="s">
        <v>373</v>
      </c>
      <c r="V50" t="s">
        <v>1519</v>
      </c>
      <c r="W50" t="s">
        <v>1520</v>
      </c>
      <c r="X50" t="s">
        <v>1521</v>
      </c>
      <c r="Y50" t="s">
        <v>1522</v>
      </c>
      <c r="Z50" t="s">
        <v>1523</v>
      </c>
      <c r="AA50" t="s">
        <v>1524</v>
      </c>
      <c r="AB50" t="s">
        <v>1525</v>
      </c>
      <c r="AC50" t="s">
        <v>1526</v>
      </c>
      <c r="AD50" t="s">
        <v>1527</v>
      </c>
      <c r="AE50" t="s">
        <v>1528</v>
      </c>
      <c r="AF50" t="s">
        <v>1529</v>
      </c>
      <c r="BA50" t="str">
        <f>"2199"</f>
        <v>2199</v>
      </c>
      <c r="BB50" t="str">
        <f>"925"</f>
        <v>925</v>
      </c>
      <c r="BC50" t="s">
        <v>388</v>
      </c>
      <c r="BD50" t="str">
        <f t="shared" si="3"/>
        <v>1</v>
      </c>
      <c r="BE50" t="s">
        <v>389</v>
      </c>
      <c r="BF50" t="str">
        <f>"37.01"</f>
        <v>37.01</v>
      </c>
      <c r="BG50" t="str">
        <f>"29.92"</f>
        <v>29.92</v>
      </c>
      <c r="BH50" t="str">
        <f>"31.5"</f>
        <v>31.5</v>
      </c>
      <c r="BI50" t="str">
        <f>"57.32"</f>
        <v>57.32</v>
      </c>
      <c r="BY50" t="str">
        <f>"20.2"</f>
        <v>20.2</v>
      </c>
      <c r="BZ50" t="str">
        <f>"0.572"</f>
        <v>0.572</v>
      </c>
      <c r="CA50" t="s">
        <v>495</v>
      </c>
      <c r="CK50" t="s">
        <v>1151</v>
      </c>
      <c r="CL50" t="s">
        <v>511</v>
      </c>
      <c r="CN50">
        <v>0</v>
      </c>
      <c r="CO50">
        <v>1</v>
      </c>
      <c r="CP50" t="s">
        <v>437</v>
      </c>
      <c r="CQ50" t="s">
        <v>438</v>
      </c>
      <c r="CX50" t="s">
        <v>403</v>
      </c>
      <c r="CY50" t="s">
        <v>400</v>
      </c>
      <c r="CZ50">
        <v>0</v>
      </c>
      <c r="DD50">
        <v>0</v>
      </c>
      <c r="DE50" t="s">
        <v>439</v>
      </c>
      <c r="DF50" t="s">
        <v>632</v>
      </c>
      <c r="DH50">
        <v>1</v>
      </c>
      <c r="DI50">
        <v>1</v>
      </c>
      <c r="DK50" t="s">
        <v>1509</v>
      </c>
      <c r="DL50">
        <v>0</v>
      </c>
      <c r="DM50" t="s">
        <v>538</v>
      </c>
      <c r="DN50" t="s">
        <v>1510</v>
      </c>
      <c r="DO50" t="s">
        <v>450</v>
      </c>
      <c r="DP50" t="s">
        <v>1511</v>
      </c>
      <c r="DT50" t="s">
        <v>827</v>
      </c>
      <c r="DX50" t="s">
        <v>1512</v>
      </c>
      <c r="DY50" t="s">
        <v>822</v>
      </c>
      <c r="DZ50" t="s">
        <v>828</v>
      </c>
      <c r="EA50" t="s">
        <v>958</v>
      </c>
      <c r="ED50" t="s">
        <v>632</v>
      </c>
      <c r="EG50" t="s">
        <v>1513</v>
      </c>
      <c r="EP50" t="s">
        <v>1514</v>
      </c>
      <c r="EQ50" t="s">
        <v>1054</v>
      </c>
      <c r="ER50">
        <v>0</v>
      </c>
      <c r="ES50">
        <v>0</v>
      </c>
      <c r="EU50">
        <v>0</v>
      </c>
    </row>
    <row r="51" spans="1:221" x14ac:dyDescent="0.25">
      <c r="A51" t="s">
        <v>1530</v>
      </c>
      <c r="B51" t="str">
        <f>"801542668334"</f>
        <v>801542668334</v>
      </c>
      <c r="C51" t="s">
        <v>1531</v>
      </c>
      <c r="D51" t="s">
        <v>835</v>
      </c>
      <c r="E51" t="s">
        <v>515</v>
      </c>
      <c r="F51" t="s">
        <v>516</v>
      </c>
      <c r="G51" t="str">
        <f>"29"</f>
        <v>29</v>
      </c>
      <c r="H51" t="str">
        <f>"32.25"</f>
        <v>32.25</v>
      </c>
      <c r="I51" t="str">
        <f>"37.25"</f>
        <v>37.25</v>
      </c>
      <c r="J51" t="str">
        <f>"42.77"</f>
        <v>42.77</v>
      </c>
      <c r="K51" t="s">
        <v>1532</v>
      </c>
      <c r="L51" t="s">
        <v>1533</v>
      </c>
      <c r="N51" t="s">
        <v>1534</v>
      </c>
      <c r="O51" t="s">
        <v>1535</v>
      </c>
      <c r="P51" t="s">
        <v>775</v>
      </c>
      <c r="T51" t="s">
        <v>373</v>
      </c>
      <c r="U51" t="s">
        <v>402</v>
      </c>
      <c r="V51" t="s">
        <v>1536</v>
      </c>
      <c r="W51" t="s">
        <v>1537</v>
      </c>
      <c r="X51" t="s">
        <v>1538</v>
      </c>
      <c r="Y51" t="s">
        <v>1539</v>
      </c>
      <c r="Z51" t="s">
        <v>1540</v>
      </c>
      <c r="AA51" t="s">
        <v>1541</v>
      </c>
      <c r="AB51" t="s">
        <v>1542</v>
      </c>
      <c r="AC51" t="s">
        <v>1543</v>
      </c>
      <c r="AD51" t="s">
        <v>1544</v>
      </c>
      <c r="AE51" t="s">
        <v>1545</v>
      </c>
      <c r="AF51" t="s">
        <v>1546</v>
      </c>
      <c r="AG51" t="s">
        <v>1547</v>
      </c>
      <c r="AH51" t="s">
        <v>1548</v>
      </c>
      <c r="AI51" t="s">
        <v>1549</v>
      </c>
      <c r="BA51" t="str">
        <f>"1449"</f>
        <v>1449</v>
      </c>
      <c r="BB51" t="str">
        <f>"610"</f>
        <v>610</v>
      </c>
      <c r="BC51" t="s">
        <v>388</v>
      </c>
      <c r="BD51" t="str">
        <f t="shared" si="3"/>
        <v>1</v>
      </c>
      <c r="BE51" t="s">
        <v>1550</v>
      </c>
      <c r="BF51" t="str">
        <f>"31.69"</f>
        <v>31.69</v>
      </c>
      <c r="BG51" t="str">
        <f>"37.01"</f>
        <v>37.01</v>
      </c>
      <c r="BH51" t="str">
        <f>"40.16"</f>
        <v>40.16</v>
      </c>
      <c r="BI51" t="str">
        <f>"63.71"</f>
        <v>63.71</v>
      </c>
      <c r="BY51" t="str">
        <f>"23.13"</f>
        <v>23.13</v>
      </c>
      <c r="BZ51" t="str">
        <f>"0.655"</f>
        <v>0.655</v>
      </c>
      <c r="CA51" t="s">
        <v>390</v>
      </c>
      <c r="CH51" t="s">
        <v>796</v>
      </c>
      <c r="CI51" t="s">
        <v>635</v>
      </c>
      <c r="CJ51" t="s">
        <v>796</v>
      </c>
      <c r="CK51" t="s">
        <v>602</v>
      </c>
      <c r="CL51" t="s">
        <v>435</v>
      </c>
      <c r="CN51">
        <v>0</v>
      </c>
      <c r="CO51">
        <v>1</v>
      </c>
      <c r="CP51" t="s">
        <v>437</v>
      </c>
      <c r="CQ51" t="s">
        <v>631</v>
      </c>
      <c r="CU51" t="s">
        <v>824</v>
      </c>
      <c r="CX51" t="s">
        <v>403</v>
      </c>
      <c r="CY51" t="s">
        <v>400</v>
      </c>
      <c r="CZ51">
        <v>0</v>
      </c>
      <c r="DD51">
        <v>90000</v>
      </c>
      <c r="DE51" t="s">
        <v>570</v>
      </c>
      <c r="DF51" t="s">
        <v>406</v>
      </c>
      <c r="DG51" t="s">
        <v>407</v>
      </c>
      <c r="DH51">
        <v>1</v>
      </c>
      <c r="DI51">
        <v>1</v>
      </c>
      <c r="DK51" t="s">
        <v>1551</v>
      </c>
      <c r="DL51">
        <v>0</v>
      </c>
      <c r="DM51" t="s">
        <v>538</v>
      </c>
      <c r="DN51" t="s">
        <v>600</v>
      </c>
      <c r="DO51" t="s">
        <v>1156</v>
      </c>
      <c r="DP51" t="s">
        <v>1151</v>
      </c>
      <c r="DT51" t="s">
        <v>1552</v>
      </c>
      <c r="DU51" t="s">
        <v>797</v>
      </c>
      <c r="DV51" t="s">
        <v>601</v>
      </c>
      <c r="DW51" t="s">
        <v>601</v>
      </c>
      <c r="DX51" t="s">
        <v>640</v>
      </c>
      <c r="DY51" t="s">
        <v>1553</v>
      </c>
      <c r="DZ51" t="s">
        <v>1553</v>
      </c>
      <c r="EA51" t="s">
        <v>1554</v>
      </c>
      <c r="ED51" t="s">
        <v>406</v>
      </c>
      <c r="EE51" t="s">
        <v>454</v>
      </c>
      <c r="EF51" t="s">
        <v>1555</v>
      </c>
      <c r="EG51" t="s">
        <v>1556</v>
      </c>
      <c r="EP51" t="s">
        <v>1557</v>
      </c>
      <c r="EQ51" t="s">
        <v>1488</v>
      </c>
      <c r="ER51">
        <v>0</v>
      </c>
      <c r="ES51">
        <v>0</v>
      </c>
      <c r="ET51" t="s">
        <v>832</v>
      </c>
      <c r="EU51">
        <v>0</v>
      </c>
    </row>
    <row r="52" spans="1:221" x14ac:dyDescent="0.25">
      <c r="A52" t="s">
        <v>1558</v>
      </c>
      <c r="B52" t="str">
        <f>"801542668174"</f>
        <v>801542668174</v>
      </c>
      <c r="C52" t="s">
        <v>1559</v>
      </c>
      <c r="D52" t="s">
        <v>835</v>
      </c>
      <c r="E52" t="s">
        <v>515</v>
      </c>
      <c r="F52" t="s">
        <v>516</v>
      </c>
      <c r="G52" t="str">
        <f>"29"</f>
        <v>29</v>
      </c>
      <c r="H52" t="str">
        <f>"32.25"</f>
        <v>32.25</v>
      </c>
      <c r="I52" t="str">
        <f>"37.25"</f>
        <v>37.25</v>
      </c>
      <c r="J52" t="str">
        <f>"42.77"</f>
        <v>42.77</v>
      </c>
      <c r="K52" t="s">
        <v>1560</v>
      </c>
      <c r="L52" t="s">
        <v>1561</v>
      </c>
      <c r="N52" t="s">
        <v>371</v>
      </c>
      <c r="O52" t="s">
        <v>775</v>
      </c>
      <c r="T52" t="s">
        <v>373</v>
      </c>
      <c r="U52" t="s">
        <v>373</v>
      </c>
      <c r="V52" t="s">
        <v>1562</v>
      </c>
      <c r="W52" t="s">
        <v>1563</v>
      </c>
      <c r="X52" t="s">
        <v>1564</v>
      </c>
      <c r="Y52" t="s">
        <v>1565</v>
      </c>
      <c r="Z52" t="s">
        <v>1566</v>
      </c>
      <c r="AA52" t="s">
        <v>1567</v>
      </c>
      <c r="AB52" t="s">
        <v>1568</v>
      </c>
      <c r="AC52" t="s">
        <v>1569</v>
      </c>
      <c r="AD52" t="s">
        <v>1570</v>
      </c>
      <c r="AE52" t="s">
        <v>1571</v>
      </c>
      <c r="AF52" t="s">
        <v>1572</v>
      </c>
      <c r="AG52" t="s">
        <v>1573</v>
      </c>
      <c r="BA52" t="str">
        <f>"1449"</f>
        <v>1449</v>
      </c>
      <c r="BB52" t="str">
        <f>"610"</f>
        <v>610</v>
      </c>
      <c r="BC52" t="s">
        <v>388</v>
      </c>
      <c r="BD52" t="str">
        <f t="shared" si="3"/>
        <v>1</v>
      </c>
      <c r="BE52" t="s">
        <v>739</v>
      </c>
      <c r="BF52" t="str">
        <f>"31.69"</f>
        <v>31.69</v>
      </c>
      <c r="BG52" t="str">
        <f>"37.01"</f>
        <v>37.01</v>
      </c>
      <c r="BH52" t="str">
        <f>"40.16"</f>
        <v>40.16</v>
      </c>
      <c r="BI52" t="str">
        <f>"63.71"</f>
        <v>63.71</v>
      </c>
      <c r="BY52" t="str">
        <f>"23.13"</f>
        <v>23.13</v>
      </c>
      <c r="BZ52" t="str">
        <f>"0.655"</f>
        <v>0.655</v>
      </c>
      <c r="CA52" t="s">
        <v>495</v>
      </c>
      <c r="CH52" t="s">
        <v>796</v>
      </c>
      <c r="CI52" t="s">
        <v>635</v>
      </c>
      <c r="CJ52" t="s">
        <v>796</v>
      </c>
      <c r="CK52" t="s">
        <v>602</v>
      </c>
      <c r="CL52" t="s">
        <v>435</v>
      </c>
      <c r="CN52">
        <v>0</v>
      </c>
      <c r="CO52">
        <v>1</v>
      </c>
      <c r="CP52" t="s">
        <v>437</v>
      </c>
      <c r="CQ52" t="s">
        <v>399</v>
      </c>
      <c r="CU52" t="s">
        <v>824</v>
      </c>
      <c r="CX52" t="s">
        <v>403</v>
      </c>
      <c r="CY52" t="s">
        <v>400</v>
      </c>
      <c r="CZ52">
        <v>0</v>
      </c>
      <c r="DD52">
        <v>100000</v>
      </c>
      <c r="DE52" t="s">
        <v>570</v>
      </c>
      <c r="DF52" t="s">
        <v>406</v>
      </c>
      <c r="DG52" t="s">
        <v>407</v>
      </c>
      <c r="DH52">
        <v>1</v>
      </c>
      <c r="DI52">
        <v>1</v>
      </c>
      <c r="DK52" t="s">
        <v>1551</v>
      </c>
      <c r="DL52">
        <v>0</v>
      </c>
      <c r="DM52" t="s">
        <v>538</v>
      </c>
      <c r="DN52" t="s">
        <v>600</v>
      </c>
      <c r="DO52" t="s">
        <v>1156</v>
      </c>
      <c r="DP52" t="s">
        <v>1151</v>
      </c>
      <c r="DT52" t="s">
        <v>1552</v>
      </c>
      <c r="DU52" t="s">
        <v>797</v>
      </c>
      <c r="DV52" t="s">
        <v>601</v>
      </c>
      <c r="DW52" t="s">
        <v>601</v>
      </c>
      <c r="DX52" t="s">
        <v>640</v>
      </c>
      <c r="DY52" t="s">
        <v>1553</v>
      </c>
      <c r="DZ52" t="s">
        <v>1553</v>
      </c>
      <c r="EA52" t="s">
        <v>1554</v>
      </c>
      <c r="ED52" t="s">
        <v>406</v>
      </c>
      <c r="EE52" t="s">
        <v>454</v>
      </c>
      <c r="EF52" t="s">
        <v>1555</v>
      </c>
      <c r="EG52" t="s">
        <v>1556</v>
      </c>
      <c r="EP52" t="s">
        <v>1557</v>
      </c>
      <c r="EQ52" t="s">
        <v>1488</v>
      </c>
      <c r="ER52">
        <v>0</v>
      </c>
      <c r="ES52">
        <v>0</v>
      </c>
      <c r="ET52" t="s">
        <v>832</v>
      </c>
      <c r="EU52">
        <v>0</v>
      </c>
    </row>
    <row r="53" spans="1:221" x14ac:dyDescent="0.25">
      <c r="A53" t="s">
        <v>1574</v>
      </c>
      <c r="B53" t="str">
        <f>"801542976750"</f>
        <v>801542976750</v>
      </c>
      <c r="C53" t="s">
        <v>1575</v>
      </c>
      <c r="D53" t="s">
        <v>835</v>
      </c>
      <c r="E53" t="s">
        <v>515</v>
      </c>
      <c r="F53" t="s">
        <v>516</v>
      </c>
      <c r="G53" t="str">
        <f>"29"</f>
        <v>29</v>
      </c>
      <c r="H53" t="str">
        <f>"32.25"</f>
        <v>32.25</v>
      </c>
      <c r="I53" t="str">
        <f>"37.25"</f>
        <v>37.25</v>
      </c>
      <c r="J53" t="str">
        <f>"42.77"</f>
        <v>42.77</v>
      </c>
      <c r="K53" t="s">
        <v>1576</v>
      </c>
      <c r="L53" t="s">
        <v>585</v>
      </c>
      <c r="N53" t="s">
        <v>416</v>
      </c>
      <c r="O53" t="s">
        <v>775</v>
      </c>
      <c r="T53" t="s">
        <v>373</v>
      </c>
      <c r="U53" t="s">
        <v>373</v>
      </c>
      <c r="V53" t="s">
        <v>1577</v>
      </c>
      <c r="W53" t="s">
        <v>1578</v>
      </c>
      <c r="X53" t="s">
        <v>1579</v>
      </c>
      <c r="Y53" t="s">
        <v>1580</v>
      </c>
      <c r="Z53" t="s">
        <v>1581</v>
      </c>
      <c r="AA53" t="s">
        <v>1582</v>
      </c>
      <c r="AB53" t="s">
        <v>1583</v>
      </c>
      <c r="AC53" t="s">
        <v>1584</v>
      </c>
      <c r="AD53" t="s">
        <v>1585</v>
      </c>
      <c r="AE53" t="s">
        <v>1586</v>
      </c>
      <c r="AF53" t="s">
        <v>1587</v>
      </c>
      <c r="AG53" t="s">
        <v>1588</v>
      </c>
      <c r="AH53" t="s">
        <v>1589</v>
      </c>
      <c r="BA53" t="str">
        <f>"1649"</f>
        <v>1649</v>
      </c>
      <c r="BB53" t="str">
        <f>"695"</f>
        <v>695</v>
      </c>
      <c r="BC53" t="s">
        <v>388</v>
      </c>
      <c r="BD53" t="str">
        <f t="shared" si="3"/>
        <v>1</v>
      </c>
      <c r="BE53" t="s">
        <v>739</v>
      </c>
      <c r="BF53" t="str">
        <f>"31.69"</f>
        <v>31.69</v>
      </c>
      <c r="BG53" t="str">
        <f>"37.01"</f>
        <v>37.01</v>
      </c>
      <c r="BH53" t="str">
        <f>"40.16"</f>
        <v>40.16</v>
      </c>
      <c r="BI53" t="str">
        <f>"63.71"</f>
        <v>63.71</v>
      </c>
      <c r="BY53" t="str">
        <f>"23.13"</f>
        <v>23.13</v>
      </c>
      <c r="BZ53" t="str">
        <f>"0.655"</f>
        <v>0.655</v>
      </c>
      <c r="CA53" t="s">
        <v>390</v>
      </c>
      <c r="CH53" t="s">
        <v>796</v>
      </c>
      <c r="CI53" t="s">
        <v>635</v>
      </c>
      <c r="CJ53" t="s">
        <v>796</v>
      </c>
      <c r="CK53" t="s">
        <v>602</v>
      </c>
      <c r="CL53" t="s">
        <v>435</v>
      </c>
      <c r="CN53">
        <v>0</v>
      </c>
      <c r="CO53">
        <v>1</v>
      </c>
      <c r="CP53" t="s">
        <v>437</v>
      </c>
      <c r="CQ53" t="s">
        <v>438</v>
      </c>
      <c r="CU53" t="s">
        <v>824</v>
      </c>
      <c r="CX53" t="s">
        <v>403</v>
      </c>
      <c r="CY53" t="s">
        <v>400</v>
      </c>
      <c r="CZ53">
        <v>0</v>
      </c>
      <c r="DD53">
        <v>0</v>
      </c>
      <c r="DE53" t="s">
        <v>570</v>
      </c>
      <c r="DF53" t="s">
        <v>406</v>
      </c>
      <c r="DG53" t="s">
        <v>407</v>
      </c>
      <c r="DH53">
        <v>1</v>
      </c>
      <c r="DI53">
        <v>1</v>
      </c>
      <c r="DK53" t="s">
        <v>1551</v>
      </c>
      <c r="DL53">
        <v>0</v>
      </c>
      <c r="DM53" t="s">
        <v>538</v>
      </c>
      <c r="DN53" t="s">
        <v>600</v>
      </c>
      <c r="DO53" t="s">
        <v>1156</v>
      </c>
      <c r="DP53" t="s">
        <v>1151</v>
      </c>
      <c r="DT53" t="s">
        <v>1552</v>
      </c>
      <c r="DU53" t="s">
        <v>797</v>
      </c>
      <c r="DV53" t="s">
        <v>601</v>
      </c>
      <c r="DW53" t="s">
        <v>601</v>
      </c>
      <c r="DX53" t="s">
        <v>640</v>
      </c>
      <c r="DY53" t="s">
        <v>1553</v>
      </c>
      <c r="DZ53" t="s">
        <v>1553</v>
      </c>
      <c r="EA53" t="s">
        <v>1554</v>
      </c>
      <c r="ED53" t="s">
        <v>406</v>
      </c>
      <c r="EE53" t="s">
        <v>454</v>
      </c>
      <c r="EF53" t="s">
        <v>1555</v>
      </c>
      <c r="EG53" t="s">
        <v>1556</v>
      </c>
      <c r="EP53" t="s">
        <v>1557</v>
      </c>
      <c r="EQ53" t="s">
        <v>1488</v>
      </c>
      <c r="ER53">
        <v>0</v>
      </c>
      <c r="ES53">
        <v>0</v>
      </c>
      <c r="ET53" t="s">
        <v>832</v>
      </c>
      <c r="EU53">
        <v>0</v>
      </c>
    </row>
    <row r="54" spans="1:221" x14ac:dyDescent="0.25">
      <c r="A54" t="s">
        <v>1590</v>
      </c>
      <c r="B54" t="str">
        <f>"801542665838"</f>
        <v>801542665838</v>
      </c>
      <c r="C54" t="s">
        <v>1591</v>
      </c>
      <c r="D54" t="s">
        <v>1592</v>
      </c>
      <c r="E54" t="s">
        <v>1593</v>
      </c>
      <c r="G54" t="str">
        <f>"55.5"</f>
        <v>55.5</v>
      </c>
      <c r="H54" t="str">
        <f>"18"</f>
        <v>18</v>
      </c>
      <c r="I54" t="str">
        <f>"19.25"</f>
        <v>19.25</v>
      </c>
      <c r="J54" t="str">
        <f>"44.09"</f>
        <v>44.09</v>
      </c>
      <c r="K54" t="s">
        <v>1594</v>
      </c>
      <c r="L54" t="s">
        <v>1017</v>
      </c>
      <c r="N54" t="s">
        <v>1170</v>
      </c>
      <c r="O54" t="s">
        <v>1595</v>
      </c>
      <c r="P54" t="s">
        <v>775</v>
      </c>
      <c r="T54" t="s">
        <v>373</v>
      </c>
      <c r="U54" t="s">
        <v>373</v>
      </c>
      <c r="V54" t="s">
        <v>1596</v>
      </c>
      <c r="W54" t="s">
        <v>1597</v>
      </c>
      <c r="X54" t="s">
        <v>1598</v>
      </c>
      <c r="Y54" t="s">
        <v>1599</v>
      </c>
      <c r="Z54" t="s">
        <v>1600</v>
      </c>
      <c r="AA54" t="s">
        <v>1601</v>
      </c>
      <c r="AB54" t="s">
        <v>1602</v>
      </c>
      <c r="AC54" t="s">
        <v>1603</v>
      </c>
      <c r="AD54" t="s">
        <v>1604</v>
      </c>
      <c r="AE54" t="s">
        <v>1605</v>
      </c>
      <c r="AF54" t="s">
        <v>1606</v>
      </c>
      <c r="AG54" t="s">
        <v>1607</v>
      </c>
      <c r="AH54" t="s">
        <v>1608</v>
      </c>
      <c r="BA54" t="str">
        <f>"449"</f>
        <v>449</v>
      </c>
      <c r="BB54" t="str">
        <f>"190"</f>
        <v>190</v>
      </c>
      <c r="BC54" t="s">
        <v>665</v>
      </c>
      <c r="BD54" t="str">
        <f t="shared" si="3"/>
        <v>1</v>
      </c>
      <c r="BE54" t="s">
        <v>389</v>
      </c>
      <c r="BF54" t="str">
        <f>"55.91"</f>
        <v>55.91</v>
      </c>
      <c r="BG54" t="str">
        <f>"19.09"</f>
        <v>19.09</v>
      </c>
      <c r="BH54" t="str">
        <f>"15.16"</f>
        <v>15.16</v>
      </c>
      <c r="BI54" t="str">
        <f>"57.32"</f>
        <v>57.32</v>
      </c>
      <c r="BY54" t="str">
        <f>"9.36"</f>
        <v>9.36</v>
      </c>
      <c r="BZ54" t="str">
        <f>"0.265"</f>
        <v>0.265</v>
      </c>
      <c r="CA54" t="s">
        <v>431</v>
      </c>
      <c r="CQ54" t="s">
        <v>399</v>
      </c>
      <c r="CX54" t="s">
        <v>1609</v>
      </c>
      <c r="CY54" t="s">
        <v>400</v>
      </c>
      <c r="DD54">
        <v>15000</v>
      </c>
      <c r="DE54" t="s">
        <v>570</v>
      </c>
      <c r="DK54" t="s">
        <v>1610</v>
      </c>
      <c r="DX54" t="s">
        <v>446</v>
      </c>
      <c r="EG54" t="s">
        <v>1513</v>
      </c>
      <c r="EM54" t="s">
        <v>402</v>
      </c>
      <c r="FK54" t="s">
        <v>1611</v>
      </c>
      <c r="HJ54" t="s">
        <v>1612</v>
      </c>
      <c r="HK54" t="s">
        <v>573</v>
      </c>
      <c r="HL54" t="s">
        <v>1613</v>
      </c>
    </row>
    <row r="55" spans="1:221" x14ac:dyDescent="0.25">
      <c r="A55" t="s">
        <v>1614</v>
      </c>
      <c r="B55" t="str">
        <f>"801542132187"</f>
        <v>801542132187</v>
      </c>
      <c r="C55" t="s">
        <v>1615</v>
      </c>
      <c r="D55" t="s">
        <v>366</v>
      </c>
      <c r="E55" t="s">
        <v>515</v>
      </c>
      <c r="F55" t="s">
        <v>516</v>
      </c>
      <c r="G55" t="str">
        <f>"27.25"</f>
        <v>27.25</v>
      </c>
      <c r="H55" t="str">
        <f>"30.25"</f>
        <v>30.25</v>
      </c>
      <c r="I55" t="str">
        <f>"32.25"</f>
        <v>32.25</v>
      </c>
      <c r="J55" t="str">
        <f>"30.42"</f>
        <v>30.42</v>
      </c>
      <c r="K55" t="s">
        <v>1616</v>
      </c>
      <c r="L55" t="s">
        <v>370</v>
      </c>
      <c r="N55" t="s">
        <v>416</v>
      </c>
      <c r="O55" t="s">
        <v>372</v>
      </c>
      <c r="T55" t="s">
        <v>373</v>
      </c>
      <c r="U55" t="s">
        <v>373</v>
      </c>
      <c r="V55" t="s">
        <v>1617</v>
      </c>
      <c r="W55" t="s">
        <v>1618</v>
      </c>
      <c r="X55" t="s">
        <v>1619</v>
      </c>
      <c r="Y55" t="s">
        <v>1620</v>
      </c>
      <c r="Z55" t="s">
        <v>1621</v>
      </c>
      <c r="AA55" t="s">
        <v>1622</v>
      </c>
      <c r="AB55" t="s">
        <v>1623</v>
      </c>
      <c r="AC55" t="s">
        <v>1624</v>
      </c>
      <c r="AD55" t="s">
        <v>1625</v>
      </c>
      <c r="AE55" t="s">
        <v>1626</v>
      </c>
      <c r="AF55" t="s">
        <v>1627</v>
      </c>
      <c r="AG55" t="s">
        <v>1628</v>
      </c>
      <c r="AH55" t="s">
        <v>1629</v>
      </c>
      <c r="AI55" t="s">
        <v>1630</v>
      </c>
      <c r="AJ55" t="s">
        <v>1631</v>
      </c>
      <c r="BA55" t="str">
        <f>"1349"</f>
        <v>1349</v>
      </c>
      <c r="BB55" t="str">
        <f>"570"</f>
        <v>570</v>
      </c>
      <c r="BC55" t="s">
        <v>388</v>
      </c>
      <c r="BD55" t="str">
        <f t="shared" si="3"/>
        <v>1</v>
      </c>
      <c r="BE55" t="s">
        <v>1632</v>
      </c>
      <c r="BF55" t="str">
        <f>"28.94"</f>
        <v>28.94</v>
      </c>
      <c r="BG55" t="str">
        <f>"31.5"</f>
        <v>31.5</v>
      </c>
      <c r="BH55" t="str">
        <f>"35.43"</f>
        <v>35.43</v>
      </c>
      <c r="BI55" t="str">
        <f>"47.84"</f>
        <v>47.84</v>
      </c>
      <c r="BY55" t="str">
        <f>"16.7"</f>
        <v>16.7</v>
      </c>
      <c r="BZ55" t="str">
        <f>"0.473"</f>
        <v>0.473</v>
      </c>
      <c r="CA55" t="s">
        <v>495</v>
      </c>
      <c r="CH55" t="s">
        <v>1633</v>
      </c>
      <c r="CI55" t="s">
        <v>1634</v>
      </c>
      <c r="CJ55" t="s">
        <v>1635</v>
      </c>
      <c r="CK55" t="s">
        <v>1636</v>
      </c>
      <c r="CL55" t="s">
        <v>1637</v>
      </c>
      <c r="CN55">
        <v>0</v>
      </c>
      <c r="CO55">
        <v>0</v>
      </c>
      <c r="CP55" t="s">
        <v>437</v>
      </c>
      <c r="CQ55" t="s">
        <v>438</v>
      </c>
      <c r="CU55" t="s">
        <v>401</v>
      </c>
      <c r="CX55" t="s">
        <v>403</v>
      </c>
      <c r="CY55" t="s">
        <v>400</v>
      </c>
      <c r="CZ55">
        <v>0</v>
      </c>
      <c r="DD55">
        <v>0</v>
      </c>
      <c r="DE55" t="s">
        <v>405</v>
      </c>
      <c r="DF55" t="s">
        <v>406</v>
      </c>
      <c r="DG55" t="s">
        <v>407</v>
      </c>
      <c r="DH55">
        <v>1</v>
      </c>
      <c r="DI55">
        <v>1</v>
      </c>
      <c r="DK55" t="s">
        <v>1638</v>
      </c>
      <c r="DL55">
        <v>0</v>
      </c>
      <c r="DM55" t="s">
        <v>538</v>
      </c>
      <c r="DN55" t="s">
        <v>534</v>
      </c>
      <c r="DO55" t="s">
        <v>1639</v>
      </c>
      <c r="DP55" t="s">
        <v>1640</v>
      </c>
      <c r="DT55" t="s">
        <v>675</v>
      </c>
      <c r="DX55" t="s">
        <v>1641</v>
      </c>
      <c r="DY55" t="s">
        <v>634</v>
      </c>
      <c r="DZ55" t="s">
        <v>603</v>
      </c>
      <c r="EA55" t="s">
        <v>1642</v>
      </c>
      <c r="EG55" t="s">
        <v>401</v>
      </c>
      <c r="EP55" t="s">
        <v>1643</v>
      </c>
      <c r="EQ55" t="s">
        <v>1644</v>
      </c>
      <c r="ER55">
        <v>0</v>
      </c>
      <c r="ES55">
        <v>0</v>
      </c>
      <c r="EU55">
        <v>0</v>
      </c>
    </row>
    <row r="56" spans="1:221" x14ac:dyDescent="0.25">
      <c r="A56" t="s">
        <v>1645</v>
      </c>
      <c r="B56" t="str">
        <f>"801542132231"</f>
        <v>801542132231</v>
      </c>
      <c r="C56" t="s">
        <v>1646</v>
      </c>
      <c r="D56" t="s">
        <v>366</v>
      </c>
      <c r="E56" t="s">
        <v>515</v>
      </c>
      <c r="F56" t="s">
        <v>516</v>
      </c>
      <c r="G56" t="str">
        <f>"27.25"</f>
        <v>27.25</v>
      </c>
      <c r="H56" t="str">
        <f>"30.25"</f>
        <v>30.25</v>
      </c>
      <c r="I56" t="str">
        <f>"32.25"</f>
        <v>32.25</v>
      </c>
      <c r="J56" t="str">
        <f>"29.32"</f>
        <v>29.32</v>
      </c>
      <c r="K56" t="s">
        <v>1647</v>
      </c>
      <c r="L56" t="s">
        <v>370</v>
      </c>
      <c r="N56" t="s">
        <v>371</v>
      </c>
      <c r="O56" t="s">
        <v>372</v>
      </c>
      <c r="T56" t="s">
        <v>373</v>
      </c>
      <c r="U56" t="s">
        <v>373</v>
      </c>
      <c r="V56" t="s">
        <v>1648</v>
      </c>
      <c r="W56" t="s">
        <v>1649</v>
      </c>
      <c r="X56" t="s">
        <v>1650</v>
      </c>
      <c r="Y56" t="s">
        <v>1651</v>
      </c>
      <c r="Z56" t="s">
        <v>1652</v>
      </c>
      <c r="AA56" t="s">
        <v>1653</v>
      </c>
      <c r="AB56" t="s">
        <v>1654</v>
      </c>
      <c r="AC56" t="s">
        <v>1655</v>
      </c>
      <c r="AD56" t="s">
        <v>1656</v>
      </c>
      <c r="AE56" t="s">
        <v>1657</v>
      </c>
      <c r="AF56" t="s">
        <v>1658</v>
      </c>
      <c r="AG56" t="s">
        <v>1659</v>
      </c>
      <c r="AH56" t="s">
        <v>1660</v>
      </c>
      <c r="AI56" t="s">
        <v>1661</v>
      </c>
      <c r="BA56" t="str">
        <f>"799"</f>
        <v>799</v>
      </c>
      <c r="BB56" t="str">
        <f>"340"</f>
        <v>340</v>
      </c>
      <c r="BC56" t="s">
        <v>388</v>
      </c>
      <c r="BD56" t="str">
        <f t="shared" si="3"/>
        <v>1</v>
      </c>
      <c r="BE56" t="s">
        <v>1662</v>
      </c>
      <c r="BF56" t="str">
        <f>"28.74"</f>
        <v>28.74</v>
      </c>
      <c r="BG56" t="str">
        <f>"32.09"</f>
        <v>32.09</v>
      </c>
      <c r="BH56" t="str">
        <f>"35.83"</f>
        <v>35.83</v>
      </c>
      <c r="BI56" t="str">
        <f>"42.11"</f>
        <v>42.11</v>
      </c>
      <c r="BY56" t="str">
        <f>"17.02"</f>
        <v>17.02</v>
      </c>
      <c r="BZ56" t="str">
        <f>"0.482"</f>
        <v>0.482</v>
      </c>
      <c r="CA56" t="s">
        <v>495</v>
      </c>
      <c r="CH56" t="s">
        <v>1633</v>
      </c>
      <c r="CI56" t="s">
        <v>1634</v>
      </c>
      <c r="CJ56" t="s">
        <v>1635</v>
      </c>
      <c r="CK56" t="s">
        <v>1636</v>
      </c>
      <c r="CL56" t="s">
        <v>1637</v>
      </c>
      <c r="CN56">
        <v>0</v>
      </c>
      <c r="CO56">
        <v>0</v>
      </c>
      <c r="CP56" t="s">
        <v>437</v>
      </c>
      <c r="CQ56" t="s">
        <v>399</v>
      </c>
      <c r="CU56" t="s">
        <v>401</v>
      </c>
      <c r="CX56" t="s">
        <v>403</v>
      </c>
      <c r="CY56" t="s">
        <v>400</v>
      </c>
      <c r="CZ56">
        <v>0</v>
      </c>
      <c r="DD56">
        <v>100000</v>
      </c>
      <c r="DE56" t="s">
        <v>405</v>
      </c>
      <c r="DF56" t="s">
        <v>406</v>
      </c>
      <c r="DG56" t="s">
        <v>407</v>
      </c>
      <c r="DH56">
        <v>1</v>
      </c>
      <c r="DI56">
        <v>1</v>
      </c>
      <c r="DK56" t="s">
        <v>1638</v>
      </c>
      <c r="DL56">
        <v>0</v>
      </c>
      <c r="DM56" t="s">
        <v>538</v>
      </c>
      <c r="DN56" t="s">
        <v>534</v>
      </c>
      <c r="DO56" t="s">
        <v>1639</v>
      </c>
      <c r="DP56" t="s">
        <v>1640</v>
      </c>
      <c r="DT56" t="s">
        <v>675</v>
      </c>
      <c r="DX56" t="s">
        <v>1641</v>
      </c>
      <c r="DY56" t="s">
        <v>634</v>
      </c>
      <c r="DZ56" t="s">
        <v>603</v>
      </c>
      <c r="EA56" t="s">
        <v>1642</v>
      </c>
      <c r="EG56" t="s">
        <v>401</v>
      </c>
      <c r="EP56" t="s">
        <v>1643</v>
      </c>
      <c r="EQ56" t="s">
        <v>1644</v>
      </c>
      <c r="ER56">
        <v>0</v>
      </c>
      <c r="ES56">
        <v>0</v>
      </c>
      <c r="EU56">
        <v>0</v>
      </c>
    </row>
    <row r="57" spans="1:221" x14ac:dyDescent="0.25">
      <c r="A57" t="s">
        <v>1663</v>
      </c>
      <c r="B57" t="str">
        <f>"801542132200"</f>
        <v>801542132200</v>
      </c>
      <c r="C57" t="s">
        <v>1664</v>
      </c>
      <c r="D57" t="s">
        <v>366</v>
      </c>
      <c r="E57" t="s">
        <v>515</v>
      </c>
      <c r="F57" t="s">
        <v>516</v>
      </c>
      <c r="G57" t="str">
        <f>"27.25"</f>
        <v>27.25</v>
      </c>
      <c r="H57" t="str">
        <f>"30.25"</f>
        <v>30.25</v>
      </c>
      <c r="I57" t="str">
        <f>"32.25"</f>
        <v>32.25</v>
      </c>
      <c r="J57" t="str">
        <f>"29.32"</f>
        <v>29.32</v>
      </c>
      <c r="K57" t="s">
        <v>1665</v>
      </c>
      <c r="L57" t="s">
        <v>370</v>
      </c>
      <c r="N57" t="s">
        <v>416</v>
      </c>
      <c r="O57" t="s">
        <v>372</v>
      </c>
      <c r="T57" t="s">
        <v>373</v>
      </c>
      <c r="U57" t="s">
        <v>373</v>
      </c>
      <c r="V57" t="s">
        <v>1666</v>
      </c>
      <c r="W57" t="s">
        <v>1667</v>
      </c>
      <c r="X57" t="s">
        <v>1668</v>
      </c>
      <c r="Y57" t="s">
        <v>1669</v>
      </c>
      <c r="Z57" t="s">
        <v>1670</v>
      </c>
      <c r="AA57" t="s">
        <v>1671</v>
      </c>
      <c r="AB57" t="s">
        <v>1672</v>
      </c>
      <c r="AC57" t="s">
        <v>1673</v>
      </c>
      <c r="AD57" t="s">
        <v>1674</v>
      </c>
      <c r="AE57" t="s">
        <v>1675</v>
      </c>
      <c r="AF57" t="s">
        <v>1676</v>
      </c>
      <c r="AG57" t="s">
        <v>1677</v>
      </c>
      <c r="BA57" t="str">
        <f>"1349"</f>
        <v>1349</v>
      </c>
      <c r="BB57" t="str">
        <f>"570"</f>
        <v>570</v>
      </c>
      <c r="BC57" t="s">
        <v>388</v>
      </c>
      <c r="BD57" t="str">
        <f t="shared" si="3"/>
        <v>1</v>
      </c>
      <c r="BE57" t="s">
        <v>1662</v>
      </c>
      <c r="BF57" t="str">
        <f>"28.74"</f>
        <v>28.74</v>
      </c>
      <c r="BG57" t="str">
        <f>"32.09"</f>
        <v>32.09</v>
      </c>
      <c r="BH57" t="str">
        <f>"35.83"</f>
        <v>35.83</v>
      </c>
      <c r="BI57" t="str">
        <f>"42.11"</f>
        <v>42.11</v>
      </c>
      <c r="BY57" t="str">
        <f>"17.02"</f>
        <v>17.02</v>
      </c>
      <c r="BZ57" t="str">
        <f>"0.482"</f>
        <v>0.482</v>
      </c>
      <c r="CA57" t="s">
        <v>431</v>
      </c>
      <c r="CH57" t="s">
        <v>1633</v>
      </c>
      <c r="CI57" t="s">
        <v>1634</v>
      </c>
      <c r="CJ57" t="s">
        <v>1635</v>
      </c>
      <c r="CK57" t="s">
        <v>1636</v>
      </c>
      <c r="CL57" t="s">
        <v>1637</v>
      </c>
      <c r="CN57">
        <v>0</v>
      </c>
      <c r="CO57">
        <v>0</v>
      </c>
      <c r="CP57" t="s">
        <v>437</v>
      </c>
      <c r="CQ57" t="s">
        <v>438</v>
      </c>
      <c r="CU57" t="s">
        <v>401</v>
      </c>
      <c r="CX57" t="s">
        <v>403</v>
      </c>
      <c r="CY57" t="s">
        <v>400</v>
      </c>
      <c r="CZ57">
        <v>0</v>
      </c>
      <c r="DD57">
        <v>0</v>
      </c>
      <c r="DE57" t="s">
        <v>405</v>
      </c>
      <c r="DF57" t="s">
        <v>406</v>
      </c>
      <c r="DG57" t="s">
        <v>407</v>
      </c>
      <c r="DH57">
        <v>1</v>
      </c>
      <c r="DI57">
        <v>1</v>
      </c>
      <c r="DK57" t="s">
        <v>1638</v>
      </c>
      <c r="DL57">
        <v>0</v>
      </c>
      <c r="DM57" t="s">
        <v>538</v>
      </c>
      <c r="DN57" t="s">
        <v>534</v>
      </c>
      <c r="DO57" t="s">
        <v>1639</v>
      </c>
      <c r="DP57" t="s">
        <v>1640</v>
      </c>
      <c r="DT57" t="s">
        <v>675</v>
      </c>
      <c r="DX57" t="s">
        <v>1641</v>
      </c>
      <c r="DY57" t="s">
        <v>634</v>
      </c>
      <c r="DZ57" t="s">
        <v>603</v>
      </c>
      <c r="EA57" t="s">
        <v>1642</v>
      </c>
      <c r="EG57" t="s">
        <v>401</v>
      </c>
      <c r="EP57" t="s">
        <v>1643</v>
      </c>
      <c r="EQ57" t="s">
        <v>1644</v>
      </c>
      <c r="ER57">
        <v>0</v>
      </c>
      <c r="ES57">
        <v>0</v>
      </c>
      <c r="EU57">
        <v>0</v>
      </c>
    </row>
    <row r="58" spans="1:221" x14ac:dyDescent="0.25">
      <c r="A58" t="s">
        <v>1678</v>
      </c>
      <c r="B58" t="str">
        <f>"801542132217"</f>
        <v>801542132217</v>
      </c>
      <c r="C58" t="s">
        <v>1679</v>
      </c>
      <c r="D58" t="s">
        <v>366</v>
      </c>
      <c r="E58" t="s">
        <v>515</v>
      </c>
      <c r="F58" t="s">
        <v>516</v>
      </c>
      <c r="G58" t="str">
        <f>"27.25"</f>
        <v>27.25</v>
      </c>
      <c r="H58" t="str">
        <f>"30.25"</f>
        <v>30.25</v>
      </c>
      <c r="I58" t="str">
        <f>"32.25"</f>
        <v>32.25</v>
      </c>
      <c r="J58" t="str">
        <f>"29.32"</f>
        <v>29.32</v>
      </c>
      <c r="K58" t="s">
        <v>1680</v>
      </c>
      <c r="L58" t="s">
        <v>370</v>
      </c>
      <c r="N58" t="s">
        <v>371</v>
      </c>
      <c r="O58" t="s">
        <v>372</v>
      </c>
      <c r="T58" t="s">
        <v>373</v>
      </c>
      <c r="U58" t="s">
        <v>373</v>
      </c>
      <c r="V58" t="s">
        <v>1681</v>
      </c>
      <c r="W58" t="s">
        <v>1682</v>
      </c>
      <c r="X58" t="s">
        <v>1683</v>
      </c>
      <c r="Y58" t="s">
        <v>1684</v>
      </c>
      <c r="Z58" t="s">
        <v>1685</v>
      </c>
      <c r="AA58" t="s">
        <v>1686</v>
      </c>
      <c r="AB58" t="s">
        <v>1687</v>
      </c>
      <c r="AC58" t="s">
        <v>1688</v>
      </c>
      <c r="AD58" t="s">
        <v>1689</v>
      </c>
      <c r="AE58" t="s">
        <v>1690</v>
      </c>
      <c r="AF58" t="s">
        <v>1691</v>
      </c>
      <c r="AG58" t="s">
        <v>1692</v>
      </c>
      <c r="AH58" t="s">
        <v>1693</v>
      </c>
      <c r="AI58" t="s">
        <v>1694</v>
      </c>
      <c r="BA58" t="str">
        <f>"849"</f>
        <v>849</v>
      </c>
      <c r="BB58" t="str">
        <f>"360"</f>
        <v>360</v>
      </c>
      <c r="BC58" t="s">
        <v>388</v>
      </c>
      <c r="BD58" t="str">
        <f t="shared" si="3"/>
        <v>1</v>
      </c>
      <c r="BE58" t="s">
        <v>1662</v>
      </c>
      <c r="BF58" t="str">
        <f>"28.74"</f>
        <v>28.74</v>
      </c>
      <c r="BG58" t="str">
        <f>"32.09"</f>
        <v>32.09</v>
      </c>
      <c r="BH58" t="str">
        <f>"35.83"</f>
        <v>35.83</v>
      </c>
      <c r="BI58" t="str">
        <f>"42.11"</f>
        <v>42.11</v>
      </c>
      <c r="BY58" t="str">
        <f>"17.02"</f>
        <v>17.02</v>
      </c>
      <c r="BZ58" t="str">
        <f>"0.482"</f>
        <v>0.482</v>
      </c>
      <c r="CA58" t="s">
        <v>431</v>
      </c>
      <c r="CH58" t="s">
        <v>1633</v>
      </c>
      <c r="CI58" t="s">
        <v>1634</v>
      </c>
      <c r="CJ58" t="s">
        <v>1635</v>
      </c>
      <c r="CK58" t="s">
        <v>1636</v>
      </c>
      <c r="CL58" t="s">
        <v>1637</v>
      </c>
      <c r="CN58">
        <v>0</v>
      </c>
      <c r="CO58">
        <v>0</v>
      </c>
      <c r="CP58" t="s">
        <v>437</v>
      </c>
      <c r="CQ58" t="s">
        <v>399</v>
      </c>
      <c r="CU58" t="s">
        <v>401</v>
      </c>
      <c r="CX58" t="s">
        <v>403</v>
      </c>
      <c r="CY58" t="s">
        <v>400</v>
      </c>
      <c r="CZ58">
        <v>0</v>
      </c>
      <c r="DD58">
        <v>15000</v>
      </c>
      <c r="DE58" t="s">
        <v>405</v>
      </c>
      <c r="DF58" t="s">
        <v>406</v>
      </c>
      <c r="DG58" t="s">
        <v>407</v>
      </c>
      <c r="DH58">
        <v>1</v>
      </c>
      <c r="DI58">
        <v>1</v>
      </c>
      <c r="DK58" t="s">
        <v>1638</v>
      </c>
      <c r="DL58">
        <v>0</v>
      </c>
      <c r="DM58" t="s">
        <v>538</v>
      </c>
      <c r="DN58" t="s">
        <v>534</v>
      </c>
      <c r="DO58" t="s">
        <v>1639</v>
      </c>
      <c r="DP58" t="s">
        <v>1640</v>
      </c>
      <c r="DT58" t="s">
        <v>675</v>
      </c>
      <c r="DX58" t="s">
        <v>1641</v>
      </c>
      <c r="DY58" t="s">
        <v>634</v>
      </c>
      <c r="DZ58" t="s">
        <v>603</v>
      </c>
      <c r="EA58" t="s">
        <v>1642</v>
      </c>
      <c r="EG58" t="s">
        <v>401</v>
      </c>
      <c r="EP58" t="s">
        <v>1643</v>
      </c>
      <c r="EQ58" t="s">
        <v>1644</v>
      </c>
      <c r="ER58">
        <v>0</v>
      </c>
      <c r="ES58">
        <v>0</v>
      </c>
      <c r="EU58">
        <v>0</v>
      </c>
    </row>
    <row r="59" spans="1:221" x14ac:dyDescent="0.25">
      <c r="A59" t="s">
        <v>1695</v>
      </c>
      <c r="B59" t="str">
        <f>"801542003128"</f>
        <v>801542003128</v>
      </c>
      <c r="C59" t="s">
        <v>1696</v>
      </c>
      <c r="D59" t="s">
        <v>458</v>
      </c>
      <c r="E59" t="s">
        <v>1077</v>
      </c>
      <c r="G59" t="str">
        <f>"24"</f>
        <v>24</v>
      </c>
      <c r="H59" t="str">
        <f>"24"</f>
        <v>24</v>
      </c>
      <c r="I59" t="str">
        <f>"16.25"</f>
        <v>16.25</v>
      </c>
      <c r="J59" t="str">
        <f>"24.25"</f>
        <v>24.25</v>
      </c>
      <c r="K59" t="s">
        <v>1697</v>
      </c>
      <c r="L59" t="s">
        <v>1698</v>
      </c>
      <c r="N59" t="s">
        <v>1699</v>
      </c>
      <c r="O59" t="s">
        <v>416</v>
      </c>
      <c r="T59" t="s">
        <v>373</v>
      </c>
      <c r="U59" t="s">
        <v>373</v>
      </c>
      <c r="V59" t="s">
        <v>1700</v>
      </c>
      <c r="W59" t="s">
        <v>1701</v>
      </c>
      <c r="X59" t="s">
        <v>1702</v>
      </c>
      <c r="Y59" t="s">
        <v>1703</v>
      </c>
      <c r="Z59" t="s">
        <v>1704</v>
      </c>
      <c r="AA59" t="s">
        <v>1705</v>
      </c>
      <c r="AB59" t="s">
        <v>1706</v>
      </c>
      <c r="AC59" t="s">
        <v>1707</v>
      </c>
      <c r="BA59" t="str">
        <f>"1349"</f>
        <v>1349</v>
      </c>
      <c r="BB59" t="str">
        <f>"570"</f>
        <v>570</v>
      </c>
      <c r="BC59" t="s">
        <v>388</v>
      </c>
      <c r="BD59" t="str">
        <f t="shared" si="3"/>
        <v>1</v>
      </c>
      <c r="BE59" t="s">
        <v>389</v>
      </c>
      <c r="BF59" t="str">
        <f>"26.77"</f>
        <v>26.77</v>
      </c>
      <c r="BG59" t="str">
        <f>"26.77"</f>
        <v>26.77</v>
      </c>
      <c r="BH59" t="str">
        <f>"18.5"</f>
        <v>18.5</v>
      </c>
      <c r="BI59" t="str">
        <f>"31.97"</f>
        <v>31.97</v>
      </c>
      <c r="BY59" t="str">
        <f>"7.66"</f>
        <v>7.66</v>
      </c>
      <c r="BZ59" t="str">
        <f>"0.217"</f>
        <v>0.217</v>
      </c>
      <c r="CA59" t="s">
        <v>495</v>
      </c>
      <c r="CR59" t="s">
        <v>400</v>
      </c>
      <c r="CS59">
        <v>0</v>
      </c>
      <c r="CT59" t="s">
        <v>400</v>
      </c>
      <c r="CV59">
        <v>0</v>
      </c>
      <c r="CX59" t="s">
        <v>1609</v>
      </c>
      <c r="CY59" t="s">
        <v>400</v>
      </c>
      <c r="DC59">
        <v>0</v>
      </c>
      <c r="DJ59" t="s">
        <v>471</v>
      </c>
      <c r="DK59" t="s">
        <v>1708</v>
      </c>
      <c r="DM59" t="s">
        <v>473</v>
      </c>
      <c r="DX59" t="s">
        <v>1709</v>
      </c>
      <c r="EG59" t="s">
        <v>1710</v>
      </c>
      <c r="EI59" t="s">
        <v>1711</v>
      </c>
      <c r="EJ59" t="s">
        <v>1709</v>
      </c>
      <c r="EK59" t="s">
        <v>1711</v>
      </c>
      <c r="EL59" t="s">
        <v>676</v>
      </c>
      <c r="EN59">
        <v>0</v>
      </c>
      <c r="EO59">
        <v>0</v>
      </c>
      <c r="EX59" t="s">
        <v>1712</v>
      </c>
    </row>
    <row r="60" spans="1:221" x14ac:dyDescent="0.25">
      <c r="A60" t="s">
        <v>1713</v>
      </c>
      <c r="B60" t="str">
        <f>"801542691714"</f>
        <v>801542691714</v>
      </c>
      <c r="C60" t="s">
        <v>1714</v>
      </c>
      <c r="D60" t="s">
        <v>514</v>
      </c>
      <c r="E60" t="s">
        <v>413</v>
      </c>
      <c r="G60" t="str">
        <f>"94"</f>
        <v>94</v>
      </c>
      <c r="H60" t="str">
        <f>"33.5"</f>
        <v>33.5</v>
      </c>
      <c r="I60" t="str">
        <f>"28.5"</f>
        <v>28.5</v>
      </c>
      <c r="J60" t="str">
        <f>"148.5"</f>
        <v>148.5</v>
      </c>
      <c r="K60" t="s">
        <v>517</v>
      </c>
      <c r="L60" t="s">
        <v>518</v>
      </c>
      <c r="N60" t="s">
        <v>416</v>
      </c>
      <c r="O60" t="s">
        <v>519</v>
      </c>
      <c r="T60" t="s">
        <v>373</v>
      </c>
      <c r="U60" t="s">
        <v>373</v>
      </c>
      <c r="V60" t="s">
        <v>1715</v>
      </c>
      <c r="W60" t="s">
        <v>1716</v>
      </c>
      <c r="X60" t="s">
        <v>1717</v>
      </c>
      <c r="Y60" t="s">
        <v>1718</v>
      </c>
      <c r="Z60" t="s">
        <v>1719</v>
      </c>
      <c r="AA60" t="s">
        <v>1720</v>
      </c>
      <c r="AB60" t="s">
        <v>1721</v>
      </c>
      <c r="AC60" t="s">
        <v>1722</v>
      </c>
      <c r="AD60" t="s">
        <v>1723</v>
      </c>
      <c r="AE60" t="s">
        <v>1724</v>
      </c>
      <c r="AF60" t="s">
        <v>1725</v>
      </c>
      <c r="AG60" t="s">
        <v>1726</v>
      </c>
      <c r="AH60" t="s">
        <v>1727</v>
      </c>
      <c r="AI60" t="s">
        <v>1728</v>
      </c>
      <c r="AJ60" t="s">
        <v>1729</v>
      </c>
      <c r="AK60" t="s">
        <v>1730</v>
      </c>
      <c r="BA60" t="str">
        <f>"6299"</f>
        <v>6299</v>
      </c>
      <c r="BB60" t="str">
        <f>"2650"</f>
        <v>2650</v>
      </c>
      <c r="BC60" t="s">
        <v>388</v>
      </c>
      <c r="BD60" t="str">
        <f t="shared" si="3"/>
        <v>1</v>
      </c>
      <c r="BE60" t="s">
        <v>389</v>
      </c>
      <c r="BF60" t="str">
        <f>"97"</f>
        <v>97</v>
      </c>
      <c r="BG60" t="str">
        <f>"36"</f>
        <v>36</v>
      </c>
      <c r="BH60" t="str">
        <f>"33.5"</f>
        <v>33.5</v>
      </c>
      <c r="BI60" t="str">
        <f>"194"</f>
        <v>194</v>
      </c>
      <c r="BY60" t="str">
        <f>"67.7"</f>
        <v>67.7</v>
      </c>
      <c r="BZ60" t="str">
        <f>"1.917"</f>
        <v>1.917</v>
      </c>
      <c r="CA60" t="s">
        <v>431</v>
      </c>
      <c r="CH60" t="s">
        <v>1016</v>
      </c>
      <c r="CI60" t="s">
        <v>576</v>
      </c>
      <c r="CJ60" t="s">
        <v>1731</v>
      </c>
      <c r="CK60" t="s">
        <v>1732</v>
      </c>
      <c r="CL60" t="s">
        <v>1055</v>
      </c>
      <c r="CM60" t="s">
        <v>1733</v>
      </c>
      <c r="CN60">
        <v>2</v>
      </c>
      <c r="CO60">
        <v>2</v>
      </c>
      <c r="CP60" t="s">
        <v>437</v>
      </c>
      <c r="CQ60" t="s">
        <v>438</v>
      </c>
      <c r="CU60" t="s">
        <v>1734</v>
      </c>
      <c r="CX60" t="s">
        <v>403</v>
      </c>
      <c r="CY60" t="s">
        <v>400</v>
      </c>
      <c r="CZ60">
        <v>0</v>
      </c>
      <c r="DD60">
        <v>0</v>
      </c>
      <c r="DE60" t="s">
        <v>439</v>
      </c>
      <c r="DF60" t="s">
        <v>406</v>
      </c>
      <c r="DG60" t="s">
        <v>407</v>
      </c>
      <c r="DH60">
        <v>2</v>
      </c>
      <c r="DI60">
        <v>2</v>
      </c>
      <c r="DK60" t="s">
        <v>1735</v>
      </c>
      <c r="DL60">
        <v>0</v>
      </c>
      <c r="DM60" t="s">
        <v>1736</v>
      </c>
      <c r="DN60" t="s">
        <v>1016</v>
      </c>
      <c r="DO60" t="s">
        <v>540</v>
      </c>
      <c r="DP60" t="s">
        <v>1737</v>
      </c>
      <c r="DQ60" t="s">
        <v>748</v>
      </c>
      <c r="DR60" t="s">
        <v>566</v>
      </c>
      <c r="DS60" t="s">
        <v>1016</v>
      </c>
      <c r="DT60" t="s">
        <v>576</v>
      </c>
      <c r="DU60" t="s">
        <v>748</v>
      </c>
      <c r="DV60" t="s">
        <v>566</v>
      </c>
      <c r="DW60" t="s">
        <v>1738</v>
      </c>
      <c r="DX60" t="s">
        <v>1739</v>
      </c>
      <c r="DY60" t="s">
        <v>1016</v>
      </c>
      <c r="DZ60" t="s">
        <v>1740</v>
      </c>
      <c r="EA60" t="s">
        <v>540</v>
      </c>
      <c r="EB60" t="s">
        <v>407</v>
      </c>
      <c r="EC60" t="s">
        <v>402</v>
      </c>
      <c r="ED60" t="s">
        <v>406</v>
      </c>
      <c r="EE60" t="s">
        <v>407</v>
      </c>
      <c r="EF60" t="s">
        <v>614</v>
      </c>
      <c r="EG60" t="s">
        <v>1741</v>
      </c>
      <c r="EM60" t="s">
        <v>402</v>
      </c>
    </row>
    <row r="61" spans="1:221" x14ac:dyDescent="0.25">
      <c r="A61" t="s">
        <v>1742</v>
      </c>
      <c r="B61" t="str">
        <f>"801542698423"</f>
        <v>801542698423</v>
      </c>
      <c r="C61" t="s">
        <v>1743</v>
      </c>
      <c r="D61" t="s">
        <v>583</v>
      </c>
      <c r="E61" t="s">
        <v>515</v>
      </c>
      <c r="F61" t="s">
        <v>516</v>
      </c>
      <c r="G61" t="str">
        <f>"33"</f>
        <v>33</v>
      </c>
      <c r="H61" t="str">
        <f t="shared" ref="H61:H67" si="4">"35"</f>
        <v>35</v>
      </c>
      <c r="I61" t="str">
        <f t="shared" ref="I61:I67" si="5">"26.5"</f>
        <v>26.5</v>
      </c>
      <c r="J61" t="str">
        <f>"71.65"</f>
        <v>71.65</v>
      </c>
      <c r="K61" t="s">
        <v>1744</v>
      </c>
      <c r="N61" t="s">
        <v>371</v>
      </c>
      <c r="T61" t="s">
        <v>402</v>
      </c>
      <c r="U61" t="s">
        <v>373</v>
      </c>
      <c r="V61" t="s">
        <v>1745</v>
      </c>
      <c r="W61" t="s">
        <v>1746</v>
      </c>
      <c r="X61" t="s">
        <v>1747</v>
      </c>
      <c r="Y61" t="s">
        <v>1748</v>
      </c>
      <c r="Z61" t="s">
        <v>1749</v>
      </c>
      <c r="AA61" t="s">
        <v>1750</v>
      </c>
      <c r="AB61" t="s">
        <v>1751</v>
      </c>
      <c r="AC61" t="s">
        <v>1752</v>
      </c>
      <c r="BA61" t="str">
        <f>"1049"</f>
        <v>1049</v>
      </c>
      <c r="BB61" t="str">
        <f>"445"</f>
        <v>445</v>
      </c>
      <c r="BC61" t="s">
        <v>388</v>
      </c>
      <c r="BD61" t="str">
        <f t="shared" si="3"/>
        <v>1</v>
      </c>
      <c r="BE61" t="s">
        <v>389</v>
      </c>
      <c r="BF61" t="str">
        <f>"36.22"</f>
        <v>36.22</v>
      </c>
      <c r="BG61" t="str">
        <f>"33.86"</f>
        <v>33.86</v>
      </c>
      <c r="BH61" t="str">
        <f>"27.56"</f>
        <v>27.56</v>
      </c>
      <c r="BI61" t="str">
        <f>"82.67"</f>
        <v>82.67</v>
      </c>
      <c r="BY61" t="str">
        <f>"19.56"</f>
        <v>19.56</v>
      </c>
      <c r="BZ61" t="str">
        <f>"0.554"</f>
        <v>0.554</v>
      </c>
      <c r="CA61" t="s">
        <v>431</v>
      </c>
      <c r="CK61" t="s">
        <v>600</v>
      </c>
      <c r="CL61" t="s">
        <v>511</v>
      </c>
      <c r="CM61" t="s">
        <v>1151</v>
      </c>
      <c r="CN61">
        <v>0</v>
      </c>
      <c r="CO61">
        <v>0</v>
      </c>
      <c r="CP61" t="s">
        <v>437</v>
      </c>
      <c r="CQ61" t="s">
        <v>631</v>
      </c>
      <c r="CX61" t="s">
        <v>403</v>
      </c>
      <c r="CY61" t="s">
        <v>1753</v>
      </c>
      <c r="CZ61">
        <v>0</v>
      </c>
      <c r="DD61">
        <v>25000</v>
      </c>
      <c r="DE61" t="s">
        <v>439</v>
      </c>
      <c r="DH61">
        <v>0</v>
      </c>
      <c r="DI61">
        <v>1</v>
      </c>
      <c r="DK61" t="s">
        <v>633</v>
      </c>
      <c r="DL61">
        <v>0</v>
      </c>
      <c r="DM61" t="s">
        <v>538</v>
      </c>
      <c r="DN61" t="s">
        <v>634</v>
      </c>
      <c r="DO61" t="s">
        <v>640</v>
      </c>
      <c r="DP61" t="s">
        <v>636</v>
      </c>
      <c r="DT61" t="s">
        <v>450</v>
      </c>
      <c r="DX61" t="s">
        <v>637</v>
      </c>
      <c r="EA61" t="s">
        <v>640</v>
      </c>
      <c r="EG61" t="s">
        <v>641</v>
      </c>
      <c r="ER61">
        <v>0</v>
      </c>
      <c r="ES61">
        <v>0</v>
      </c>
      <c r="ET61" t="s">
        <v>643</v>
      </c>
      <c r="EU61">
        <v>0</v>
      </c>
      <c r="HM61" t="s">
        <v>1754</v>
      </c>
    </row>
    <row r="62" spans="1:221" x14ac:dyDescent="0.25">
      <c r="A62" t="s">
        <v>1755</v>
      </c>
      <c r="B62" t="str">
        <f>"801542696559"</f>
        <v>801542696559</v>
      </c>
      <c r="C62" t="s">
        <v>1756</v>
      </c>
      <c r="D62" t="s">
        <v>583</v>
      </c>
      <c r="E62" t="s">
        <v>515</v>
      </c>
      <c r="F62" t="s">
        <v>516</v>
      </c>
      <c r="G62" t="str">
        <f>"33"</f>
        <v>33</v>
      </c>
      <c r="H62" t="str">
        <f t="shared" si="4"/>
        <v>35</v>
      </c>
      <c r="I62" t="str">
        <f t="shared" si="5"/>
        <v>26.5</v>
      </c>
      <c r="J62" t="str">
        <f>"71.65"</f>
        <v>71.65</v>
      </c>
      <c r="K62" t="s">
        <v>584</v>
      </c>
      <c r="N62" t="s">
        <v>416</v>
      </c>
      <c r="T62" t="s">
        <v>373</v>
      </c>
      <c r="U62" t="s">
        <v>373</v>
      </c>
      <c r="V62" t="s">
        <v>1757</v>
      </c>
      <c r="W62" t="s">
        <v>1758</v>
      </c>
      <c r="X62" t="s">
        <v>1759</v>
      </c>
      <c r="Y62" t="s">
        <v>1760</v>
      </c>
      <c r="Z62" t="s">
        <v>1761</v>
      </c>
      <c r="AA62" t="s">
        <v>1762</v>
      </c>
      <c r="AB62" t="s">
        <v>1763</v>
      </c>
      <c r="AC62" t="s">
        <v>1764</v>
      </c>
      <c r="BA62" t="str">
        <f>"2299"</f>
        <v>2299</v>
      </c>
      <c r="BB62" t="str">
        <f>"970"</f>
        <v>970</v>
      </c>
      <c r="BC62" t="s">
        <v>388</v>
      </c>
      <c r="BD62" t="str">
        <f t="shared" si="3"/>
        <v>1</v>
      </c>
      <c r="BE62" t="s">
        <v>389</v>
      </c>
      <c r="BF62" t="str">
        <f>"36.22"</f>
        <v>36.22</v>
      </c>
      <c r="BG62" t="str">
        <f>"33.86"</f>
        <v>33.86</v>
      </c>
      <c r="BH62" t="str">
        <f>"27.56"</f>
        <v>27.56</v>
      </c>
      <c r="BI62" t="str">
        <f>"82.67"</f>
        <v>82.67</v>
      </c>
      <c r="BY62" t="str">
        <f>"19.56"</f>
        <v>19.56</v>
      </c>
      <c r="BZ62" t="str">
        <f>"0.554"</f>
        <v>0.554</v>
      </c>
      <c r="CA62" t="s">
        <v>1765</v>
      </c>
      <c r="CK62" t="s">
        <v>600</v>
      </c>
      <c r="CL62" t="s">
        <v>511</v>
      </c>
      <c r="CM62" t="s">
        <v>1151</v>
      </c>
      <c r="CN62">
        <v>0</v>
      </c>
      <c r="CO62">
        <v>0</v>
      </c>
      <c r="CP62" t="s">
        <v>437</v>
      </c>
      <c r="CQ62" t="s">
        <v>438</v>
      </c>
      <c r="CX62" t="s">
        <v>403</v>
      </c>
      <c r="CY62" t="s">
        <v>1753</v>
      </c>
      <c r="CZ62">
        <v>0</v>
      </c>
      <c r="DD62">
        <v>0</v>
      </c>
      <c r="DE62" t="s">
        <v>439</v>
      </c>
      <c r="DH62">
        <v>0</v>
      </c>
      <c r="DI62">
        <v>1</v>
      </c>
      <c r="DK62" t="s">
        <v>633</v>
      </c>
      <c r="DL62">
        <v>0</v>
      </c>
      <c r="DM62" t="s">
        <v>538</v>
      </c>
      <c r="DN62" t="s">
        <v>634</v>
      </c>
      <c r="DO62" t="s">
        <v>640</v>
      </c>
      <c r="DP62" t="s">
        <v>636</v>
      </c>
      <c r="DT62" t="s">
        <v>450</v>
      </c>
      <c r="DX62" t="s">
        <v>637</v>
      </c>
      <c r="EA62" t="s">
        <v>640</v>
      </c>
      <c r="EG62" t="s">
        <v>641</v>
      </c>
      <c r="ER62">
        <v>0</v>
      </c>
      <c r="ES62">
        <v>0</v>
      </c>
      <c r="ET62" t="s">
        <v>643</v>
      </c>
      <c r="EU62">
        <v>0</v>
      </c>
      <c r="HM62" t="s">
        <v>1754</v>
      </c>
    </row>
    <row r="63" spans="1:221" x14ac:dyDescent="0.25">
      <c r="A63" t="s">
        <v>1766</v>
      </c>
      <c r="B63" t="str">
        <f>"801542698409"</f>
        <v>801542698409</v>
      </c>
      <c r="C63" t="s">
        <v>1767</v>
      </c>
      <c r="D63" t="s">
        <v>583</v>
      </c>
      <c r="E63" t="s">
        <v>515</v>
      </c>
      <c r="F63" t="s">
        <v>516</v>
      </c>
      <c r="G63" t="str">
        <f>"33"</f>
        <v>33</v>
      </c>
      <c r="H63" t="str">
        <f t="shared" si="4"/>
        <v>35</v>
      </c>
      <c r="I63" t="str">
        <f t="shared" si="5"/>
        <v>26.5</v>
      </c>
      <c r="J63" t="str">
        <f>"71.65"</f>
        <v>71.65</v>
      </c>
      <c r="K63" t="s">
        <v>1768</v>
      </c>
      <c r="N63" t="s">
        <v>416</v>
      </c>
      <c r="T63" t="s">
        <v>402</v>
      </c>
      <c r="U63" t="s">
        <v>373</v>
      </c>
      <c r="V63" t="s">
        <v>1757</v>
      </c>
      <c r="W63" t="s">
        <v>1769</v>
      </c>
      <c r="X63" t="s">
        <v>1770</v>
      </c>
      <c r="Y63" t="s">
        <v>1771</v>
      </c>
      <c r="Z63" t="s">
        <v>1772</v>
      </c>
      <c r="AA63" t="s">
        <v>1773</v>
      </c>
      <c r="AB63" t="s">
        <v>1774</v>
      </c>
      <c r="AC63" t="s">
        <v>1775</v>
      </c>
      <c r="BA63" t="str">
        <f>"2299"</f>
        <v>2299</v>
      </c>
      <c r="BB63" t="str">
        <f>"970"</f>
        <v>970</v>
      </c>
      <c r="BC63" t="s">
        <v>388</v>
      </c>
      <c r="BD63" t="str">
        <f t="shared" si="3"/>
        <v>1</v>
      </c>
      <c r="BE63" t="s">
        <v>389</v>
      </c>
      <c r="BF63" t="str">
        <f>"36.22"</f>
        <v>36.22</v>
      </c>
      <c r="BG63" t="str">
        <f>"33.86"</f>
        <v>33.86</v>
      </c>
      <c r="BH63" t="str">
        <f>"27.56"</f>
        <v>27.56</v>
      </c>
      <c r="BI63" t="str">
        <f>"82.67"</f>
        <v>82.67</v>
      </c>
      <c r="BY63" t="str">
        <f>"19.56"</f>
        <v>19.56</v>
      </c>
      <c r="BZ63" t="str">
        <f>"0.554"</f>
        <v>0.554</v>
      </c>
      <c r="CA63" t="s">
        <v>431</v>
      </c>
      <c r="CK63" t="s">
        <v>600</v>
      </c>
      <c r="CL63" t="s">
        <v>511</v>
      </c>
      <c r="CM63" t="s">
        <v>1151</v>
      </c>
      <c r="CN63">
        <v>0</v>
      </c>
      <c r="CO63">
        <v>0</v>
      </c>
      <c r="CP63" t="s">
        <v>437</v>
      </c>
      <c r="CQ63" t="s">
        <v>438</v>
      </c>
      <c r="CX63" t="s">
        <v>403</v>
      </c>
      <c r="CY63" t="s">
        <v>1753</v>
      </c>
      <c r="CZ63">
        <v>0</v>
      </c>
      <c r="DD63">
        <v>0</v>
      </c>
      <c r="DE63" t="s">
        <v>439</v>
      </c>
      <c r="DH63">
        <v>0</v>
      </c>
      <c r="DI63">
        <v>1</v>
      </c>
      <c r="DK63" t="s">
        <v>633</v>
      </c>
      <c r="DL63">
        <v>0</v>
      </c>
      <c r="DM63" t="s">
        <v>538</v>
      </c>
      <c r="DN63" t="s">
        <v>634</v>
      </c>
      <c r="DO63" t="s">
        <v>640</v>
      </c>
      <c r="DP63" t="s">
        <v>636</v>
      </c>
      <c r="DT63" t="s">
        <v>450</v>
      </c>
      <c r="DX63" t="s">
        <v>637</v>
      </c>
      <c r="EA63" t="s">
        <v>640</v>
      </c>
      <c r="EG63" t="s">
        <v>641</v>
      </c>
      <c r="ER63">
        <v>0</v>
      </c>
      <c r="ES63">
        <v>0</v>
      </c>
      <c r="ET63" t="s">
        <v>643</v>
      </c>
      <c r="EU63">
        <v>0</v>
      </c>
      <c r="HM63" t="s">
        <v>1754</v>
      </c>
    </row>
    <row r="64" spans="1:221" x14ac:dyDescent="0.25">
      <c r="A64" t="s">
        <v>1776</v>
      </c>
      <c r="B64" t="str">
        <f>"198394062527"</f>
        <v>198394062527</v>
      </c>
      <c r="C64" t="s">
        <v>1777</v>
      </c>
      <c r="D64" t="s">
        <v>583</v>
      </c>
      <c r="E64" t="s">
        <v>515</v>
      </c>
      <c r="F64" t="s">
        <v>516</v>
      </c>
      <c r="G64" t="str">
        <f>"33"</f>
        <v>33</v>
      </c>
      <c r="H64" t="str">
        <f t="shared" si="4"/>
        <v>35</v>
      </c>
      <c r="I64" t="str">
        <f t="shared" si="5"/>
        <v>26.5</v>
      </c>
      <c r="J64" t="str">
        <f>"71.65"</f>
        <v>71.65</v>
      </c>
      <c r="K64" t="s">
        <v>911</v>
      </c>
      <c r="N64" t="s">
        <v>912</v>
      </c>
      <c r="O64" t="s">
        <v>913</v>
      </c>
      <c r="T64" t="s">
        <v>402</v>
      </c>
      <c r="U64" t="s">
        <v>402</v>
      </c>
      <c r="V64" t="s">
        <v>1778</v>
      </c>
      <c r="W64" t="s">
        <v>1779</v>
      </c>
      <c r="X64" t="s">
        <v>1780</v>
      </c>
      <c r="Y64" t="s">
        <v>1781</v>
      </c>
      <c r="Z64" t="s">
        <v>1782</v>
      </c>
      <c r="AA64" t="s">
        <v>1783</v>
      </c>
      <c r="AB64" t="s">
        <v>1784</v>
      </c>
      <c r="AC64" t="s">
        <v>1785</v>
      </c>
      <c r="AD64" t="s">
        <v>1786</v>
      </c>
      <c r="AE64" t="s">
        <v>1787</v>
      </c>
      <c r="AF64" t="s">
        <v>1788</v>
      </c>
      <c r="AG64" t="s">
        <v>1789</v>
      </c>
      <c r="BA64" t="str">
        <f>"1049"</f>
        <v>1049</v>
      </c>
      <c r="BB64" t="str">
        <f>"445"</f>
        <v>445</v>
      </c>
      <c r="BC64" t="s">
        <v>388</v>
      </c>
      <c r="BD64" t="str">
        <f t="shared" si="3"/>
        <v>1</v>
      </c>
      <c r="BE64" t="s">
        <v>389</v>
      </c>
      <c r="BF64" t="str">
        <f>"33.86"</f>
        <v>33.86</v>
      </c>
      <c r="BG64" t="str">
        <f>"36.22"</f>
        <v>36.22</v>
      </c>
      <c r="BH64" t="str">
        <f>"27.56"</f>
        <v>27.56</v>
      </c>
      <c r="BI64" t="str">
        <f>"82.67"</f>
        <v>82.67</v>
      </c>
      <c r="BY64" t="str">
        <f>"19.56"</f>
        <v>19.56</v>
      </c>
      <c r="BZ64" t="str">
        <f>"0.554"</f>
        <v>0.554</v>
      </c>
      <c r="CA64" t="s">
        <v>431</v>
      </c>
      <c r="CK64" t="s">
        <v>600</v>
      </c>
      <c r="CL64" t="s">
        <v>511</v>
      </c>
      <c r="CM64" t="s">
        <v>1151</v>
      </c>
      <c r="CN64">
        <v>0</v>
      </c>
      <c r="CO64">
        <v>0</v>
      </c>
      <c r="CP64" t="s">
        <v>437</v>
      </c>
      <c r="CQ64" t="s">
        <v>399</v>
      </c>
      <c r="CX64" t="s">
        <v>403</v>
      </c>
      <c r="CY64" t="s">
        <v>1753</v>
      </c>
      <c r="CZ64">
        <v>0</v>
      </c>
      <c r="DD64">
        <v>50000</v>
      </c>
      <c r="DE64" t="s">
        <v>439</v>
      </c>
      <c r="DH64">
        <v>0</v>
      </c>
      <c r="DI64">
        <v>1</v>
      </c>
      <c r="DK64" t="s">
        <v>633</v>
      </c>
      <c r="DL64">
        <v>0</v>
      </c>
      <c r="DM64" t="s">
        <v>538</v>
      </c>
      <c r="DN64" t="s">
        <v>634</v>
      </c>
      <c r="DO64" t="s">
        <v>640</v>
      </c>
      <c r="DP64" t="s">
        <v>636</v>
      </c>
      <c r="DT64" t="s">
        <v>450</v>
      </c>
      <c r="DX64" t="s">
        <v>637</v>
      </c>
      <c r="EA64" t="s">
        <v>640</v>
      </c>
      <c r="EG64" t="s">
        <v>641</v>
      </c>
      <c r="ER64">
        <v>0</v>
      </c>
      <c r="ES64">
        <v>0</v>
      </c>
      <c r="ET64" t="s">
        <v>643</v>
      </c>
      <c r="EU64">
        <v>0</v>
      </c>
      <c r="HM64" t="s">
        <v>1754</v>
      </c>
    </row>
    <row r="65" spans="1:241" x14ac:dyDescent="0.25">
      <c r="A65" t="s">
        <v>1790</v>
      </c>
      <c r="B65" t="str">
        <f>"801542675707"</f>
        <v>801542675707</v>
      </c>
      <c r="C65" t="s">
        <v>1791</v>
      </c>
      <c r="D65" t="s">
        <v>583</v>
      </c>
      <c r="E65" t="s">
        <v>413</v>
      </c>
      <c r="G65" t="str">
        <f>"97"</f>
        <v>97</v>
      </c>
      <c r="H65" t="str">
        <f t="shared" si="4"/>
        <v>35</v>
      </c>
      <c r="I65" t="str">
        <f t="shared" si="5"/>
        <v>26.5</v>
      </c>
      <c r="J65" t="str">
        <f>"123.02"</f>
        <v>123.02</v>
      </c>
      <c r="K65" t="s">
        <v>1792</v>
      </c>
      <c r="N65" t="s">
        <v>1793</v>
      </c>
      <c r="O65" t="s">
        <v>1794</v>
      </c>
      <c r="T65" t="s">
        <v>402</v>
      </c>
      <c r="U65" t="s">
        <v>373</v>
      </c>
      <c r="V65" t="s">
        <v>1795</v>
      </c>
      <c r="W65" t="s">
        <v>1796</v>
      </c>
      <c r="X65" t="s">
        <v>1797</v>
      </c>
      <c r="Y65" t="s">
        <v>1798</v>
      </c>
      <c r="Z65" t="s">
        <v>1799</v>
      </c>
      <c r="AA65" t="s">
        <v>1800</v>
      </c>
      <c r="AB65" t="s">
        <v>1801</v>
      </c>
      <c r="AC65" t="s">
        <v>1802</v>
      </c>
      <c r="AD65" t="s">
        <v>1803</v>
      </c>
      <c r="AE65" t="s">
        <v>1804</v>
      </c>
      <c r="AF65" t="s">
        <v>1805</v>
      </c>
      <c r="AG65" t="s">
        <v>1806</v>
      </c>
      <c r="BA65" t="str">
        <f>"2699"</f>
        <v>2699</v>
      </c>
      <c r="BB65" t="str">
        <f>"1135"</f>
        <v>1135</v>
      </c>
      <c r="BC65" t="s">
        <v>388</v>
      </c>
      <c r="BD65" t="str">
        <f t="shared" si="3"/>
        <v>1</v>
      </c>
      <c r="BE65" t="s">
        <v>389</v>
      </c>
      <c r="BF65" t="str">
        <f>"99.21"</f>
        <v>99.21</v>
      </c>
      <c r="BG65" t="str">
        <f>"36.61"</f>
        <v>36.61</v>
      </c>
      <c r="BH65" t="str">
        <f>"26.38"</f>
        <v>26.38</v>
      </c>
      <c r="BI65" t="str">
        <f>"149.47"</f>
        <v>149.47</v>
      </c>
      <c r="BY65" t="str">
        <f>"55.44"</f>
        <v>55.44</v>
      </c>
      <c r="BZ65" t="str">
        <f>"1.57"</f>
        <v>1.57</v>
      </c>
      <c r="CA65" t="s">
        <v>390</v>
      </c>
      <c r="CK65" t="s">
        <v>600</v>
      </c>
      <c r="CL65" t="s">
        <v>511</v>
      </c>
      <c r="CM65" t="s">
        <v>1807</v>
      </c>
      <c r="CN65">
        <v>0</v>
      </c>
      <c r="CO65">
        <v>1</v>
      </c>
      <c r="CP65" t="s">
        <v>437</v>
      </c>
      <c r="CQ65" t="s">
        <v>438</v>
      </c>
      <c r="CX65" t="s">
        <v>403</v>
      </c>
      <c r="CY65" t="s">
        <v>400</v>
      </c>
      <c r="CZ65">
        <v>0</v>
      </c>
      <c r="DD65">
        <v>30000</v>
      </c>
      <c r="DE65" t="s">
        <v>439</v>
      </c>
      <c r="DF65" t="s">
        <v>632</v>
      </c>
      <c r="DG65" t="s">
        <v>1808</v>
      </c>
      <c r="DH65">
        <v>1</v>
      </c>
      <c r="DI65">
        <v>3</v>
      </c>
      <c r="DK65" t="s">
        <v>633</v>
      </c>
      <c r="DL65">
        <v>0</v>
      </c>
      <c r="DM65" t="s">
        <v>410</v>
      </c>
      <c r="DN65" t="s">
        <v>634</v>
      </c>
      <c r="DO65" t="s">
        <v>640</v>
      </c>
      <c r="DP65" t="s">
        <v>636</v>
      </c>
      <c r="DT65" t="s">
        <v>450</v>
      </c>
      <c r="DX65" t="s">
        <v>637</v>
      </c>
      <c r="DY65" t="s">
        <v>638</v>
      </c>
      <c r="DZ65" t="s">
        <v>1809</v>
      </c>
      <c r="EA65" t="s">
        <v>640</v>
      </c>
      <c r="ED65" t="s">
        <v>632</v>
      </c>
      <c r="EE65" t="s">
        <v>1808</v>
      </c>
      <c r="EG65" t="s">
        <v>641</v>
      </c>
      <c r="ET65" t="s">
        <v>643</v>
      </c>
    </row>
    <row r="66" spans="1:241" x14ac:dyDescent="0.25">
      <c r="A66" t="s">
        <v>1810</v>
      </c>
      <c r="B66" t="str">
        <f>"801542675714"</f>
        <v>801542675714</v>
      </c>
      <c r="C66" t="s">
        <v>1811</v>
      </c>
      <c r="D66" t="s">
        <v>583</v>
      </c>
      <c r="E66" t="s">
        <v>413</v>
      </c>
      <c r="G66" t="str">
        <f>"97"</f>
        <v>97</v>
      </c>
      <c r="H66" t="str">
        <f t="shared" si="4"/>
        <v>35</v>
      </c>
      <c r="I66" t="str">
        <f t="shared" si="5"/>
        <v>26.5</v>
      </c>
      <c r="J66" t="str">
        <f>"123.02"</f>
        <v>123.02</v>
      </c>
      <c r="K66" t="s">
        <v>584</v>
      </c>
      <c r="N66" t="s">
        <v>416</v>
      </c>
      <c r="T66" t="s">
        <v>373</v>
      </c>
      <c r="U66" t="s">
        <v>373</v>
      </c>
      <c r="V66" t="s">
        <v>1812</v>
      </c>
      <c r="W66" t="s">
        <v>1813</v>
      </c>
      <c r="X66" t="s">
        <v>1814</v>
      </c>
      <c r="Y66" t="s">
        <v>1815</v>
      </c>
      <c r="Z66" t="s">
        <v>1816</v>
      </c>
      <c r="AA66" t="s">
        <v>1817</v>
      </c>
      <c r="AB66" t="s">
        <v>1818</v>
      </c>
      <c r="AC66" t="s">
        <v>1819</v>
      </c>
      <c r="AD66" t="s">
        <v>1820</v>
      </c>
      <c r="BA66" t="str">
        <f>"4899"</f>
        <v>4899</v>
      </c>
      <c r="BB66" t="str">
        <f>"2060"</f>
        <v>2060</v>
      </c>
      <c r="BC66" t="s">
        <v>388</v>
      </c>
      <c r="BD66" t="str">
        <f t="shared" si="3"/>
        <v>1</v>
      </c>
      <c r="BE66" t="s">
        <v>389</v>
      </c>
      <c r="BF66" t="str">
        <f>"99.21"</f>
        <v>99.21</v>
      </c>
      <c r="BG66" t="str">
        <f>"36.61"</f>
        <v>36.61</v>
      </c>
      <c r="BH66" t="str">
        <f>"26.38"</f>
        <v>26.38</v>
      </c>
      <c r="BI66" t="str">
        <f>"149.47"</f>
        <v>149.47</v>
      </c>
      <c r="BY66" t="str">
        <f>"55.44"</f>
        <v>55.44</v>
      </c>
      <c r="BZ66" t="str">
        <f>"1.57"</f>
        <v>1.57</v>
      </c>
      <c r="CA66" t="s">
        <v>431</v>
      </c>
      <c r="CK66" t="s">
        <v>600</v>
      </c>
      <c r="CL66" t="s">
        <v>511</v>
      </c>
      <c r="CM66" t="s">
        <v>1807</v>
      </c>
      <c r="CN66">
        <v>0</v>
      </c>
      <c r="CO66">
        <v>1</v>
      </c>
      <c r="CP66" t="s">
        <v>437</v>
      </c>
      <c r="CQ66" t="s">
        <v>438</v>
      </c>
      <c r="CX66" t="s">
        <v>403</v>
      </c>
      <c r="CY66" t="s">
        <v>400</v>
      </c>
      <c r="CZ66">
        <v>0</v>
      </c>
      <c r="DD66">
        <v>0</v>
      </c>
      <c r="DE66" t="s">
        <v>439</v>
      </c>
      <c r="DF66" t="s">
        <v>632</v>
      </c>
      <c r="DG66" t="s">
        <v>1808</v>
      </c>
      <c r="DH66">
        <v>1</v>
      </c>
      <c r="DI66">
        <v>3</v>
      </c>
      <c r="DK66" t="s">
        <v>633</v>
      </c>
      <c r="DL66">
        <v>0</v>
      </c>
      <c r="DM66" t="s">
        <v>410</v>
      </c>
      <c r="DN66" t="s">
        <v>634</v>
      </c>
      <c r="DO66" t="s">
        <v>640</v>
      </c>
      <c r="DP66" t="s">
        <v>636</v>
      </c>
      <c r="DT66" t="s">
        <v>450</v>
      </c>
      <c r="DX66" t="s">
        <v>637</v>
      </c>
      <c r="DY66" t="s">
        <v>638</v>
      </c>
      <c r="DZ66" t="s">
        <v>1809</v>
      </c>
      <c r="EA66" t="s">
        <v>640</v>
      </c>
      <c r="ED66" t="s">
        <v>632</v>
      </c>
      <c r="EE66" t="s">
        <v>1808</v>
      </c>
      <c r="EG66" t="s">
        <v>641</v>
      </c>
      <c r="ET66" t="s">
        <v>643</v>
      </c>
    </row>
    <row r="67" spans="1:241" x14ac:dyDescent="0.25">
      <c r="A67" t="s">
        <v>1821</v>
      </c>
      <c r="B67" t="str">
        <f>"198394062510"</f>
        <v>198394062510</v>
      </c>
      <c r="C67" t="s">
        <v>1822</v>
      </c>
      <c r="D67" t="s">
        <v>583</v>
      </c>
      <c r="E67" t="s">
        <v>413</v>
      </c>
      <c r="G67" t="str">
        <f>"97"</f>
        <v>97</v>
      </c>
      <c r="H67" t="str">
        <f t="shared" si="4"/>
        <v>35</v>
      </c>
      <c r="I67" t="str">
        <f t="shared" si="5"/>
        <v>26.5</v>
      </c>
      <c r="J67" t="str">
        <f>"123.02"</f>
        <v>123.02</v>
      </c>
      <c r="K67" t="s">
        <v>911</v>
      </c>
      <c r="N67" t="s">
        <v>912</v>
      </c>
      <c r="O67" t="s">
        <v>913</v>
      </c>
      <c r="T67" t="s">
        <v>402</v>
      </c>
      <c r="U67" t="s">
        <v>402</v>
      </c>
      <c r="V67" t="s">
        <v>1823</v>
      </c>
      <c r="W67" t="s">
        <v>1824</v>
      </c>
      <c r="X67" t="s">
        <v>1825</v>
      </c>
      <c r="Y67" t="s">
        <v>1826</v>
      </c>
      <c r="Z67" t="s">
        <v>1827</v>
      </c>
      <c r="AA67" t="s">
        <v>1828</v>
      </c>
      <c r="AB67" t="s">
        <v>1829</v>
      </c>
      <c r="AC67" t="s">
        <v>1830</v>
      </c>
      <c r="AD67" t="s">
        <v>1831</v>
      </c>
      <c r="AE67" t="s">
        <v>1832</v>
      </c>
      <c r="AF67" t="s">
        <v>1833</v>
      </c>
      <c r="AG67" t="s">
        <v>1834</v>
      </c>
      <c r="AH67" t="s">
        <v>1835</v>
      </c>
      <c r="BA67" t="str">
        <f>"2599"</f>
        <v>2599</v>
      </c>
      <c r="BB67" t="str">
        <f>"1095"</f>
        <v>1095</v>
      </c>
      <c r="BC67" t="s">
        <v>388</v>
      </c>
      <c r="BD67" t="str">
        <f t="shared" si="3"/>
        <v>1</v>
      </c>
      <c r="BE67" t="s">
        <v>389</v>
      </c>
      <c r="BF67" t="str">
        <f>"99.21"</f>
        <v>99.21</v>
      </c>
      <c r="BG67" t="str">
        <f>"36.61"</f>
        <v>36.61</v>
      </c>
      <c r="BH67" t="str">
        <f>"26.38"</f>
        <v>26.38</v>
      </c>
      <c r="BI67" t="str">
        <f>"149.47"</f>
        <v>149.47</v>
      </c>
      <c r="BY67" t="str">
        <f>"55.44"</f>
        <v>55.44</v>
      </c>
      <c r="BZ67" t="str">
        <f>"1.57"</f>
        <v>1.57</v>
      </c>
      <c r="CA67" t="s">
        <v>495</v>
      </c>
      <c r="CK67" t="s">
        <v>600</v>
      </c>
      <c r="CL67" t="s">
        <v>511</v>
      </c>
      <c r="CM67" t="s">
        <v>1807</v>
      </c>
      <c r="CN67">
        <v>0</v>
      </c>
      <c r="CO67">
        <v>1</v>
      </c>
      <c r="CP67" t="s">
        <v>437</v>
      </c>
      <c r="CQ67" t="s">
        <v>399</v>
      </c>
      <c r="CX67" t="s">
        <v>403</v>
      </c>
      <c r="CY67" t="s">
        <v>400</v>
      </c>
      <c r="CZ67">
        <v>0</v>
      </c>
      <c r="DD67">
        <v>50000</v>
      </c>
      <c r="DE67" t="s">
        <v>439</v>
      </c>
      <c r="DF67" t="s">
        <v>632</v>
      </c>
      <c r="DG67" t="s">
        <v>1808</v>
      </c>
      <c r="DH67">
        <v>1</v>
      </c>
      <c r="DI67">
        <v>3</v>
      </c>
      <c r="DK67" t="s">
        <v>633</v>
      </c>
      <c r="DL67">
        <v>0</v>
      </c>
      <c r="DM67" t="s">
        <v>410</v>
      </c>
      <c r="DN67" t="s">
        <v>634</v>
      </c>
      <c r="DO67" t="s">
        <v>640</v>
      </c>
      <c r="DP67" t="s">
        <v>636</v>
      </c>
      <c r="DT67" t="s">
        <v>450</v>
      </c>
      <c r="DX67" t="s">
        <v>637</v>
      </c>
      <c r="DY67" t="s">
        <v>638</v>
      </c>
      <c r="DZ67" t="s">
        <v>1809</v>
      </c>
      <c r="EA67" t="s">
        <v>640</v>
      </c>
      <c r="ED67" t="s">
        <v>632</v>
      </c>
      <c r="EE67" t="s">
        <v>1808</v>
      </c>
      <c r="EG67" t="s">
        <v>641</v>
      </c>
      <c r="ET67" t="s">
        <v>643</v>
      </c>
    </row>
    <row r="68" spans="1:241" x14ac:dyDescent="0.25">
      <c r="A68" t="s">
        <v>1836</v>
      </c>
      <c r="B68" t="str">
        <f>"801542725129"</f>
        <v>801542725129</v>
      </c>
      <c r="C68" t="s">
        <v>1837</v>
      </c>
      <c r="D68" t="s">
        <v>583</v>
      </c>
      <c r="E68" t="s">
        <v>515</v>
      </c>
      <c r="F68" t="s">
        <v>516</v>
      </c>
      <c r="G68" t="str">
        <f>"30"</f>
        <v>30</v>
      </c>
      <c r="H68" t="str">
        <f>"36"</f>
        <v>36</v>
      </c>
      <c r="I68" t="str">
        <f>"34"</f>
        <v>34</v>
      </c>
      <c r="J68" t="str">
        <f>"43.87"</f>
        <v>43.87</v>
      </c>
      <c r="K68" t="s">
        <v>863</v>
      </c>
      <c r="L68" t="s">
        <v>1838</v>
      </c>
      <c r="N68" t="s">
        <v>416</v>
      </c>
      <c r="O68" t="s">
        <v>1839</v>
      </c>
      <c r="T68" t="s">
        <v>373</v>
      </c>
      <c r="U68" t="s">
        <v>373</v>
      </c>
      <c r="W68" t="s">
        <v>1840</v>
      </c>
      <c r="X68" t="s">
        <v>1841</v>
      </c>
      <c r="Y68" t="s">
        <v>1842</v>
      </c>
      <c r="Z68" t="s">
        <v>1843</v>
      </c>
      <c r="AA68" t="s">
        <v>1844</v>
      </c>
      <c r="AB68" t="s">
        <v>1845</v>
      </c>
      <c r="AC68" t="s">
        <v>1846</v>
      </c>
      <c r="AD68" t="s">
        <v>1847</v>
      </c>
      <c r="AE68" t="s">
        <v>1848</v>
      </c>
      <c r="BA68" t="str">
        <f>"2099"</f>
        <v>2099</v>
      </c>
      <c r="BB68" t="str">
        <f>"885"</f>
        <v>885</v>
      </c>
      <c r="BC68" t="s">
        <v>388</v>
      </c>
      <c r="BD68" t="str">
        <f t="shared" si="3"/>
        <v>1</v>
      </c>
      <c r="BE68" t="s">
        <v>1849</v>
      </c>
      <c r="BF68" t="str">
        <f>"30.71"</f>
        <v>30.71</v>
      </c>
      <c r="BG68" t="str">
        <f>"37.4"</f>
        <v>37.4</v>
      </c>
      <c r="BH68" t="str">
        <f>"23.62"</f>
        <v>23.62</v>
      </c>
      <c r="BI68" t="str">
        <f>"56.22"</f>
        <v>56.22</v>
      </c>
      <c r="BY68" t="str">
        <f>"13.74"</f>
        <v>13.74</v>
      </c>
      <c r="BZ68" t="str">
        <f>"0.389"</f>
        <v>0.389</v>
      </c>
      <c r="CA68" t="s">
        <v>390</v>
      </c>
      <c r="CH68" t="s">
        <v>609</v>
      </c>
      <c r="CI68" t="s">
        <v>450</v>
      </c>
      <c r="CJ68" t="s">
        <v>638</v>
      </c>
      <c r="CK68" t="s">
        <v>601</v>
      </c>
      <c r="CL68" t="s">
        <v>602</v>
      </c>
      <c r="CM68" t="s">
        <v>638</v>
      </c>
      <c r="CN68">
        <v>0</v>
      </c>
      <c r="CO68">
        <v>1</v>
      </c>
      <c r="CP68" t="s">
        <v>437</v>
      </c>
      <c r="CQ68" t="s">
        <v>438</v>
      </c>
      <c r="CU68" t="s">
        <v>1850</v>
      </c>
      <c r="CX68" t="s">
        <v>403</v>
      </c>
      <c r="CY68" t="s">
        <v>400</v>
      </c>
      <c r="CZ68">
        <v>0</v>
      </c>
      <c r="DD68">
        <v>0</v>
      </c>
      <c r="DE68" t="s">
        <v>439</v>
      </c>
      <c r="DF68" t="s">
        <v>406</v>
      </c>
      <c r="DG68" t="s">
        <v>407</v>
      </c>
      <c r="DH68">
        <v>1</v>
      </c>
      <c r="DI68">
        <v>1</v>
      </c>
      <c r="DK68" t="s">
        <v>1851</v>
      </c>
      <c r="DL68">
        <v>0</v>
      </c>
      <c r="DM68" t="s">
        <v>538</v>
      </c>
      <c r="DN68" t="s">
        <v>796</v>
      </c>
      <c r="DO68" t="s">
        <v>450</v>
      </c>
      <c r="DP68" t="s">
        <v>636</v>
      </c>
      <c r="DT68" t="s">
        <v>1852</v>
      </c>
      <c r="DU68" t="s">
        <v>797</v>
      </c>
      <c r="DV68" t="s">
        <v>474</v>
      </c>
      <c r="DW68" t="s">
        <v>638</v>
      </c>
      <c r="DX68" t="s">
        <v>445</v>
      </c>
      <c r="DY68" t="s">
        <v>1853</v>
      </c>
      <c r="DZ68" t="s">
        <v>796</v>
      </c>
      <c r="EA68" t="s">
        <v>1039</v>
      </c>
      <c r="ED68" t="s">
        <v>406</v>
      </c>
      <c r="EE68" t="s">
        <v>407</v>
      </c>
      <c r="EF68" t="s">
        <v>614</v>
      </c>
      <c r="EG68" t="s">
        <v>641</v>
      </c>
      <c r="ER68">
        <v>0</v>
      </c>
      <c r="ES68">
        <v>0</v>
      </c>
      <c r="EU68">
        <v>0</v>
      </c>
    </row>
    <row r="69" spans="1:241" x14ac:dyDescent="0.25">
      <c r="A69" t="s">
        <v>1854</v>
      </c>
      <c r="B69" t="str">
        <f>"801542719562"</f>
        <v>801542719562</v>
      </c>
      <c r="C69" t="s">
        <v>1855</v>
      </c>
      <c r="D69" t="s">
        <v>583</v>
      </c>
      <c r="E69" t="s">
        <v>515</v>
      </c>
      <c r="F69" t="s">
        <v>516</v>
      </c>
      <c r="G69" t="str">
        <f>"30"</f>
        <v>30</v>
      </c>
      <c r="H69" t="str">
        <f>"36"</f>
        <v>36</v>
      </c>
      <c r="I69" t="str">
        <f>"34"</f>
        <v>34</v>
      </c>
      <c r="J69" t="str">
        <f>"43.87"</f>
        <v>43.87</v>
      </c>
      <c r="K69" t="s">
        <v>1856</v>
      </c>
      <c r="L69" t="s">
        <v>1857</v>
      </c>
      <c r="N69" t="s">
        <v>371</v>
      </c>
      <c r="O69" t="s">
        <v>372</v>
      </c>
      <c r="T69" t="s">
        <v>373</v>
      </c>
      <c r="U69" t="s">
        <v>402</v>
      </c>
      <c r="V69" t="s">
        <v>1858</v>
      </c>
      <c r="W69" t="s">
        <v>1859</v>
      </c>
      <c r="X69" t="s">
        <v>1860</v>
      </c>
      <c r="Y69" t="s">
        <v>1861</v>
      </c>
      <c r="Z69" t="s">
        <v>1862</v>
      </c>
      <c r="AA69" t="s">
        <v>1863</v>
      </c>
      <c r="AB69" t="s">
        <v>1864</v>
      </c>
      <c r="AC69" t="s">
        <v>1865</v>
      </c>
      <c r="AD69" t="s">
        <v>1866</v>
      </c>
      <c r="AE69" t="s">
        <v>1867</v>
      </c>
      <c r="AF69" t="s">
        <v>1868</v>
      </c>
      <c r="AG69" t="s">
        <v>1869</v>
      </c>
      <c r="AH69" t="s">
        <v>1870</v>
      </c>
      <c r="AI69" t="s">
        <v>1871</v>
      </c>
      <c r="BA69" t="str">
        <f>"1149"</f>
        <v>1149</v>
      </c>
      <c r="BB69" t="str">
        <f>"485"</f>
        <v>485</v>
      </c>
      <c r="BC69" t="s">
        <v>388</v>
      </c>
      <c r="BD69" t="str">
        <f t="shared" si="3"/>
        <v>1</v>
      </c>
      <c r="BE69" t="s">
        <v>1872</v>
      </c>
      <c r="BF69" t="str">
        <f>"30.71"</f>
        <v>30.71</v>
      </c>
      <c r="BG69" t="str">
        <f>"37.4"</f>
        <v>37.4</v>
      </c>
      <c r="BH69" t="str">
        <f>"23.62"</f>
        <v>23.62</v>
      </c>
      <c r="BI69" t="str">
        <f>"56.22"</f>
        <v>56.22</v>
      </c>
      <c r="BY69" t="str">
        <f>"13.74"</f>
        <v>13.74</v>
      </c>
      <c r="BZ69" t="str">
        <f>"0.389"</f>
        <v>0.389</v>
      </c>
      <c r="CA69" t="s">
        <v>495</v>
      </c>
      <c r="CH69" t="s">
        <v>609</v>
      </c>
      <c r="CI69" t="s">
        <v>450</v>
      </c>
      <c r="CJ69" t="s">
        <v>638</v>
      </c>
      <c r="CK69" t="s">
        <v>601</v>
      </c>
      <c r="CL69" t="s">
        <v>602</v>
      </c>
      <c r="CM69" t="s">
        <v>638</v>
      </c>
      <c r="CN69">
        <v>0</v>
      </c>
      <c r="CO69">
        <v>1</v>
      </c>
      <c r="CP69" t="s">
        <v>437</v>
      </c>
      <c r="CQ69" t="s">
        <v>631</v>
      </c>
      <c r="CU69" t="s">
        <v>1850</v>
      </c>
      <c r="CX69" t="s">
        <v>403</v>
      </c>
      <c r="CY69" t="s">
        <v>400</v>
      </c>
      <c r="CZ69">
        <v>0</v>
      </c>
      <c r="DD69">
        <v>25000</v>
      </c>
      <c r="DE69" t="s">
        <v>439</v>
      </c>
      <c r="DF69" t="s">
        <v>406</v>
      </c>
      <c r="DG69" t="s">
        <v>407</v>
      </c>
      <c r="DH69">
        <v>1</v>
      </c>
      <c r="DI69">
        <v>1</v>
      </c>
      <c r="DK69" t="s">
        <v>1851</v>
      </c>
      <c r="DL69">
        <v>0</v>
      </c>
      <c r="DM69" t="s">
        <v>538</v>
      </c>
      <c r="DN69" t="s">
        <v>796</v>
      </c>
      <c r="DO69" t="s">
        <v>450</v>
      </c>
      <c r="DP69" t="s">
        <v>636</v>
      </c>
      <c r="DT69" t="s">
        <v>1852</v>
      </c>
      <c r="DU69" t="s">
        <v>797</v>
      </c>
      <c r="DV69" t="s">
        <v>474</v>
      </c>
      <c r="DW69" t="s">
        <v>638</v>
      </c>
      <c r="DX69" t="s">
        <v>445</v>
      </c>
      <c r="DY69" t="s">
        <v>1853</v>
      </c>
      <c r="DZ69" t="s">
        <v>796</v>
      </c>
      <c r="EA69" t="s">
        <v>1039</v>
      </c>
      <c r="ED69" t="s">
        <v>406</v>
      </c>
      <c r="EE69" t="s">
        <v>407</v>
      </c>
      <c r="EF69" t="s">
        <v>614</v>
      </c>
      <c r="EG69" t="s">
        <v>641</v>
      </c>
      <c r="ER69">
        <v>0</v>
      </c>
      <c r="ES69">
        <v>0</v>
      </c>
      <c r="EU69">
        <v>0</v>
      </c>
    </row>
    <row r="70" spans="1:241" x14ac:dyDescent="0.25">
      <c r="A70" t="s">
        <v>1873</v>
      </c>
      <c r="B70" t="str">
        <f>"801542698645"</f>
        <v>801542698645</v>
      </c>
      <c r="C70" t="s">
        <v>1874</v>
      </c>
      <c r="D70" t="s">
        <v>583</v>
      </c>
      <c r="E70" t="s">
        <v>515</v>
      </c>
      <c r="F70" t="s">
        <v>516</v>
      </c>
      <c r="G70" t="str">
        <f>"27.5"</f>
        <v>27.5</v>
      </c>
      <c r="H70" t="str">
        <f>"32"</f>
        <v>32</v>
      </c>
      <c r="I70" t="str">
        <f>"31"</f>
        <v>31</v>
      </c>
      <c r="J70" t="str">
        <f>"35.27"</f>
        <v>35.27</v>
      </c>
      <c r="K70" t="s">
        <v>863</v>
      </c>
      <c r="L70" t="s">
        <v>1875</v>
      </c>
      <c r="M70" t="s">
        <v>1476</v>
      </c>
      <c r="N70" t="s">
        <v>416</v>
      </c>
      <c r="O70" t="s">
        <v>1876</v>
      </c>
      <c r="P70" t="s">
        <v>372</v>
      </c>
      <c r="T70" t="s">
        <v>373</v>
      </c>
      <c r="U70" t="s">
        <v>373</v>
      </c>
      <c r="V70" t="s">
        <v>1877</v>
      </c>
      <c r="W70" t="s">
        <v>1878</v>
      </c>
      <c r="X70" t="s">
        <v>1879</v>
      </c>
      <c r="Y70" t="s">
        <v>1880</v>
      </c>
      <c r="Z70" t="s">
        <v>1881</v>
      </c>
      <c r="AA70" t="s">
        <v>1882</v>
      </c>
      <c r="AB70" t="s">
        <v>1883</v>
      </c>
      <c r="AC70" t="s">
        <v>1884</v>
      </c>
      <c r="AD70" t="s">
        <v>1885</v>
      </c>
      <c r="AE70" t="s">
        <v>1886</v>
      </c>
      <c r="AF70" t="s">
        <v>1887</v>
      </c>
      <c r="AG70" t="s">
        <v>1888</v>
      </c>
      <c r="AH70" t="s">
        <v>1889</v>
      </c>
      <c r="AI70" t="s">
        <v>1890</v>
      </c>
      <c r="AJ70" t="s">
        <v>1891</v>
      </c>
      <c r="BA70" t="str">
        <f>"2299"</f>
        <v>2299</v>
      </c>
      <c r="BB70" t="str">
        <f>"970"</f>
        <v>970</v>
      </c>
      <c r="BC70" t="s">
        <v>388</v>
      </c>
      <c r="BD70" t="str">
        <f t="shared" si="3"/>
        <v>1</v>
      </c>
      <c r="BE70" t="s">
        <v>389</v>
      </c>
      <c r="BF70" t="str">
        <f>"34.65"</f>
        <v>34.65</v>
      </c>
      <c r="BG70" t="str">
        <f>"30.31"</f>
        <v>30.31</v>
      </c>
      <c r="BH70" t="str">
        <f>"27.56"</f>
        <v>27.56</v>
      </c>
      <c r="BI70" t="str">
        <f>"53.13"</f>
        <v>53.13</v>
      </c>
      <c r="BY70" t="str">
        <f>"16.74"</f>
        <v>16.74</v>
      </c>
      <c r="BZ70" t="str">
        <f>"0.474"</f>
        <v>0.474</v>
      </c>
      <c r="CA70" t="s">
        <v>390</v>
      </c>
      <c r="CH70" t="s">
        <v>796</v>
      </c>
      <c r="CI70" t="s">
        <v>797</v>
      </c>
      <c r="CJ70" t="s">
        <v>1553</v>
      </c>
      <c r="CK70" t="s">
        <v>1151</v>
      </c>
      <c r="CL70" t="s">
        <v>602</v>
      </c>
      <c r="CM70" t="s">
        <v>1553</v>
      </c>
      <c r="CN70">
        <v>0</v>
      </c>
      <c r="CO70">
        <v>1</v>
      </c>
      <c r="CP70" t="s">
        <v>437</v>
      </c>
      <c r="CQ70" t="s">
        <v>438</v>
      </c>
      <c r="CU70" t="s">
        <v>604</v>
      </c>
      <c r="CX70" t="s">
        <v>667</v>
      </c>
      <c r="CY70" t="s">
        <v>400</v>
      </c>
      <c r="CZ70">
        <v>0</v>
      </c>
      <c r="DD70">
        <v>0</v>
      </c>
      <c r="DE70" t="s">
        <v>1892</v>
      </c>
      <c r="DF70" t="s">
        <v>406</v>
      </c>
      <c r="DG70" t="s">
        <v>407</v>
      </c>
      <c r="DH70">
        <v>1</v>
      </c>
      <c r="DI70">
        <v>1</v>
      </c>
      <c r="DK70" t="s">
        <v>1893</v>
      </c>
      <c r="DL70">
        <v>0</v>
      </c>
      <c r="DM70" t="s">
        <v>538</v>
      </c>
      <c r="DN70" t="s">
        <v>1510</v>
      </c>
      <c r="DO70" t="s">
        <v>1852</v>
      </c>
      <c r="DP70" t="s">
        <v>578</v>
      </c>
      <c r="DT70" t="s">
        <v>1094</v>
      </c>
      <c r="DU70" t="s">
        <v>797</v>
      </c>
      <c r="DV70" t="s">
        <v>1039</v>
      </c>
      <c r="DW70" t="s">
        <v>638</v>
      </c>
      <c r="DX70" t="s">
        <v>448</v>
      </c>
      <c r="DY70" t="s">
        <v>432</v>
      </c>
      <c r="DZ70" t="s">
        <v>796</v>
      </c>
      <c r="EA70" t="s">
        <v>446</v>
      </c>
      <c r="ED70" t="s">
        <v>406</v>
      </c>
      <c r="EE70" t="s">
        <v>407</v>
      </c>
      <c r="EF70" t="s">
        <v>614</v>
      </c>
      <c r="EP70" t="s">
        <v>1553</v>
      </c>
      <c r="EQ70" t="s">
        <v>1553</v>
      </c>
      <c r="ER70">
        <v>0</v>
      </c>
      <c r="ES70">
        <v>0</v>
      </c>
      <c r="EU70">
        <v>0</v>
      </c>
    </row>
    <row r="71" spans="1:241" x14ac:dyDescent="0.25">
      <c r="A71" t="s">
        <v>1894</v>
      </c>
      <c r="B71" t="str">
        <f>"801542698652"</f>
        <v>801542698652</v>
      </c>
      <c r="C71" t="s">
        <v>1895</v>
      </c>
      <c r="D71" t="s">
        <v>583</v>
      </c>
      <c r="E71" t="s">
        <v>515</v>
      </c>
      <c r="F71" t="s">
        <v>516</v>
      </c>
      <c r="G71" t="str">
        <f>"27.5"</f>
        <v>27.5</v>
      </c>
      <c r="H71" t="str">
        <f>"32"</f>
        <v>32</v>
      </c>
      <c r="I71" t="str">
        <f>"31"</f>
        <v>31</v>
      </c>
      <c r="J71" t="str">
        <f>"35.27"</f>
        <v>35.27</v>
      </c>
      <c r="K71" t="s">
        <v>1896</v>
      </c>
      <c r="L71" t="s">
        <v>1875</v>
      </c>
      <c r="M71" t="s">
        <v>1476</v>
      </c>
      <c r="N71" t="s">
        <v>808</v>
      </c>
      <c r="O71" t="s">
        <v>809</v>
      </c>
      <c r="P71" t="s">
        <v>810</v>
      </c>
      <c r="Q71" t="s">
        <v>1876</v>
      </c>
      <c r="R71" t="s">
        <v>372</v>
      </c>
      <c r="T71" t="s">
        <v>402</v>
      </c>
      <c r="U71" t="s">
        <v>402</v>
      </c>
      <c r="V71" t="s">
        <v>1897</v>
      </c>
      <c r="W71" t="s">
        <v>1898</v>
      </c>
      <c r="X71" t="s">
        <v>1899</v>
      </c>
      <c r="Y71" t="s">
        <v>1900</v>
      </c>
      <c r="Z71" t="s">
        <v>1901</v>
      </c>
      <c r="AA71" t="s">
        <v>1902</v>
      </c>
      <c r="AB71" t="s">
        <v>1903</v>
      </c>
      <c r="AC71" t="s">
        <v>1904</v>
      </c>
      <c r="AD71" t="s">
        <v>1905</v>
      </c>
      <c r="AE71" t="s">
        <v>1906</v>
      </c>
      <c r="AF71" t="s">
        <v>1907</v>
      </c>
      <c r="AG71" t="s">
        <v>1908</v>
      </c>
      <c r="AH71" t="s">
        <v>1909</v>
      </c>
      <c r="AI71" t="s">
        <v>1910</v>
      </c>
      <c r="AJ71" t="s">
        <v>1911</v>
      </c>
      <c r="AK71" t="s">
        <v>1912</v>
      </c>
      <c r="BA71" t="str">
        <f>"1449"</f>
        <v>1449</v>
      </c>
      <c r="BB71" t="str">
        <f>"610"</f>
        <v>610</v>
      </c>
      <c r="BC71" t="s">
        <v>388</v>
      </c>
      <c r="BD71" t="str">
        <f t="shared" si="3"/>
        <v>1</v>
      </c>
      <c r="BE71" t="s">
        <v>389</v>
      </c>
      <c r="BF71" t="str">
        <f>"34.65"</f>
        <v>34.65</v>
      </c>
      <c r="BG71" t="str">
        <f>"30.31"</f>
        <v>30.31</v>
      </c>
      <c r="BH71" t="str">
        <f>"27.56"</f>
        <v>27.56</v>
      </c>
      <c r="BI71" t="str">
        <f>"53.13"</f>
        <v>53.13</v>
      </c>
      <c r="BY71" t="str">
        <f>"16.74"</f>
        <v>16.74</v>
      </c>
      <c r="BZ71" t="str">
        <f>"0.474"</f>
        <v>0.474</v>
      </c>
      <c r="CA71" t="s">
        <v>431</v>
      </c>
      <c r="CH71" t="s">
        <v>796</v>
      </c>
      <c r="CI71" t="s">
        <v>797</v>
      </c>
      <c r="CJ71" t="s">
        <v>1553</v>
      </c>
      <c r="CK71" t="s">
        <v>1151</v>
      </c>
      <c r="CL71" t="s">
        <v>602</v>
      </c>
      <c r="CM71" t="s">
        <v>1553</v>
      </c>
      <c r="CN71">
        <v>0</v>
      </c>
      <c r="CO71">
        <v>1</v>
      </c>
      <c r="CP71" t="s">
        <v>437</v>
      </c>
      <c r="CQ71" t="s">
        <v>631</v>
      </c>
      <c r="CU71" t="s">
        <v>604</v>
      </c>
      <c r="CX71" t="s">
        <v>667</v>
      </c>
      <c r="CY71" t="s">
        <v>400</v>
      </c>
      <c r="CZ71">
        <v>0</v>
      </c>
      <c r="DD71">
        <v>25000</v>
      </c>
      <c r="DE71" t="s">
        <v>1892</v>
      </c>
      <c r="DF71" t="s">
        <v>406</v>
      </c>
      <c r="DG71" t="s">
        <v>407</v>
      </c>
      <c r="DH71">
        <v>1</v>
      </c>
      <c r="DI71">
        <v>1</v>
      </c>
      <c r="DK71" t="s">
        <v>1893</v>
      </c>
      <c r="DL71">
        <v>0</v>
      </c>
      <c r="DM71" t="s">
        <v>538</v>
      </c>
      <c r="DN71" t="s">
        <v>1510</v>
      </c>
      <c r="DO71" t="s">
        <v>1852</v>
      </c>
      <c r="DP71" t="s">
        <v>578</v>
      </c>
      <c r="DT71" t="s">
        <v>1094</v>
      </c>
      <c r="DU71" t="s">
        <v>797</v>
      </c>
      <c r="DV71" t="s">
        <v>1039</v>
      </c>
      <c r="DW71" t="s">
        <v>638</v>
      </c>
      <c r="DX71" t="s">
        <v>448</v>
      </c>
      <c r="DY71" t="s">
        <v>432</v>
      </c>
      <c r="DZ71" t="s">
        <v>796</v>
      </c>
      <c r="EA71" t="s">
        <v>446</v>
      </c>
      <c r="ED71" t="s">
        <v>406</v>
      </c>
      <c r="EE71" t="s">
        <v>407</v>
      </c>
      <c r="EF71" t="s">
        <v>614</v>
      </c>
      <c r="EP71" t="s">
        <v>1553</v>
      </c>
      <c r="EQ71" t="s">
        <v>1553</v>
      </c>
      <c r="ER71">
        <v>0</v>
      </c>
      <c r="ES71">
        <v>0</v>
      </c>
      <c r="EU71">
        <v>0</v>
      </c>
    </row>
    <row r="72" spans="1:241" x14ac:dyDescent="0.25">
      <c r="A72" t="s">
        <v>1913</v>
      </c>
      <c r="B72" t="str">
        <f>"801542698621"</f>
        <v>801542698621</v>
      </c>
      <c r="C72" t="s">
        <v>1914</v>
      </c>
      <c r="D72" t="s">
        <v>583</v>
      </c>
      <c r="E72" t="s">
        <v>515</v>
      </c>
      <c r="F72" t="s">
        <v>516</v>
      </c>
      <c r="G72" t="str">
        <f>"27.5"</f>
        <v>27.5</v>
      </c>
      <c r="H72" t="str">
        <f>"32"</f>
        <v>32</v>
      </c>
      <c r="I72" t="str">
        <f>"31"</f>
        <v>31</v>
      </c>
      <c r="J72" t="str">
        <f>"35.27"</f>
        <v>35.27</v>
      </c>
      <c r="K72" t="s">
        <v>1915</v>
      </c>
      <c r="L72" t="s">
        <v>1875</v>
      </c>
      <c r="M72" t="s">
        <v>1476</v>
      </c>
      <c r="N72" t="s">
        <v>1916</v>
      </c>
      <c r="O72" t="s">
        <v>1917</v>
      </c>
      <c r="P72" t="s">
        <v>1876</v>
      </c>
      <c r="Q72" t="s">
        <v>372</v>
      </c>
      <c r="T72" t="s">
        <v>402</v>
      </c>
      <c r="U72" t="s">
        <v>402</v>
      </c>
      <c r="V72" t="s">
        <v>1918</v>
      </c>
      <c r="W72" t="s">
        <v>1919</v>
      </c>
      <c r="X72" t="s">
        <v>1920</v>
      </c>
      <c r="Y72" t="s">
        <v>1921</v>
      </c>
      <c r="Z72" t="s">
        <v>1922</v>
      </c>
      <c r="AA72" t="s">
        <v>1923</v>
      </c>
      <c r="AB72" t="s">
        <v>1924</v>
      </c>
      <c r="AC72" t="s">
        <v>1925</v>
      </c>
      <c r="AD72" t="s">
        <v>1926</v>
      </c>
      <c r="AE72" t="s">
        <v>1927</v>
      </c>
      <c r="AF72" t="s">
        <v>1928</v>
      </c>
      <c r="AG72" t="s">
        <v>1929</v>
      </c>
      <c r="BA72" t="str">
        <f>"1449"</f>
        <v>1449</v>
      </c>
      <c r="BB72" t="str">
        <f>"610"</f>
        <v>610</v>
      </c>
      <c r="BC72" t="s">
        <v>388</v>
      </c>
      <c r="BD72" t="str">
        <f t="shared" si="3"/>
        <v>1</v>
      </c>
      <c r="BE72" t="s">
        <v>389</v>
      </c>
      <c r="BF72" t="str">
        <f>"34.65"</f>
        <v>34.65</v>
      </c>
      <c r="BG72" t="str">
        <f>"30.31"</f>
        <v>30.31</v>
      </c>
      <c r="BH72" t="str">
        <f>"27.56"</f>
        <v>27.56</v>
      </c>
      <c r="BI72" t="str">
        <f>"53.13"</f>
        <v>53.13</v>
      </c>
      <c r="BY72" t="str">
        <f>"16.74"</f>
        <v>16.74</v>
      </c>
      <c r="BZ72" t="str">
        <f>"0.474"</f>
        <v>0.474</v>
      </c>
      <c r="CA72" t="s">
        <v>390</v>
      </c>
      <c r="CH72" t="s">
        <v>796</v>
      </c>
      <c r="CI72" t="s">
        <v>797</v>
      </c>
      <c r="CJ72" t="s">
        <v>1553</v>
      </c>
      <c r="CK72" t="s">
        <v>1151</v>
      </c>
      <c r="CL72" t="s">
        <v>602</v>
      </c>
      <c r="CM72" t="s">
        <v>1553</v>
      </c>
      <c r="CN72">
        <v>0</v>
      </c>
      <c r="CO72">
        <v>1</v>
      </c>
      <c r="CP72" t="s">
        <v>437</v>
      </c>
      <c r="CQ72" t="s">
        <v>631</v>
      </c>
      <c r="CU72" t="s">
        <v>604</v>
      </c>
      <c r="CX72" t="s">
        <v>667</v>
      </c>
      <c r="CY72" t="s">
        <v>400</v>
      </c>
      <c r="CZ72">
        <v>0</v>
      </c>
      <c r="DD72">
        <v>25000</v>
      </c>
      <c r="DE72" t="s">
        <v>1892</v>
      </c>
      <c r="DF72" t="s">
        <v>406</v>
      </c>
      <c r="DG72" t="s">
        <v>407</v>
      </c>
      <c r="DH72">
        <v>1</v>
      </c>
      <c r="DI72">
        <v>1</v>
      </c>
      <c r="DK72" t="s">
        <v>1893</v>
      </c>
      <c r="DL72">
        <v>0</v>
      </c>
      <c r="DM72" t="s">
        <v>538</v>
      </c>
      <c r="DN72" t="s">
        <v>1510</v>
      </c>
      <c r="DO72" t="s">
        <v>1852</v>
      </c>
      <c r="DP72" t="s">
        <v>578</v>
      </c>
      <c r="DT72" t="s">
        <v>1094</v>
      </c>
      <c r="DU72" t="s">
        <v>797</v>
      </c>
      <c r="DV72" t="s">
        <v>1039</v>
      </c>
      <c r="DW72" t="s">
        <v>638</v>
      </c>
      <c r="DX72" t="s">
        <v>448</v>
      </c>
      <c r="DY72" t="s">
        <v>432</v>
      </c>
      <c r="DZ72" t="s">
        <v>796</v>
      </c>
      <c r="EA72" t="s">
        <v>446</v>
      </c>
      <c r="ED72" t="s">
        <v>406</v>
      </c>
      <c r="EE72" t="s">
        <v>407</v>
      </c>
      <c r="EF72" t="s">
        <v>614</v>
      </c>
      <c r="EP72" t="s">
        <v>1553</v>
      </c>
      <c r="EQ72" t="s">
        <v>1553</v>
      </c>
      <c r="ER72">
        <v>0</v>
      </c>
      <c r="ES72">
        <v>0</v>
      </c>
      <c r="EU72">
        <v>0</v>
      </c>
    </row>
    <row r="73" spans="1:241" x14ac:dyDescent="0.25">
      <c r="A73" t="s">
        <v>1930</v>
      </c>
      <c r="B73" t="str">
        <f>"801542698638"</f>
        <v>801542698638</v>
      </c>
      <c r="C73" t="s">
        <v>1931</v>
      </c>
      <c r="D73" t="s">
        <v>583</v>
      </c>
      <c r="E73" t="s">
        <v>515</v>
      </c>
      <c r="F73" t="s">
        <v>516</v>
      </c>
      <c r="G73" t="str">
        <f>"27.5"</f>
        <v>27.5</v>
      </c>
      <c r="H73" t="str">
        <f>"32"</f>
        <v>32</v>
      </c>
      <c r="I73" t="str">
        <f>"31"</f>
        <v>31</v>
      </c>
      <c r="J73" t="str">
        <f>"35.27"</f>
        <v>35.27</v>
      </c>
      <c r="K73" t="s">
        <v>584</v>
      </c>
      <c r="L73" t="s">
        <v>1875</v>
      </c>
      <c r="M73" t="s">
        <v>1932</v>
      </c>
      <c r="N73" t="s">
        <v>416</v>
      </c>
      <c r="O73" t="s">
        <v>1876</v>
      </c>
      <c r="P73" t="s">
        <v>519</v>
      </c>
      <c r="T73" t="s">
        <v>373</v>
      </c>
      <c r="U73" t="s">
        <v>373</v>
      </c>
      <c r="V73" t="s">
        <v>1933</v>
      </c>
      <c r="W73" t="s">
        <v>1934</v>
      </c>
      <c r="X73" t="s">
        <v>1935</v>
      </c>
      <c r="Y73" t="s">
        <v>1936</v>
      </c>
      <c r="Z73" t="s">
        <v>1937</v>
      </c>
      <c r="AA73" t="s">
        <v>1938</v>
      </c>
      <c r="AB73" t="s">
        <v>1939</v>
      </c>
      <c r="AC73" t="s">
        <v>1940</v>
      </c>
      <c r="AD73" t="s">
        <v>1941</v>
      </c>
      <c r="AE73" t="s">
        <v>1942</v>
      </c>
      <c r="AF73" t="s">
        <v>1943</v>
      </c>
      <c r="AG73" t="s">
        <v>1944</v>
      </c>
      <c r="BA73" t="str">
        <f>"2299"</f>
        <v>2299</v>
      </c>
      <c r="BB73" t="str">
        <f>"970"</f>
        <v>970</v>
      </c>
      <c r="BC73" t="s">
        <v>388</v>
      </c>
      <c r="BD73" t="str">
        <f t="shared" si="3"/>
        <v>1</v>
      </c>
      <c r="BE73" t="s">
        <v>389</v>
      </c>
      <c r="BF73" t="str">
        <f>"34.65"</f>
        <v>34.65</v>
      </c>
      <c r="BG73" t="str">
        <f>"30.31"</f>
        <v>30.31</v>
      </c>
      <c r="BH73" t="str">
        <f>"27.56"</f>
        <v>27.56</v>
      </c>
      <c r="BI73" t="str">
        <f>"53.13"</f>
        <v>53.13</v>
      </c>
      <c r="BY73" t="str">
        <f>"16.74"</f>
        <v>16.74</v>
      </c>
      <c r="BZ73" t="str">
        <f>"0.474"</f>
        <v>0.474</v>
      </c>
      <c r="CA73" t="s">
        <v>495</v>
      </c>
      <c r="CH73" t="s">
        <v>796</v>
      </c>
      <c r="CI73" t="s">
        <v>797</v>
      </c>
      <c r="CJ73" t="s">
        <v>1553</v>
      </c>
      <c r="CK73" t="s">
        <v>1151</v>
      </c>
      <c r="CL73" t="s">
        <v>602</v>
      </c>
      <c r="CM73" t="s">
        <v>1553</v>
      </c>
      <c r="CN73">
        <v>0</v>
      </c>
      <c r="CO73">
        <v>1</v>
      </c>
      <c r="CP73" t="s">
        <v>437</v>
      </c>
      <c r="CQ73" t="s">
        <v>438</v>
      </c>
      <c r="CU73" t="s">
        <v>604</v>
      </c>
      <c r="CX73" t="s">
        <v>667</v>
      </c>
      <c r="CY73" t="s">
        <v>400</v>
      </c>
      <c r="CZ73">
        <v>0</v>
      </c>
      <c r="DD73">
        <v>0</v>
      </c>
      <c r="DE73" t="s">
        <v>1892</v>
      </c>
      <c r="DF73" t="s">
        <v>406</v>
      </c>
      <c r="DG73" t="s">
        <v>407</v>
      </c>
      <c r="DH73">
        <v>1</v>
      </c>
      <c r="DI73">
        <v>1</v>
      </c>
      <c r="DK73" t="s">
        <v>1893</v>
      </c>
      <c r="DL73">
        <v>0</v>
      </c>
      <c r="DM73" t="s">
        <v>538</v>
      </c>
      <c r="DN73" t="s">
        <v>1510</v>
      </c>
      <c r="DO73" t="s">
        <v>1852</v>
      </c>
      <c r="DP73" t="s">
        <v>578</v>
      </c>
      <c r="DT73" t="s">
        <v>1094</v>
      </c>
      <c r="DU73" t="s">
        <v>797</v>
      </c>
      <c r="DV73" t="s">
        <v>1039</v>
      </c>
      <c r="DW73" t="s">
        <v>638</v>
      </c>
      <c r="DX73" t="s">
        <v>448</v>
      </c>
      <c r="DY73" t="s">
        <v>432</v>
      </c>
      <c r="DZ73" t="s">
        <v>796</v>
      </c>
      <c r="EA73" t="s">
        <v>446</v>
      </c>
      <c r="ED73" t="s">
        <v>406</v>
      </c>
      <c r="EE73" t="s">
        <v>407</v>
      </c>
      <c r="EF73" t="s">
        <v>614</v>
      </c>
      <c r="EP73" t="s">
        <v>1553</v>
      </c>
      <c r="EQ73" t="s">
        <v>1553</v>
      </c>
      <c r="ER73">
        <v>0</v>
      </c>
      <c r="ES73">
        <v>0</v>
      </c>
      <c r="EU73">
        <v>0</v>
      </c>
    </row>
    <row r="74" spans="1:241" x14ac:dyDescent="0.25">
      <c r="A74" t="s">
        <v>1945</v>
      </c>
      <c r="B74" t="str">
        <f>"801542074463"</f>
        <v>801542074463</v>
      </c>
      <c r="C74" t="s">
        <v>1946</v>
      </c>
      <c r="D74" t="s">
        <v>583</v>
      </c>
      <c r="E74" t="s">
        <v>515</v>
      </c>
      <c r="F74" t="s">
        <v>516</v>
      </c>
      <c r="G74" t="str">
        <f>"27.5"</f>
        <v>27.5</v>
      </c>
      <c r="H74" t="str">
        <f>"32"</f>
        <v>32</v>
      </c>
      <c r="I74" t="str">
        <f>"31"</f>
        <v>31</v>
      </c>
      <c r="J74" t="str">
        <f>"35.27"</f>
        <v>35.27</v>
      </c>
      <c r="K74" t="s">
        <v>1947</v>
      </c>
      <c r="L74" t="s">
        <v>1875</v>
      </c>
      <c r="M74" t="s">
        <v>1948</v>
      </c>
      <c r="N74" t="s">
        <v>1949</v>
      </c>
      <c r="O74" t="s">
        <v>1950</v>
      </c>
      <c r="P74" t="s">
        <v>1535</v>
      </c>
      <c r="Q74" t="s">
        <v>1876</v>
      </c>
      <c r="R74" t="s">
        <v>519</v>
      </c>
      <c r="T74" t="s">
        <v>373</v>
      </c>
      <c r="U74" t="s">
        <v>402</v>
      </c>
      <c r="V74" t="s">
        <v>1951</v>
      </c>
      <c r="W74" t="s">
        <v>1952</v>
      </c>
      <c r="X74" t="s">
        <v>1953</v>
      </c>
      <c r="Y74" t="s">
        <v>1954</v>
      </c>
      <c r="Z74" t="s">
        <v>1955</v>
      </c>
      <c r="AA74" t="s">
        <v>1956</v>
      </c>
      <c r="AB74" t="s">
        <v>1957</v>
      </c>
      <c r="AC74" t="s">
        <v>1958</v>
      </c>
      <c r="AD74" t="s">
        <v>1959</v>
      </c>
      <c r="AE74" t="s">
        <v>1960</v>
      </c>
      <c r="AF74" t="s">
        <v>1961</v>
      </c>
      <c r="AG74" t="s">
        <v>1962</v>
      </c>
      <c r="AH74" t="s">
        <v>1963</v>
      </c>
      <c r="AI74" t="s">
        <v>1964</v>
      </c>
      <c r="BA74" t="str">
        <f>"1449"</f>
        <v>1449</v>
      </c>
      <c r="BB74" t="str">
        <f>"610"</f>
        <v>610</v>
      </c>
      <c r="BC74" t="s">
        <v>388</v>
      </c>
      <c r="BD74" t="str">
        <f t="shared" si="3"/>
        <v>1</v>
      </c>
      <c r="BE74" t="s">
        <v>389</v>
      </c>
      <c r="BF74" t="str">
        <f>"34.65"</f>
        <v>34.65</v>
      </c>
      <c r="BG74" t="str">
        <f>"30.31"</f>
        <v>30.31</v>
      </c>
      <c r="BH74" t="str">
        <f>"27.56"</f>
        <v>27.56</v>
      </c>
      <c r="BI74" t="str">
        <f>"53.13"</f>
        <v>53.13</v>
      </c>
      <c r="BY74" t="str">
        <f>"16.74"</f>
        <v>16.74</v>
      </c>
      <c r="BZ74" t="str">
        <f>"0.474"</f>
        <v>0.474</v>
      </c>
      <c r="CA74" t="s">
        <v>390</v>
      </c>
      <c r="CH74" t="s">
        <v>796</v>
      </c>
      <c r="CI74" t="s">
        <v>797</v>
      </c>
      <c r="CJ74" t="s">
        <v>1553</v>
      </c>
      <c r="CK74" t="s">
        <v>1151</v>
      </c>
      <c r="CL74" t="s">
        <v>602</v>
      </c>
      <c r="CM74" t="s">
        <v>1553</v>
      </c>
      <c r="CN74">
        <v>0</v>
      </c>
      <c r="CO74">
        <v>1</v>
      </c>
      <c r="CP74" t="s">
        <v>437</v>
      </c>
      <c r="CQ74" t="s">
        <v>631</v>
      </c>
      <c r="CU74" t="s">
        <v>604</v>
      </c>
      <c r="CX74" t="s">
        <v>667</v>
      </c>
      <c r="CY74" t="s">
        <v>400</v>
      </c>
      <c r="CZ74">
        <v>0</v>
      </c>
      <c r="DD74">
        <v>25000</v>
      </c>
      <c r="DE74" t="s">
        <v>1892</v>
      </c>
      <c r="DF74" t="s">
        <v>406</v>
      </c>
      <c r="DG74" t="s">
        <v>407</v>
      </c>
      <c r="DH74">
        <v>1</v>
      </c>
      <c r="DI74">
        <v>1</v>
      </c>
      <c r="DK74" t="s">
        <v>1893</v>
      </c>
      <c r="DL74">
        <v>0</v>
      </c>
      <c r="DM74" t="s">
        <v>538</v>
      </c>
      <c r="DN74" t="s">
        <v>1510</v>
      </c>
      <c r="DO74" t="s">
        <v>1852</v>
      </c>
      <c r="DP74" t="s">
        <v>578</v>
      </c>
      <c r="DT74" t="s">
        <v>1094</v>
      </c>
      <c r="DU74" t="s">
        <v>797</v>
      </c>
      <c r="DV74" t="s">
        <v>1039</v>
      </c>
      <c r="DW74" t="s">
        <v>638</v>
      </c>
      <c r="DX74" t="s">
        <v>448</v>
      </c>
      <c r="DY74" t="s">
        <v>432</v>
      </c>
      <c r="DZ74" t="s">
        <v>796</v>
      </c>
      <c r="EA74" t="s">
        <v>446</v>
      </c>
      <c r="ED74" t="s">
        <v>406</v>
      </c>
      <c r="EE74" t="s">
        <v>407</v>
      </c>
      <c r="EF74" t="s">
        <v>614</v>
      </c>
      <c r="EP74" t="s">
        <v>1553</v>
      </c>
      <c r="EQ74" t="s">
        <v>1553</v>
      </c>
      <c r="ER74">
        <v>0</v>
      </c>
      <c r="ES74">
        <v>0</v>
      </c>
      <c r="EU74">
        <v>0</v>
      </c>
    </row>
    <row r="75" spans="1:241" x14ac:dyDescent="0.25">
      <c r="A75" t="s">
        <v>1965</v>
      </c>
      <c r="B75" t="str">
        <f>"801542718497"</f>
        <v>801542718497</v>
      </c>
      <c r="C75" t="s">
        <v>1966</v>
      </c>
      <c r="D75" t="s">
        <v>1967</v>
      </c>
      <c r="E75" t="s">
        <v>647</v>
      </c>
      <c r="F75" t="s">
        <v>648</v>
      </c>
      <c r="G75" t="str">
        <f>"42"</f>
        <v>42</v>
      </c>
      <c r="H75" t="str">
        <f>"42"</f>
        <v>42</v>
      </c>
      <c r="I75" t="str">
        <f>"30"</f>
        <v>30</v>
      </c>
      <c r="J75" t="str">
        <f>"116.84"</f>
        <v>116.84</v>
      </c>
      <c r="K75" t="s">
        <v>1968</v>
      </c>
      <c r="L75" t="s">
        <v>1969</v>
      </c>
      <c r="N75" t="s">
        <v>1970</v>
      </c>
      <c r="O75" t="s">
        <v>555</v>
      </c>
      <c r="P75" t="s">
        <v>372</v>
      </c>
      <c r="T75" t="s">
        <v>373</v>
      </c>
      <c r="U75" t="s">
        <v>373</v>
      </c>
      <c r="V75" t="s">
        <v>1971</v>
      </c>
      <c r="W75" t="s">
        <v>1972</v>
      </c>
      <c r="X75" t="s">
        <v>1973</v>
      </c>
      <c r="Y75" t="s">
        <v>1974</v>
      </c>
      <c r="Z75" t="s">
        <v>1975</v>
      </c>
      <c r="AA75" t="s">
        <v>1976</v>
      </c>
      <c r="AB75" t="s">
        <v>1977</v>
      </c>
      <c r="AC75" t="s">
        <v>1978</v>
      </c>
      <c r="AD75" t="s">
        <v>1979</v>
      </c>
      <c r="BA75" t="str">
        <f>"1699"</f>
        <v>1699</v>
      </c>
      <c r="BB75" t="str">
        <f>"715"</f>
        <v>715</v>
      </c>
      <c r="BC75" t="s">
        <v>388</v>
      </c>
      <c r="BD75" t="str">
        <f>"2"</f>
        <v>2</v>
      </c>
      <c r="BE75" t="s">
        <v>1089</v>
      </c>
      <c r="BF75" t="str">
        <f>"47.24"</f>
        <v>47.24</v>
      </c>
      <c r="BG75" t="str">
        <f>"3.15"</f>
        <v>3.15</v>
      </c>
      <c r="BH75" t="str">
        <f>"47.24"</f>
        <v>47.24</v>
      </c>
      <c r="BI75" t="str">
        <f>"72.75"</f>
        <v>72.75</v>
      </c>
      <c r="BJ75" t="s">
        <v>1090</v>
      </c>
      <c r="BK75" t="str">
        <f>"25.2"</f>
        <v>25.2</v>
      </c>
      <c r="BL75" t="str">
        <f>"25.2"</f>
        <v>25.2</v>
      </c>
      <c r="BM75" t="str">
        <f>"33.46"</f>
        <v>33.46</v>
      </c>
      <c r="BN75" t="str">
        <f>"70.55"</f>
        <v>70.55</v>
      </c>
      <c r="BY75" t="str">
        <f>"16.35"</f>
        <v>16.35</v>
      </c>
      <c r="BZ75" t="str">
        <f>"0.463"</f>
        <v>0.463</v>
      </c>
      <c r="CA75" t="s">
        <v>495</v>
      </c>
      <c r="CR75" t="s">
        <v>400</v>
      </c>
      <c r="CS75">
        <v>0</v>
      </c>
      <c r="CT75" t="s">
        <v>400</v>
      </c>
      <c r="CV75">
        <v>0</v>
      </c>
      <c r="CX75" t="s">
        <v>1980</v>
      </c>
      <c r="CY75" t="s">
        <v>400</v>
      </c>
      <c r="DA75">
        <v>0</v>
      </c>
      <c r="DB75">
        <v>0</v>
      </c>
      <c r="DC75">
        <v>0</v>
      </c>
      <c r="DI75">
        <v>4</v>
      </c>
      <c r="DJ75" t="s">
        <v>471</v>
      </c>
      <c r="DK75" t="s">
        <v>1981</v>
      </c>
      <c r="DM75" t="s">
        <v>473</v>
      </c>
      <c r="DX75" t="s">
        <v>539</v>
      </c>
      <c r="EI75" t="s">
        <v>1982</v>
      </c>
      <c r="EJ75" t="s">
        <v>539</v>
      </c>
      <c r="EK75" t="s">
        <v>1982</v>
      </c>
      <c r="EL75" t="s">
        <v>392</v>
      </c>
      <c r="EM75" t="s">
        <v>402</v>
      </c>
      <c r="EN75">
        <v>0</v>
      </c>
      <c r="EO75">
        <v>0</v>
      </c>
      <c r="EW75" t="s">
        <v>539</v>
      </c>
      <c r="EX75" t="s">
        <v>1983</v>
      </c>
      <c r="EY75" t="s">
        <v>1115</v>
      </c>
    </row>
    <row r="76" spans="1:241" x14ac:dyDescent="0.25">
      <c r="A76" t="s">
        <v>1984</v>
      </c>
      <c r="B76" t="str">
        <f>"801542154875"</f>
        <v>801542154875</v>
      </c>
      <c r="C76" t="s">
        <v>1985</v>
      </c>
      <c r="D76" t="s">
        <v>722</v>
      </c>
      <c r="E76" t="s">
        <v>367</v>
      </c>
      <c r="F76" t="s">
        <v>368</v>
      </c>
      <c r="G76" t="str">
        <f>"43.25"</f>
        <v>43.25</v>
      </c>
      <c r="H76" t="str">
        <f>"13.75"</f>
        <v>13.75</v>
      </c>
      <c r="I76" t="str">
        <f>"17"</f>
        <v>17</v>
      </c>
      <c r="J76" t="str">
        <f>"24.91"</f>
        <v>24.91</v>
      </c>
      <c r="K76" t="s">
        <v>1986</v>
      </c>
      <c r="L76" t="s">
        <v>1987</v>
      </c>
      <c r="N76" t="s">
        <v>416</v>
      </c>
      <c r="O76" t="s">
        <v>555</v>
      </c>
      <c r="T76" t="s">
        <v>373</v>
      </c>
      <c r="U76" t="s">
        <v>373</v>
      </c>
      <c r="V76" t="s">
        <v>1988</v>
      </c>
      <c r="W76" t="s">
        <v>1989</v>
      </c>
      <c r="X76" t="s">
        <v>1990</v>
      </c>
      <c r="Y76" t="s">
        <v>1991</v>
      </c>
      <c r="Z76" t="s">
        <v>1992</v>
      </c>
      <c r="AA76" t="s">
        <v>1993</v>
      </c>
      <c r="AB76" t="s">
        <v>1994</v>
      </c>
      <c r="AC76" t="s">
        <v>1995</v>
      </c>
      <c r="AD76" t="s">
        <v>1996</v>
      </c>
      <c r="AE76" t="s">
        <v>1997</v>
      </c>
      <c r="AF76" t="s">
        <v>1998</v>
      </c>
      <c r="BA76" t="str">
        <f>"949"</f>
        <v>949</v>
      </c>
      <c r="BB76" t="str">
        <f>"400"</f>
        <v>400</v>
      </c>
      <c r="BC76" t="s">
        <v>388</v>
      </c>
      <c r="BD76" t="str">
        <f>"1"</f>
        <v>1</v>
      </c>
      <c r="BE76" t="s">
        <v>389</v>
      </c>
      <c r="BF76" t="str">
        <f>"46.46"</f>
        <v>46.46</v>
      </c>
      <c r="BG76" t="str">
        <f>"16.93"</f>
        <v>16.93</v>
      </c>
      <c r="BH76" t="str">
        <f>"20.67"</f>
        <v>20.67</v>
      </c>
      <c r="BI76" t="str">
        <f>"36.82"</f>
        <v>36.82</v>
      </c>
      <c r="BY76" t="str">
        <f>"9.39"</f>
        <v>9.39</v>
      </c>
      <c r="BZ76" t="str">
        <f>"0.266"</f>
        <v>0.266</v>
      </c>
      <c r="CA76" t="s">
        <v>431</v>
      </c>
      <c r="CK76" t="s">
        <v>1999</v>
      </c>
      <c r="CL76" t="s">
        <v>535</v>
      </c>
      <c r="CM76" t="s">
        <v>2000</v>
      </c>
      <c r="CN76">
        <v>0</v>
      </c>
      <c r="CO76">
        <v>0</v>
      </c>
      <c r="CP76" t="s">
        <v>398</v>
      </c>
      <c r="CQ76" t="s">
        <v>438</v>
      </c>
      <c r="CR76" t="s">
        <v>400</v>
      </c>
      <c r="CS76">
        <v>0</v>
      </c>
      <c r="CT76" t="s">
        <v>400</v>
      </c>
      <c r="CU76" t="s">
        <v>749</v>
      </c>
      <c r="CV76">
        <v>0</v>
      </c>
      <c r="CX76" t="s">
        <v>1609</v>
      </c>
      <c r="CY76" t="s">
        <v>400</v>
      </c>
      <c r="CZ76">
        <v>0</v>
      </c>
      <c r="DA76">
        <v>0</v>
      </c>
      <c r="DB76">
        <v>0</v>
      </c>
      <c r="DC76">
        <v>0</v>
      </c>
      <c r="DD76">
        <v>0</v>
      </c>
      <c r="DE76" t="s">
        <v>2001</v>
      </c>
      <c r="DF76" t="s">
        <v>632</v>
      </c>
      <c r="DH76">
        <v>1</v>
      </c>
      <c r="DI76">
        <v>2</v>
      </c>
      <c r="DJ76" t="s">
        <v>408</v>
      </c>
      <c r="DK76" t="s">
        <v>2002</v>
      </c>
      <c r="DL76">
        <v>0</v>
      </c>
      <c r="DM76" t="s">
        <v>1736</v>
      </c>
      <c r="ET76" t="s">
        <v>2003</v>
      </c>
    </row>
    <row r="77" spans="1:241" x14ac:dyDescent="0.25">
      <c r="A77" t="s">
        <v>2004</v>
      </c>
      <c r="B77" t="str">
        <f>"801542735944"</f>
        <v>801542735944</v>
      </c>
      <c r="C77" t="s">
        <v>2005</v>
      </c>
      <c r="D77" t="s">
        <v>722</v>
      </c>
      <c r="E77" t="s">
        <v>2006</v>
      </c>
      <c r="F77" t="s">
        <v>2007</v>
      </c>
      <c r="G77" t="str">
        <f>"65"</f>
        <v>65</v>
      </c>
      <c r="H77" t="str">
        <f>"84.5"</f>
        <v>84.5</v>
      </c>
      <c r="I77" t="str">
        <f>"60.25"</f>
        <v>60.25</v>
      </c>
      <c r="J77" t="str">
        <f>"151.67"</f>
        <v>151.67</v>
      </c>
      <c r="K77" t="s">
        <v>2008</v>
      </c>
      <c r="L77" t="s">
        <v>2009</v>
      </c>
      <c r="M77" t="s">
        <v>2010</v>
      </c>
      <c r="N77" t="s">
        <v>2011</v>
      </c>
      <c r="O77" t="s">
        <v>2012</v>
      </c>
      <c r="P77" t="s">
        <v>555</v>
      </c>
      <c r="Q77" t="s">
        <v>2013</v>
      </c>
      <c r="T77" t="s">
        <v>402</v>
      </c>
      <c r="U77" t="s">
        <v>402</v>
      </c>
      <c r="V77" t="s">
        <v>2014</v>
      </c>
      <c r="W77" t="s">
        <v>2015</v>
      </c>
      <c r="X77" t="s">
        <v>2016</v>
      </c>
      <c r="Y77" t="s">
        <v>2017</v>
      </c>
      <c r="Z77" t="s">
        <v>2018</v>
      </c>
      <c r="AA77" t="s">
        <v>2019</v>
      </c>
      <c r="AB77" t="s">
        <v>2020</v>
      </c>
      <c r="AC77" t="s">
        <v>2021</v>
      </c>
      <c r="AD77" t="s">
        <v>2022</v>
      </c>
      <c r="AE77" t="s">
        <v>2023</v>
      </c>
      <c r="AF77" t="s">
        <v>2024</v>
      </c>
      <c r="BA77" t="str">
        <f>"2599"</f>
        <v>2599</v>
      </c>
      <c r="BB77" t="str">
        <f>"1095"</f>
        <v>1095</v>
      </c>
      <c r="BC77" t="s">
        <v>388</v>
      </c>
      <c r="BD77" t="str">
        <f>"2"</f>
        <v>2</v>
      </c>
      <c r="BE77" t="s">
        <v>2025</v>
      </c>
      <c r="BF77" t="str">
        <f>"66.34"</f>
        <v>66.34</v>
      </c>
      <c r="BG77" t="str">
        <f>"7.68"</f>
        <v>7.68</v>
      </c>
      <c r="BH77" t="str">
        <f>"66.34"</f>
        <v>66.34</v>
      </c>
      <c r="BI77" t="str">
        <f>"106.26"</f>
        <v>106.26</v>
      </c>
      <c r="BJ77" t="s">
        <v>2026</v>
      </c>
      <c r="BK77" t="str">
        <f>"87.01"</f>
        <v>87.01</v>
      </c>
      <c r="BL77" t="str">
        <f>"13.39"</f>
        <v>13.39</v>
      </c>
      <c r="BM77" t="str">
        <f>"9.06"</f>
        <v>9.06</v>
      </c>
      <c r="BN77" t="str">
        <f>"84.66"</f>
        <v>84.66</v>
      </c>
      <c r="BY77" t="str">
        <f>"25.67"</f>
        <v>25.67</v>
      </c>
      <c r="BZ77" t="str">
        <f>"0.727"</f>
        <v>0.727</v>
      </c>
      <c r="CA77" t="s">
        <v>495</v>
      </c>
      <c r="CQ77" t="s">
        <v>631</v>
      </c>
      <c r="CR77" t="s">
        <v>400</v>
      </c>
      <c r="CS77">
        <v>0</v>
      </c>
      <c r="CT77" t="s">
        <v>400</v>
      </c>
      <c r="CV77">
        <v>0</v>
      </c>
      <c r="CX77" t="s">
        <v>1609</v>
      </c>
      <c r="CY77" t="s">
        <v>400</v>
      </c>
      <c r="DA77">
        <v>0</v>
      </c>
      <c r="DB77">
        <v>0</v>
      </c>
      <c r="DC77">
        <v>0</v>
      </c>
      <c r="DD77">
        <v>25000</v>
      </c>
      <c r="DK77" t="s">
        <v>2027</v>
      </c>
      <c r="DM77" t="s">
        <v>2028</v>
      </c>
      <c r="EG77" t="s">
        <v>2029</v>
      </c>
      <c r="EN77">
        <v>0</v>
      </c>
      <c r="HN77" t="s">
        <v>1709</v>
      </c>
      <c r="HO77" t="s">
        <v>1709</v>
      </c>
      <c r="HP77" t="s">
        <v>1709</v>
      </c>
      <c r="HQ77" t="s">
        <v>391</v>
      </c>
      <c r="HR77" t="s">
        <v>2030</v>
      </c>
      <c r="HS77" t="s">
        <v>393</v>
      </c>
      <c r="HT77" t="s">
        <v>2031</v>
      </c>
      <c r="HU77" t="s">
        <v>1634</v>
      </c>
      <c r="HV77" t="s">
        <v>393</v>
      </c>
      <c r="HW77" t="s">
        <v>2032</v>
      </c>
      <c r="HX77" t="s">
        <v>1354</v>
      </c>
      <c r="HY77" t="s">
        <v>2033</v>
      </c>
      <c r="HZ77" t="s">
        <v>2034</v>
      </c>
      <c r="IA77" t="s">
        <v>2035</v>
      </c>
      <c r="IB77" t="s">
        <v>674</v>
      </c>
      <c r="IC77" t="s">
        <v>402</v>
      </c>
      <c r="ID77" t="s">
        <v>2036</v>
      </c>
      <c r="IE77" t="s">
        <v>2037</v>
      </c>
      <c r="IF77" t="s">
        <v>2038</v>
      </c>
      <c r="IG77" t="s">
        <v>2007</v>
      </c>
    </row>
    <row r="78" spans="1:241" x14ac:dyDescent="0.25">
      <c r="A78" t="s">
        <v>2039</v>
      </c>
      <c r="B78" t="str">
        <f>"801542735913"</f>
        <v>801542735913</v>
      </c>
      <c r="C78" t="s">
        <v>2005</v>
      </c>
      <c r="D78" t="s">
        <v>722</v>
      </c>
      <c r="E78" t="s">
        <v>2006</v>
      </c>
      <c r="F78" t="s">
        <v>2040</v>
      </c>
      <c r="G78" t="str">
        <f>"80.75"</f>
        <v>80.75</v>
      </c>
      <c r="H78" t="str">
        <f>"84.5"</f>
        <v>84.5</v>
      </c>
      <c r="I78" t="str">
        <f>"60.25"</f>
        <v>60.25</v>
      </c>
      <c r="J78" t="str">
        <f>"171.3"</f>
        <v>171.3</v>
      </c>
      <c r="K78" t="s">
        <v>2008</v>
      </c>
      <c r="L78" t="s">
        <v>2009</v>
      </c>
      <c r="M78" t="s">
        <v>2010</v>
      </c>
      <c r="N78" t="s">
        <v>2011</v>
      </c>
      <c r="O78" t="s">
        <v>2012</v>
      </c>
      <c r="P78" t="s">
        <v>555</v>
      </c>
      <c r="Q78" t="s">
        <v>2013</v>
      </c>
      <c r="T78" t="s">
        <v>402</v>
      </c>
      <c r="U78" t="s">
        <v>402</v>
      </c>
      <c r="V78" t="s">
        <v>2014</v>
      </c>
      <c r="W78" t="s">
        <v>2041</v>
      </c>
      <c r="X78" t="s">
        <v>2042</v>
      </c>
      <c r="Y78" t="s">
        <v>2043</v>
      </c>
      <c r="Z78" t="s">
        <v>2044</v>
      </c>
      <c r="AA78" t="s">
        <v>2019</v>
      </c>
      <c r="AB78" t="s">
        <v>2045</v>
      </c>
      <c r="AC78" t="s">
        <v>2046</v>
      </c>
      <c r="AD78" t="s">
        <v>2047</v>
      </c>
      <c r="AE78" t="s">
        <v>2048</v>
      </c>
      <c r="BA78" t="str">
        <f>"2899"</f>
        <v>2899</v>
      </c>
      <c r="BB78" t="str">
        <f>"1220"</f>
        <v>1220</v>
      </c>
      <c r="BC78" t="s">
        <v>388</v>
      </c>
      <c r="BD78" t="str">
        <f>"2"</f>
        <v>2</v>
      </c>
      <c r="BE78" t="s">
        <v>2025</v>
      </c>
      <c r="BF78" t="str">
        <f>"82.68"</f>
        <v>82.68</v>
      </c>
      <c r="BG78" t="str">
        <f>"7.09"</f>
        <v>7.09</v>
      </c>
      <c r="BH78" t="str">
        <f>"65.35"</f>
        <v>65.35</v>
      </c>
      <c r="BI78" t="str">
        <f>"115.96"</f>
        <v>115.96</v>
      </c>
      <c r="BJ78" t="s">
        <v>2026</v>
      </c>
      <c r="BK78" t="str">
        <f>"87.01"</f>
        <v>87.01</v>
      </c>
      <c r="BL78" t="str">
        <f>"13.78"</f>
        <v>13.78</v>
      </c>
      <c r="BM78" t="str">
        <f>"9.06"</f>
        <v>9.06</v>
      </c>
      <c r="BN78" t="str">
        <f>"91.05"</f>
        <v>91.05</v>
      </c>
      <c r="BY78" t="str">
        <f>"28.43"</f>
        <v>28.43</v>
      </c>
      <c r="BZ78" t="str">
        <f>"0.805"</f>
        <v>0.805</v>
      </c>
      <c r="CA78" t="s">
        <v>495</v>
      </c>
      <c r="CQ78" t="s">
        <v>631</v>
      </c>
      <c r="CR78" t="s">
        <v>400</v>
      </c>
      <c r="CS78">
        <v>0</v>
      </c>
      <c r="CT78" t="s">
        <v>400</v>
      </c>
      <c r="CV78">
        <v>0</v>
      </c>
      <c r="CX78" t="s">
        <v>1609</v>
      </c>
      <c r="CY78" t="s">
        <v>400</v>
      </c>
      <c r="DA78">
        <v>0</v>
      </c>
      <c r="DB78">
        <v>0</v>
      </c>
      <c r="DC78">
        <v>0</v>
      </c>
      <c r="DD78">
        <v>25000</v>
      </c>
      <c r="DK78" t="s">
        <v>2027</v>
      </c>
      <c r="DM78" t="s">
        <v>2028</v>
      </c>
      <c r="EG78" t="s">
        <v>2029</v>
      </c>
      <c r="EN78">
        <v>0</v>
      </c>
      <c r="HN78" t="s">
        <v>1709</v>
      </c>
      <c r="HO78" t="s">
        <v>1709</v>
      </c>
      <c r="HP78" t="s">
        <v>1709</v>
      </c>
      <c r="HQ78" t="s">
        <v>391</v>
      </c>
      <c r="HR78" t="s">
        <v>2030</v>
      </c>
      <c r="HS78" t="s">
        <v>2049</v>
      </c>
      <c r="HT78" t="s">
        <v>2031</v>
      </c>
      <c r="HU78" t="s">
        <v>1634</v>
      </c>
      <c r="HV78" t="s">
        <v>2049</v>
      </c>
      <c r="HW78" t="s">
        <v>2032</v>
      </c>
      <c r="HX78" t="s">
        <v>1354</v>
      </c>
      <c r="HY78" t="s">
        <v>2050</v>
      </c>
      <c r="HZ78" t="s">
        <v>2034</v>
      </c>
      <c r="IA78" t="s">
        <v>2035</v>
      </c>
      <c r="IB78" t="s">
        <v>674</v>
      </c>
      <c r="IC78" t="s">
        <v>402</v>
      </c>
      <c r="ID78" t="s">
        <v>2036</v>
      </c>
      <c r="IE78" t="s">
        <v>2037</v>
      </c>
      <c r="IF78" t="s">
        <v>2038</v>
      </c>
      <c r="IG78" t="s">
        <v>2040</v>
      </c>
    </row>
    <row r="79" spans="1:241" x14ac:dyDescent="0.25">
      <c r="A79" t="s">
        <v>2051</v>
      </c>
      <c r="B79" t="str">
        <f>"801542686765"</f>
        <v>801542686765</v>
      </c>
      <c r="C79" t="s">
        <v>2052</v>
      </c>
      <c r="D79" t="s">
        <v>722</v>
      </c>
      <c r="E79" t="s">
        <v>515</v>
      </c>
      <c r="F79" t="s">
        <v>516</v>
      </c>
      <c r="G79" t="str">
        <f>"28.25"</f>
        <v>28.25</v>
      </c>
      <c r="H79" t="str">
        <f>"35.5"</f>
        <v>35.5</v>
      </c>
      <c r="I79" t="str">
        <f>"28.5"</f>
        <v>28.5</v>
      </c>
      <c r="J79" t="str">
        <f>"37.17"</f>
        <v>37.17</v>
      </c>
      <c r="K79" t="s">
        <v>1986</v>
      </c>
      <c r="L79" t="s">
        <v>2053</v>
      </c>
      <c r="M79" t="s">
        <v>2054</v>
      </c>
      <c r="N79" t="s">
        <v>416</v>
      </c>
      <c r="O79" t="s">
        <v>372</v>
      </c>
      <c r="P79" t="s">
        <v>2055</v>
      </c>
      <c r="Q79" t="s">
        <v>2056</v>
      </c>
      <c r="T79" t="s">
        <v>373</v>
      </c>
      <c r="U79" t="s">
        <v>373</v>
      </c>
      <c r="V79" t="s">
        <v>2057</v>
      </c>
      <c r="W79" t="s">
        <v>2058</v>
      </c>
      <c r="X79" t="s">
        <v>2059</v>
      </c>
      <c r="Y79" t="s">
        <v>2060</v>
      </c>
      <c r="Z79" t="s">
        <v>2061</v>
      </c>
      <c r="AA79" t="s">
        <v>2062</v>
      </c>
      <c r="AB79" t="s">
        <v>2063</v>
      </c>
      <c r="AC79" t="s">
        <v>2064</v>
      </c>
      <c r="AD79" t="s">
        <v>2065</v>
      </c>
      <c r="AE79" t="s">
        <v>2066</v>
      </c>
      <c r="AF79" t="s">
        <v>2067</v>
      </c>
      <c r="AG79" t="s">
        <v>2068</v>
      </c>
      <c r="AH79" t="s">
        <v>2069</v>
      </c>
      <c r="AI79" t="s">
        <v>2070</v>
      </c>
      <c r="BA79" t="str">
        <f>"1749"</f>
        <v>1749</v>
      </c>
      <c r="BB79" t="str">
        <f>"735"</f>
        <v>735</v>
      </c>
      <c r="BC79" t="s">
        <v>388</v>
      </c>
      <c r="BD79" t="str">
        <f>"1"</f>
        <v>1</v>
      </c>
      <c r="BE79" t="s">
        <v>1662</v>
      </c>
      <c r="BF79" t="str">
        <f>"28.35"</f>
        <v>28.35</v>
      </c>
      <c r="BG79" t="str">
        <f>"36.22"</f>
        <v>36.22</v>
      </c>
      <c r="BH79" t="str">
        <f>"33.46"</f>
        <v>33.46</v>
      </c>
      <c r="BI79" t="str">
        <f>"55.51"</f>
        <v>55.51</v>
      </c>
      <c r="BY79" t="str">
        <f>"18.01"</f>
        <v>18.01</v>
      </c>
      <c r="BZ79" t="str">
        <f>"0.51"</f>
        <v>0.51</v>
      </c>
      <c r="CA79" t="s">
        <v>390</v>
      </c>
      <c r="CH79" t="s">
        <v>2071</v>
      </c>
      <c r="CI79" t="s">
        <v>2072</v>
      </c>
      <c r="CJ79" t="s">
        <v>750</v>
      </c>
      <c r="CK79" t="s">
        <v>1151</v>
      </c>
      <c r="CL79" t="s">
        <v>2073</v>
      </c>
      <c r="CM79" t="s">
        <v>2074</v>
      </c>
      <c r="CN79">
        <v>0</v>
      </c>
      <c r="CO79">
        <v>1</v>
      </c>
      <c r="CP79" t="s">
        <v>437</v>
      </c>
      <c r="CQ79" t="s">
        <v>438</v>
      </c>
      <c r="CU79" t="s">
        <v>2075</v>
      </c>
      <c r="CX79" t="s">
        <v>667</v>
      </c>
      <c r="CY79" t="s">
        <v>400</v>
      </c>
      <c r="CZ79">
        <v>0</v>
      </c>
      <c r="DD79">
        <v>0</v>
      </c>
      <c r="DE79" t="s">
        <v>2076</v>
      </c>
      <c r="DF79" t="s">
        <v>406</v>
      </c>
      <c r="DG79" t="s">
        <v>407</v>
      </c>
      <c r="DH79">
        <v>1</v>
      </c>
      <c r="DI79">
        <v>1</v>
      </c>
      <c r="DK79" t="s">
        <v>2077</v>
      </c>
      <c r="DL79">
        <v>0</v>
      </c>
      <c r="DM79" t="s">
        <v>538</v>
      </c>
      <c r="DN79" t="s">
        <v>2078</v>
      </c>
      <c r="DO79" t="s">
        <v>607</v>
      </c>
      <c r="DP79" t="s">
        <v>2079</v>
      </c>
      <c r="DT79" t="s">
        <v>2080</v>
      </c>
      <c r="DU79" t="s">
        <v>2081</v>
      </c>
      <c r="DV79" t="s">
        <v>2082</v>
      </c>
      <c r="DW79" t="s">
        <v>750</v>
      </c>
      <c r="DX79" t="s">
        <v>1159</v>
      </c>
      <c r="DY79" t="s">
        <v>2083</v>
      </c>
      <c r="DZ79" t="s">
        <v>1054</v>
      </c>
      <c r="EA79" t="s">
        <v>958</v>
      </c>
      <c r="ED79" t="s">
        <v>406</v>
      </c>
      <c r="EE79" t="s">
        <v>407</v>
      </c>
      <c r="EF79" t="s">
        <v>802</v>
      </c>
      <c r="EG79" t="s">
        <v>803</v>
      </c>
      <c r="ES79">
        <v>0</v>
      </c>
      <c r="ET79">
        <v>0</v>
      </c>
      <c r="EV79">
        <v>0</v>
      </c>
    </row>
    <row r="80" spans="1:241" x14ac:dyDescent="0.25">
      <c r="A80" t="s">
        <v>2084</v>
      </c>
      <c r="B80" t="str">
        <f>"801542686741"</f>
        <v>801542686741</v>
      </c>
      <c r="C80" t="s">
        <v>2085</v>
      </c>
      <c r="D80" t="s">
        <v>722</v>
      </c>
      <c r="E80" t="s">
        <v>515</v>
      </c>
      <c r="F80" t="s">
        <v>516</v>
      </c>
      <c r="G80" t="str">
        <f>"28.25"</f>
        <v>28.25</v>
      </c>
      <c r="H80" t="str">
        <f>"35.5"</f>
        <v>35.5</v>
      </c>
      <c r="I80" t="str">
        <f>"28.5"</f>
        <v>28.5</v>
      </c>
      <c r="J80" t="str">
        <f>"34.17"</f>
        <v>34.17</v>
      </c>
      <c r="K80" t="s">
        <v>2086</v>
      </c>
      <c r="L80" t="s">
        <v>2087</v>
      </c>
      <c r="M80" t="s">
        <v>2054</v>
      </c>
      <c r="N80" t="s">
        <v>2088</v>
      </c>
      <c r="O80" t="s">
        <v>2089</v>
      </c>
      <c r="P80" t="s">
        <v>372</v>
      </c>
      <c r="Q80" t="s">
        <v>2055</v>
      </c>
      <c r="R80" t="s">
        <v>2056</v>
      </c>
      <c r="T80" t="s">
        <v>373</v>
      </c>
      <c r="U80" t="s">
        <v>373</v>
      </c>
      <c r="V80" t="s">
        <v>2090</v>
      </c>
      <c r="W80" t="s">
        <v>2091</v>
      </c>
      <c r="X80" t="s">
        <v>2092</v>
      </c>
      <c r="Y80" t="s">
        <v>2093</v>
      </c>
      <c r="Z80" t="s">
        <v>2094</v>
      </c>
      <c r="AA80" t="s">
        <v>2095</v>
      </c>
      <c r="AB80" t="s">
        <v>2096</v>
      </c>
      <c r="AC80" t="s">
        <v>2097</v>
      </c>
      <c r="AD80" t="s">
        <v>2098</v>
      </c>
      <c r="AE80" t="s">
        <v>2099</v>
      </c>
      <c r="AF80" t="s">
        <v>2100</v>
      </c>
      <c r="AG80" t="s">
        <v>2101</v>
      </c>
      <c r="AH80" t="s">
        <v>2102</v>
      </c>
      <c r="AI80" t="s">
        <v>2103</v>
      </c>
      <c r="BA80" t="str">
        <f>"1099"</f>
        <v>1099</v>
      </c>
      <c r="BB80" t="str">
        <f>"465"</f>
        <v>465</v>
      </c>
      <c r="BC80" t="s">
        <v>388</v>
      </c>
      <c r="BD80" t="str">
        <f>"1"</f>
        <v>1</v>
      </c>
      <c r="BE80" t="s">
        <v>1662</v>
      </c>
      <c r="BF80" t="str">
        <f>"28.5"</f>
        <v>28.5</v>
      </c>
      <c r="BG80" t="str">
        <f>"35.5"</f>
        <v>35.5</v>
      </c>
      <c r="BH80" t="str">
        <f>"33"</f>
        <v>33</v>
      </c>
      <c r="BI80" t="str">
        <f>"59.8"</f>
        <v>59.8</v>
      </c>
      <c r="BY80" t="str">
        <f>"17.41"</f>
        <v>17.41</v>
      </c>
      <c r="BZ80" t="str">
        <f>"0.493"</f>
        <v>0.493</v>
      </c>
      <c r="CA80" t="s">
        <v>390</v>
      </c>
      <c r="CH80" t="s">
        <v>2071</v>
      </c>
      <c r="CI80" t="s">
        <v>2072</v>
      </c>
      <c r="CJ80" t="s">
        <v>750</v>
      </c>
      <c r="CK80" t="s">
        <v>1151</v>
      </c>
      <c r="CL80" t="s">
        <v>2073</v>
      </c>
      <c r="CM80" t="s">
        <v>2074</v>
      </c>
      <c r="CN80">
        <v>0</v>
      </c>
      <c r="CO80">
        <v>1</v>
      </c>
      <c r="CP80" t="s">
        <v>437</v>
      </c>
      <c r="CQ80" t="s">
        <v>631</v>
      </c>
      <c r="CU80" t="s">
        <v>749</v>
      </c>
      <c r="CX80" t="s">
        <v>667</v>
      </c>
      <c r="CY80" t="s">
        <v>400</v>
      </c>
      <c r="CZ80">
        <v>0</v>
      </c>
      <c r="DD80">
        <v>25000</v>
      </c>
      <c r="DE80" t="s">
        <v>2076</v>
      </c>
      <c r="DF80" t="s">
        <v>406</v>
      </c>
      <c r="DG80" t="s">
        <v>407</v>
      </c>
      <c r="DH80">
        <v>1</v>
      </c>
      <c r="DI80">
        <v>1</v>
      </c>
      <c r="DK80" t="s">
        <v>2077</v>
      </c>
      <c r="DL80">
        <v>0</v>
      </c>
      <c r="DM80" t="s">
        <v>538</v>
      </c>
      <c r="DN80" t="s">
        <v>2078</v>
      </c>
      <c r="DO80" t="s">
        <v>607</v>
      </c>
      <c r="DP80" t="s">
        <v>2079</v>
      </c>
      <c r="DT80" t="s">
        <v>2080</v>
      </c>
      <c r="DU80" t="s">
        <v>2081</v>
      </c>
      <c r="DV80" t="s">
        <v>2082</v>
      </c>
      <c r="DW80" t="s">
        <v>750</v>
      </c>
      <c r="DX80" t="s">
        <v>1159</v>
      </c>
      <c r="DY80" t="s">
        <v>2083</v>
      </c>
      <c r="DZ80" t="s">
        <v>1054</v>
      </c>
      <c r="EA80" t="s">
        <v>958</v>
      </c>
      <c r="ED80" t="s">
        <v>406</v>
      </c>
      <c r="EE80" t="s">
        <v>407</v>
      </c>
      <c r="EF80" t="s">
        <v>802</v>
      </c>
      <c r="EG80" t="s">
        <v>803</v>
      </c>
      <c r="ES80">
        <v>0</v>
      </c>
      <c r="ET80">
        <v>0</v>
      </c>
      <c r="EV80">
        <v>0</v>
      </c>
    </row>
    <row r="81" spans="1:253" x14ac:dyDescent="0.25">
      <c r="A81" t="s">
        <v>2104</v>
      </c>
      <c r="B81" t="str">
        <f>"801542614492"</f>
        <v>801542614492</v>
      </c>
      <c r="C81" t="s">
        <v>2105</v>
      </c>
      <c r="D81" t="s">
        <v>2106</v>
      </c>
      <c r="E81" t="s">
        <v>515</v>
      </c>
      <c r="F81" t="s">
        <v>516</v>
      </c>
      <c r="G81" t="str">
        <f>"30.25"</f>
        <v>30.25</v>
      </c>
      <c r="H81" t="str">
        <f>"34.75"</f>
        <v>34.75</v>
      </c>
      <c r="I81" t="str">
        <f>"33.25"</f>
        <v>33.25</v>
      </c>
      <c r="J81" t="str">
        <f>"39.68"</f>
        <v>39.68</v>
      </c>
      <c r="K81" t="s">
        <v>1517</v>
      </c>
      <c r="L81" t="s">
        <v>1518</v>
      </c>
      <c r="N81" t="s">
        <v>416</v>
      </c>
      <c r="O81" t="s">
        <v>775</v>
      </c>
      <c r="T81" t="s">
        <v>373</v>
      </c>
      <c r="U81" t="s">
        <v>373</v>
      </c>
      <c r="V81" t="s">
        <v>2107</v>
      </c>
      <c r="W81" t="s">
        <v>2108</v>
      </c>
      <c r="X81" t="s">
        <v>2109</v>
      </c>
      <c r="Y81" t="s">
        <v>2110</v>
      </c>
      <c r="Z81" t="s">
        <v>2111</v>
      </c>
      <c r="AA81" t="s">
        <v>2112</v>
      </c>
      <c r="AB81" t="s">
        <v>2113</v>
      </c>
      <c r="AC81" t="s">
        <v>2114</v>
      </c>
      <c r="AD81" t="s">
        <v>2115</v>
      </c>
      <c r="AE81" t="s">
        <v>2116</v>
      </c>
      <c r="AF81" t="s">
        <v>2117</v>
      </c>
      <c r="AG81" t="s">
        <v>2118</v>
      </c>
      <c r="AH81" t="s">
        <v>2119</v>
      </c>
      <c r="AI81" t="s">
        <v>2120</v>
      </c>
      <c r="BA81" t="str">
        <f>"1599"</f>
        <v>1599</v>
      </c>
      <c r="BB81" t="str">
        <f>"675"</f>
        <v>675</v>
      </c>
      <c r="BC81" t="s">
        <v>665</v>
      </c>
      <c r="BD81" t="str">
        <f>"1"</f>
        <v>1</v>
      </c>
      <c r="BE81" t="s">
        <v>2121</v>
      </c>
      <c r="BF81" t="str">
        <f>"36.81"</f>
        <v>36.81</v>
      </c>
      <c r="BG81" t="str">
        <f>"32.48"</f>
        <v>32.48</v>
      </c>
      <c r="BH81" t="str">
        <f>"36.81"</f>
        <v>36.81</v>
      </c>
      <c r="BI81" t="str">
        <f>"68.34"</f>
        <v>68.34</v>
      </c>
      <c r="BY81" t="str">
        <f>"20.62"</f>
        <v>20.62</v>
      </c>
      <c r="BZ81" t="str">
        <f>"0.584"</f>
        <v>0.584</v>
      </c>
      <c r="CA81" t="s">
        <v>495</v>
      </c>
      <c r="CK81" t="s">
        <v>1291</v>
      </c>
      <c r="CL81" t="s">
        <v>2122</v>
      </c>
      <c r="CM81" t="s">
        <v>1291</v>
      </c>
      <c r="CN81">
        <v>0</v>
      </c>
      <c r="CO81">
        <v>1</v>
      </c>
      <c r="CP81" t="s">
        <v>437</v>
      </c>
      <c r="CQ81" t="s">
        <v>438</v>
      </c>
      <c r="CX81" t="s">
        <v>403</v>
      </c>
      <c r="CY81" t="s">
        <v>400</v>
      </c>
      <c r="CZ81">
        <v>0</v>
      </c>
      <c r="DD81">
        <v>0</v>
      </c>
      <c r="DE81" t="s">
        <v>439</v>
      </c>
      <c r="DF81" t="s">
        <v>632</v>
      </c>
      <c r="DG81" t="s">
        <v>1808</v>
      </c>
      <c r="DH81">
        <v>1</v>
      </c>
      <c r="DI81">
        <v>1</v>
      </c>
      <c r="DK81" t="s">
        <v>2123</v>
      </c>
      <c r="DL81">
        <v>0</v>
      </c>
      <c r="DM81" t="s">
        <v>538</v>
      </c>
      <c r="DN81" t="s">
        <v>2124</v>
      </c>
      <c r="DO81" t="s">
        <v>2125</v>
      </c>
      <c r="DP81" t="s">
        <v>396</v>
      </c>
      <c r="DT81" t="s">
        <v>1014</v>
      </c>
      <c r="DX81" t="s">
        <v>566</v>
      </c>
      <c r="DY81" t="s">
        <v>2126</v>
      </c>
      <c r="DZ81" t="s">
        <v>2127</v>
      </c>
      <c r="EA81" t="s">
        <v>2122</v>
      </c>
      <c r="ED81" t="s">
        <v>632</v>
      </c>
      <c r="EE81" t="s">
        <v>1808</v>
      </c>
      <c r="EG81" t="s">
        <v>2128</v>
      </c>
      <c r="EP81" t="s">
        <v>2129</v>
      </c>
      <c r="EQ81" t="s">
        <v>2130</v>
      </c>
      <c r="ER81">
        <v>0</v>
      </c>
      <c r="ES81">
        <v>0</v>
      </c>
      <c r="EU81">
        <v>0</v>
      </c>
    </row>
    <row r="82" spans="1:253" x14ac:dyDescent="0.25">
      <c r="A82" t="s">
        <v>2131</v>
      </c>
      <c r="B82" t="str">
        <f>"198394059916"</f>
        <v>198394059916</v>
      </c>
      <c r="C82" t="s">
        <v>2132</v>
      </c>
      <c r="D82" t="s">
        <v>1139</v>
      </c>
      <c r="E82" t="s">
        <v>413</v>
      </c>
      <c r="G82" t="str">
        <f>"98"</f>
        <v>98</v>
      </c>
      <c r="H82" t="str">
        <f>"46"</f>
        <v>46</v>
      </c>
      <c r="I82" t="str">
        <f>"31"</f>
        <v>31</v>
      </c>
      <c r="J82" t="str">
        <f>"154.32"</f>
        <v>154.32</v>
      </c>
      <c r="K82" t="s">
        <v>2133</v>
      </c>
      <c r="N82" t="s">
        <v>371</v>
      </c>
      <c r="T82" t="s">
        <v>373</v>
      </c>
      <c r="U82" t="s">
        <v>373</v>
      </c>
      <c r="V82" t="s">
        <v>2134</v>
      </c>
      <c r="W82" t="s">
        <v>2135</v>
      </c>
      <c r="X82" t="s">
        <v>2136</v>
      </c>
      <c r="Y82" t="s">
        <v>2137</v>
      </c>
      <c r="Z82" t="s">
        <v>2138</v>
      </c>
      <c r="AA82" t="s">
        <v>2139</v>
      </c>
      <c r="AB82" t="s">
        <v>2140</v>
      </c>
      <c r="BA82" t="str">
        <f>"2799"</f>
        <v>2799</v>
      </c>
      <c r="BB82" t="str">
        <f>"1180"</f>
        <v>1180</v>
      </c>
      <c r="BC82" t="s">
        <v>1149</v>
      </c>
      <c r="BD82" t="str">
        <f>"1"</f>
        <v>1</v>
      </c>
      <c r="BE82" t="s">
        <v>389</v>
      </c>
      <c r="BF82" t="str">
        <f>"101"</f>
        <v>101</v>
      </c>
      <c r="BG82" t="str">
        <f>"49"</f>
        <v>49</v>
      </c>
      <c r="BH82" t="str">
        <f>"25.5"</f>
        <v>25.5</v>
      </c>
      <c r="BI82" t="str">
        <f>"165.35"</f>
        <v>165.35</v>
      </c>
      <c r="BY82" t="str">
        <f>"73.03"</f>
        <v>73.03</v>
      </c>
      <c r="BZ82" t="str">
        <f>"2.068"</f>
        <v>2.068</v>
      </c>
      <c r="CA82" t="s">
        <v>495</v>
      </c>
      <c r="CH82" t="s">
        <v>790</v>
      </c>
      <c r="CI82" t="s">
        <v>797</v>
      </c>
      <c r="CJ82" t="s">
        <v>2141</v>
      </c>
      <c r="CK82" t="s">
        <v>1510</v>
      </c>
      <c r="CL82" t="s">
        <v>474</v>
      </c>
      <c r="CM82" t="s">
        <v>2142</v>
      </c>
      <c r="CN82">
        <v>0</v>
      </c>
      <c r="CO82">
        <v>2</v>
      </c>
      <c r="CP82" t="s">
        <v>437</v>
      </c>
      <c r="CQ82" t="s">
        <v>1152</v>
      </c>
      <c r="CU82" t="s">
        <v>2143</v>
      </c>
      <c r="CX82" t="s">
        <v>403</v>
      </c>
      <c r="CY82" t="s">
        <v>400</v>
      </c>
      <c r="CZ82">
        <v>2</v>
      </c>
      <c r="DD82">
        <v>50000</v>
      </c>
      <c r="DE82" t="s">
        <v>439</v>
      </c>
      <c r="DF82" t="s">
        <v>406</v>
      </c>
      <c r="DG82" t="s">
        <v>407</v>
      </c>
      <c r="DH82">
        <v>2</v>
      </c>
      <c r="DI82">
        <v>3</v>
      </c>
      <c r="DK82" t="s">
        <v>2144</v>
      </c>
      <c r="DL82">
        <v>0</v>
      </c>
      <c r="DM82" t="s">
        <v>410</v>
      </c>
      <c r="DN82" t="s">
        <v>602</v>
      </c>
      <c r="DO82" t="s">
        <v>446</v>
      </c>
      <c r="DP82" t="s">
        <v>2145</v>
      </c>
      <c r="DT82" t="s">
        <v>448</v>
      </c>
      <c r="DU82" t="s">
        <v>830</v>
      </c>
      <c r="DV82" t="s">
        <v>511</v>
      </c>
      <c r="DW82" t="s">
        <v>2141</v>
      </c>
      <c r="DX82" t="s">
        <v>956</v>
      </c>
      <c r="DY82" t="s">
        <v>2146</v>
      </c>
      <c r="DZ82" t="s">
        <v>2147</v>
      </c>
      <c r="EA82" t="s">
        <v>446</v>
      </c>
      <c r="ED82" t="s">
        <v>406</v>
      </c>
      <c r="EE82" t="s">
        <v>407</v>
      </c>
      <c r="EF82" t="s">
        <v>831</v>
      </c>
      <c r="EG82" t="s">
        <v>1710</v>
      </c>
      <c r="EP82" t="s">
        <v>2142</v>
      </c>
      <c r="EQ82" t="s">
        <v>2142</v>
      </c>
      <c r="IH82" t="s">
        <v>450</v>
      </c>
      <c r="II82" t="s">
        <v>979</v>
      </c>
      <c r="IJ82" t="s">
        <v>789</v>
      </c>
      <c r="IK82" t="s">
        <v>407</v>
      </c>
      <c r="IL82" t="s">
        <v>402</v>
      </c>
    </row>
    <row r="83" spans="1:253" x14ac:dyDescent="0.25">
      <c r="A83" t="s">
        <v>2148</v>
      </c>
      <c r="B83" t="str">
        <f>"801542740238"</f>
        <v>801542740238</v>
      </c>
      <c r="C83" t="s">
        <v>2149</v>
      </c>
      <c r="D83" t="s">
        <v>1592</v>
      </c>
      <c r="E83" t="s">
        <v>2006</v>
      </c>
      <c r="F83" t="s">
        <v>2040</v>
      </c>
      <c r="G83" t="str">
        <f>"81"</f>
        <v>81</v>
      </c>
      <c r="H83" t="str">
        <f>"87.75"</f>
        <v>87.75</v>
      </c>
      <c r="I83" t="str">
        <f>"40.25"</f>
        <v>40.25</v>
      </c>
      <c r="J83" t="str">
        <f>"175.27"</f>
        <v>175.27</v>
      </c>
      <c r="K83" t="s">
        <v>2150</v>
      </c>
      <c r="L83" t="s">
        <v>2151</v>
      </c>
      <c r="N83" t="s">
        <v>371</v>
      </c>
      <c r="O83" t="s">
        <v>555</v>
      </c>
      <c r="T83" t="s">
        <v>402</v>
      </c>
      <c r="U83" t="s">
        <v>402</v>
      </c>
      <c r="V83" t="s">
        <v>2152</v>
      </c>
      <c r="W83" t="s">
        <v>2153</v>
      </c>
      <c r="X83" t="s">
        <v>2154</v>
      </c>
      <c r="Y83" t="s">
        <v>2155</v>
      </c>
      <c r="Z83" t="s">
        <v>2156</v>
      </c>
      <c r="AA83" t="s">
        <v>2157</v>
      </c>
      <c r="AB83" t="s">
        <v>2158</v>
      </c>
      <c r="AC83" t="s">
        <v>2159</v>
      </c>
      <c r="AD83" t="s">
        <v>2160</v>
      </c>
      <c r="AE83" t="s">
        <v>2161</v>
      </c>
      <c r="AF83" t="s">
        <v>2162</v>
      </c>
      <c r="BA83" t="str">
        <f>"1599"</f>
        <v>1599</v>
      </c>
      <c r="BB83" t="str">
        <f>"675"</f>
        <v>675</v>
      </c>
      <c r="BC83" t="s">
        <v>665</v>
      </c>
      <c r="BD83" t="str">
        <f>"3"</f>
        <v>3</v>
      </c>
      <c r="BE83" t="s">
        <v>2163</v>
      </c>
      <c r="BF83" t="str">
        <f>"82.48"</f>
        <v>82.48</v>
      </c>
      <c r="BG83" t="str">
        <f>"41.93"</f>
        <v>41.93</v>
      </c>
      <c r="BH83" t="str">
        <f>"8.07"</f>
        <v>8.07</v>
      </c>
      <c r="BI83" t="str">
        <f>"79.37"</f>
        <v>79.37</v>
      </c>
      <c r="BJ83" t="s">
        <v>2164</v>
      </c>
      <c r="BK83" t="str">
        <f>"87.2"</f>
        <v>87.2</v>
      </c>
      <c r="BL83" t="str">
        <f>"12.4"</f>
        <v>12.4</v>
      </c>
      <c r="BM83" t="str">
        <f>"6.5"</f>
        <v>6.5</v>
      </c>
      <c r="BN83" t="str">
        <f>"58.42"</f>
        <v>58.42</v>
      </c>
      <c r="BO83" t="s">
        <v>2165</v>
      </c>
      <c r="BP83" t="str">
        <f>"82.48"</f>
        <v>82.48</v>
      </c>
      <c r="BQ83" t="str">
        <f>"14.76"</f>
        <v>14.76</v>
      </c>
      <c r="BR83" t="str">
        <f>"6.5"</f>
        <v>6.5</v>
      </c>
      <c r="BS83" t="str">
        <f>"70.55"</f>
        <v>70.55</v>
      </c>
      <c r="BY83" t="str">
        <f>"24.79"</f>
        <v>24.79</v>
      </c>
      <c r="BZ83" t="str">
        <f>"0.702"</f>
        <v>0.702</v>
      </c>
      <c r="CA83" t="s">
        <v>495</v>
      </c>
      <c r="CQ83" t="s">
        <v>631</v>
      </c>
      <c r="CR83" t="s">
        <v>400</v>
      </c>
      <c r="CS83">
        <v>0</v>
      </c>
      <c r="CT83" t="s">
        <v>400</v>
      </c>
      <c r="CV83">
        <v>0</v>
      </c>
      <c r="CX83" t="s">
        <v>1609</v>
      </c>
      <c r="CY83" t="s">
        <v>400</v>
      </c>
      <c r="DA83">
        <v>0</v>
      </c>
      <c r="DB83">
        <v>0</v>
      </c>
      <c r="DC83">
        <v>0</v>
      </c>
      <c r="DD83">
        <v>15000</v>
      </c>
      <c r="DK83" t="s">
        <v>2166</v>
      </c>
      <c r="DM83" t="s">
        <v>2028</v>
      </c>
      <c r="EG83" t="s">
        <v>1513</v>
      </c>
      <c r="EN83">
        <v>0</v>
      </c>
      <c r="ET83" t="s">
        <v>549</v>
      </c>
      <c r="HN83" t="s">
        <v>2167</v>
      </c>
      <c r="HO83" t="s">
        <v>2167</v>
      </c>
      <c r="HP83" t="s">
        <v>2167</v>
      </c>
      <c r="HQ83" t="s">
        <v>546</v>
      </c>
      <c r="HR83" t="s">
        <v>674</v>
      </c>
      <c r="HS83" t="s">
        <v>2168</v>
      </c>
      <c r="HT83" t="s">
        <v>2169</v>
      </c>
      <c r="HU83" t="s">
        <v>2170</v>
      </c>
      <c r="HV83" t="s">
        <v>2168</v>
      </c>
      <c r="HW83" t="s">
        <v>2171</v>
      </c>
      <c r="HX83" t="s">
        <v>2172</v>
      </c>
      <c r="HY83" t="s">
        <v>2173</v>
      </c>
      <c r="HZ83" t="s">
        <v>2174</v>
      </c>
      <c r="IA83" t="s">
        <v>2175</v>
      </c>
      <c r="IB83" t="s">
        <v>674</v>
      </c>
      <c r="IC83" t="s">
        <v>402</v>
      </c>
      <c r="ID83" t="s">
        <v>2176</v>
      </c>
      <c r="IE83" t="s">
        <v>2037</v>
      </c>
      <c r="IF83" t="s">
        <v>2177</v>
      </c>
      <c r="IG83" t="s">
        <v>2040</v>
      </c>
      <c r="IM83" t="s">
        <v>395</v>
      </c>
      <c r="IN83" t="s">
        <v>2178</v>
      </c>
      <c r="IO83" t="s">
        <v>395</v>
      </c>
      <c r="IP83" t="s">
        <v>402</v>
      </c>
      <c r="IQ83" t="s">
        <v>2179</v>
      </c>
    </row>
    <row r="84" spans="1:253" x14ac:dyDescent="0.25">
      <c r="A84" t="s">
        <v>2180</v>
      </c>
      <c r="B84" t="str">
        <f>"801542688844"</f>
        <v>801542688844</v>
      </c>
      <c r="C84" t="s">
        <v>2149</v>
      </c>
      <c r="D84" t="s">
        <v>1592</v>
      </c>
      <c r="E84" t="s">
        <v>2006</v>
      </c>
      <c r="F84" t="s">
        <v>2007</v>
      </c>
      <c r="G84" t="str">
        <f>"65"</f>
        <v>65</v>
      </c>
      <c r="H84" t="str">
        <f>"87.75"</f>
        <v>87.75</v>
      </c>
      <c r="I84" t="str">
        <f>"40.25"</f>
        <v>40.25</v>
      </c>
      <c r="J84" t="str">
        <f>"151.02"</f>
        <v>151.02</v>
      </c>
      <c r="K84" t="s">
        <v>2150</v>
      </c>
      <c r="L84" t="s">
        <v>2151</v>
      </c>
      <c r="N84" t="s">
        <v>371</v>
      </c>
      <c r="O84" t="s">
        <v>555</v>
      </c>
      <c r="T84" t="s">
        <v>402</v>
      </c>
      <c r="U84" t="s">
        <v>402</v>
      </c>
      <c r="V84" t="s">
        <v>2152</v>
      </c>
      <c r="W84" t="s">
        <v>2181</v>
      </c>
      <c r="X84" t="s">
        <v>2182</v>
      </c>
      <c r="Y84" t="s">
        <v>2183</v>
      </c>
      <c r="Z84" t="s">
        <v>2184</v>
      </c>
      <c r="AA84" t="s">
        <v>2185</v>
      </c>
      <c r="AB84" t="s">
        <v>2186</v>
      </c>
      <c r="AC84" t="s">
        <v>2187</v>
      </c>
      <c r="AD84" t="s">
        <v>2188</v>
      </c>
      <c r="AE84" t="s">
        <v>2189</v>
      </c>
      <c r="AF84" t="s">
        <v>2190</v>
      </c>
      <c r="AG84" t="s">
        <v>2191</v>
      </c>
      <c r="BA84" t="str">
        <f>"1399"</f>
        <v>1399</v>
      </c>
      <c r="BB84" t="str">
        <f>"590"</f>
        <v>590</v>
      </c>
      <c r="BC84" t="s">
        <v>665</v>
      </c>
      <c r="BD84" t="str">
        <f>"3"</f>
        <v>3</v>
      </c>
      <c r="BE84" t="s">
        <v>2163</v>
      </c>
      <c r="BF84" t="str">
        <f>"66.34"</f>
        <v>66.34</v>
      </c>
      <c r="BG84" t="str">
        <f>"41.93"</f>
        <v>41.93</v>
      </c>
      <c r="BH84" t="str">
        <f>"8.07"</f>
        <v>8.07</v>
      </c>
      <c r="BI84" t="str">
        <f>"66.14"</f>
        <v>66.14</v>
      </c>
      <c r="BJ84" t="s">
        <v>2164</v>
      </c>
      <c r="BK84" t="str">
        <f>"87.2"</f>
        <v>87.2</v>
      </c>
      <c r="BL84" t="str">
        <f>"12.4"</f>
        <v>12.4</v>
      </c>
      <c r="BM84" t="str">
        <f>"6.5"</f>
        <v>6.5</v>
      </c>
      <c r="BN84" t="str">
        <f>"56.66"</f>
        <v>56.66</v>
      </c>
      <c r="BO84" t="s">
        <v>2165</v>
      </c>
      <c r="BP84" t="str">
        <f>"66.34"</f>
        <v>66.34</v>
      </c>
      <c r="BQ84" t="str">
        <f>"14.76"</f>
        <v>14.76</v>
      </c>
      <c r="BR84" t="str">
        <f>"6.5"</f>
        <v>6.5</v>
      </c>
      <c r="BS84" t="str">
        <f>"56.66"</f>
        <v>56.66</v>
      </c>
      <c r="BY84" t="str">
        <f>"20.73"</f>
        <v>20.73</v>
      </c>
      <c r="BZ84" t="str">
        <f>"0.587"</f>
        <v>0.587</v>
      </c>
      <c r="CA84" t="s">
        <v>431</v>
      </c>
      <c r="CQ84" t="s">
        <v>631</v>
      </c>
      <c r="CR84" t="s">
        <v>400</v>
      </c>
      <c r="CS84">
        <v>0</v>
      </c>
      <c r="CT84" t="s">
        <v>400</v>
      </c>
      <c r="CV84">
        <v>0</v>
      </c>
      <c r="CX84" t="s">
        <v>1609</v>
      </c>
      <c r="CY84" t="s">
        <v>400</v>
      </c>
      <c r="DA84">
        <v>0</v>
      </c>
      <c r="DB84">
        <v>0</v>
      </c>
      <c r="DC84">
        <v>0</v>
      </c>
      <c r="DD84">
        <v>15000</v>
      </c>
      <c r="DK84" t="s">
        <v>2166</v>
      </c>
      <c r="DM84" t="s">
        <v>2028</v>
      </c>
      <c r="EG84" t="s">
        <v>1513</v>
      </c>
      <c r="EN84">
        <v>0</v>
      </c>
      <c r="ET84" t="s">
        <v>549</v>
      </c>
      <c r="HN84" t="s">
        <v>2167</v>
      </c>
      <c r="HO84" t="s">
        <v>2167</v>
      </c>
      <c r="HP84" t="s">
        <v>2167</v>
      </c>
      <c r="HQ84" t="s">
        <v>546</v>
      </c>
      <c r="HR84" t="s">
        <v>674</v>
      </c>
      <c r="HS84" t="s">
        <v>2192</v>
      </c>
      <c r="HT84" t="s">
        <v>2169</v>
      </c>
      <c r="HU84" t="s">
        <v>2170</v>
      </c>
      <c r="HV84" t="s">
        <v>2192</v>
      </c>
      <c r="HW84" t="s">
        <v>2171</v>
      </c>
      <c r="HX84" t="s">
        <v>2172</v>
      </c>
      <c r="HY84" t="s">
        <v>2193</v>
      </c>
      <c r="HZ84" t="s">
        <v>2174</v>
      </c>
      <c r="IA84" t="s">
        <v>2175</v>
      </c>
      <c r="IB84" t="s">
        <v>674</v>
      </c>
      <c r="IC84" t="s">
        <v>402</v>
      </c>
      <c r="ID84" t="s">
        <v>2176</v>
      </c>
      <c r="IE84" t="s">
        <v>2037</v>
      </c>
      <c r="IF84" t="s">
        <v>2177</v>
      </c>
      <c r="IG84" t="s">
        <v>2007</v>
      </c>
      <c r="IM84" t="s">
        <v>395</v>
      </c>
      <c r="IN84" t="s">
        <v>2178</v>
      </c>
      <c r="IO84" t="s">
        <v>395</v>
      </c>
      <c r="IP84" t="s">
        <v>402</v>
      </c>
      <c r="IQ84" t="s">
        <v>2179</v>
      </c>
    </row>
    <row r="85" spans="1:253" x14ac:dyDescent="0.25">
      <c r="A85" t="s">
        <v>2194</v>
      </c>
      <c r="B85" t="str">
        <f>"801542688721"</f>
        <v>801542688721</v>
      </c>
      <c r="C85" t="s">
        <v>2195</v>
      </c>
      <c r="D85" t="s">
        <v>1592</v>
      </c>
      <c r="E85" t="s">
        <v>2006</v>
      </c>
      <c r="F85" t="s">
        <v>2040</v>
      </c>
      <c r="G85" t="str">
        <f>"81"</f>
        <v>81</v>
      </c>
      <c r="H85" t="str">
        <f>"87.75"</f>
        <v>87.75</v>
      </c>
      <c r="I85" t="str">
        <f>"40.25"</f>
        <v>40.25</v>
      </c>
      <c r="J85" t="str">
        <f>"175.27"</f>
        <v>175.27</v>
      </c>
      <c r="K85" t="s">
        <v>1594</v>
      </c>
      <c r="L85" t="s">
        <v>2151</v>
      </c>
      <c r="N85" t="s">
        <v>1170</v>
      </c>
      <c r="O85" t="s">
        <v>1595</v>
      </c>
      <c r="P85" t="s">
        <v>555</v>
      </c>
      <c r="T85" t="s">
        <v>373</v>
      </c>
      <c r="U85" t="s">
        <v>373</v>
      </c>
      <c r="V85" t="s">
        <v>2196</v>
      </c>
      <c r="W85" t="s">
        <v>2197</v>
      </c>
      <c r="X85" t="s">
        <v>2198</v>
      </c>
      <c r="Y85" t="s">
        <v>2199</v>
      </c>
      <c r="Z85" t="s">
        <v>2200</v>
      </c>
      <c r="AA85" t="s">
        <v>2201</v>
      </c>
      <c r="AB85" t="s">
        <v>2202</v>
      </c>
      <c r="AC85" t="s">
        <v>2203</v>
      </c>
      <c r="AD85" t="s">
        <v>2204</v>
      </c>
      <c r="AE85" t="s">
        <v>2205</v>
      </c>
      <c r="AF85" t="s">
        <v>2206</v>
      </c>
      <c r="AG85" t="s">
        <v>2207</v>
      </c>
      <c r="AH85" t="s">
        <v>2208</v>
      </c>
      <c r="BA85" t="str">
        <f>"1599"</f>
        <v>1599</v>
      </c>
      <c r="BB85" t="str">
        <f>"675"</f>
        <v>675</v>
      </c>
      <c r="BC85" t="s">
        <v>665</v>
      </c>
      <c r="BD85" t="str">
        <f>"3"</f>
        <v>3</v>
      </c>
      <c r="BE85" t="s">
        <v>2163</v>
      </c>
      <c r="BF85" t="str">
        <f>"82.48"</f>
        <v>82.48</v>
      </c>
      <c r="BG85" t="str">
        <f>"41.93"</f>
        <v>41.93</v>
      </c>
      <c r="BH85" t="str">
        <f>"8.07"</f>
        <v>8.07</v>
      </c>
      <c r="BI85" t="str">
        <f>"79.37"</f>
        <v>79.37</v>
      </c>
      <c r="BJ85" t="s">
        <v>2164</v>
      </c>
      <c r="BK85" t="str">
        <f>"87.2"</f>
        <v>87.2</v>
      </c>
      <c r="BL85" t="str">
        <f>"12.4"</f>
        <v>12.4</v>
      </c>
      <c r="BM85" t="str">
        <f>"6.5"</f>
        <v>6.5</v>
      </c>
      <c r="BN85" t="str">
        <f>"58.42"</f>
        <v>58.42</v>
      </c>
      <c r="BO85" t="s">
        <v>2165</v>
      </c>
      <c r="BP85" t="str">
        <f>"82.48"</f>
        <v>82.48</v>
      </c>
      <c r="BQ85" t="str">
        <f>"14.76"</f>
        <v>14.76</v>
      </c>
      <c r="BR85" t="str">
        <f>"6.5"</f>
        <v>6.5</v>
      </c>
      <c r="BS85" t="str">
        <f>"70.55"</f>
        <v>70.55</v>
      </c>
      <c r="BY85" t="str">
        <f>"24.79"</f>
        <v>24.79</v>
      </c>
      <c r="BZ85" t="str">
        <f>"0.702"</f>
        <v>0.702</v>
      </c>
      <c r="CA85" t="s">
        <v>495</v>
      </c>
      <c r="CQ85" t="s">
        <v>399</v>
      </c>
      <c r="CR85" t="s">
        <v>400</v>
      </c>
      <c r="CS85">
        <v>0</v>
      </c>
      <c r="CT85" t="s">
        <v>400</v>
      </c>
      <c r="CV85">
        <v>0</v>
      </c>
      <c r="CX85" t="s">
        <v>1609</v>
      </c>
      <c r="CY85" t="s">
        <v>400</v>
      </c>
      <c r="DA85">
        <v>0</v>
      </c>
      <c r="DB85">
        <v>0</v>
      </c>
      <c r="DC85">
        <v>0</v>
      </c>
      <c r="DD85">
        <v>15000</v>
      </c>
      <c r="DK85" t="s">
        <v>2166</v>
      </c>
      <c r="DM85" t="s">
        <v>2028</v>
      </c>
      <c r="EG85" t="s">
        <v>1513</v>
      </c>
      <c r="EN85">
        <v>0</v>
      </c>
      <c r="ET85" t="s">
        <v>549</v>
      </c>
      <c r="HN85" t="s">
        <v>2167</v>
      </c>
      <c r="HO85" t="s">
        <v>2167</v>
      </c>
      <c r="HP85" t="s">
        <v>2167</v>
      </c>
      <c r="HQ85" t="s">
        <v>546</v>
      </c>
      <c r="HR85" t="s">
        <v>674</v>
      </c>
      <c r="HS85" t="s">
        <v>2168</v>
      </c>
      <c r="HT85" t="s">
        <v>2169</v>
      </c>
      <c r="HU85" t="s">
        <v>2170</v>
      </c>
      <c r="HV85" t="s">
        <v>2168</v>
      </c>
      <c r="HW85" t="s">
        <v>2171</v>
      </c>
      <c r="HX85" t="s">
        <v>2172</v>
      </c>
      <c r="HY85" t="s">
        <v>2173</v>
      </c>
      <c r="HZ85" t="s">
        <v>2174</v>
      </c>
      <c r="IA85" t="s">
        <v>2175</v>
      </c>
      <c r="IB85" t="s">
        <v>674</v>
      </c>
      <c r="IC85" t="s">
        <v>402</v>
      </c>
      <c r="ID85" t="s">
        <v>2176</v>
      </c>
      <c r="IE85" t="s">
        <v>2037</v>
      </c>
      <c r="IF85" t="s">
        <v>2177</v>
      </c>
      <c r="IG85" t="s">
        <v>2040</v>
      </c>
      <c r="IM85" t="s">
        <v>395</v>
      </c>
      <c r="IN85" t="s">
        <v>2178</v>
      </c>
      <c r="IO85" t="s">
        <v>395</v>
      </c>
      <c r="IP85" t="s">
        <v>402</v>
      </c>
      <c r="IQ85" t="s">
        <v>2179</v>
      </c>
    </row>
    <row r="86" spans="1:253" x14ac:dyDescent="0.25">
      <c r="A86" t="s">
        <v>2209</v>
      </c>
      <c r="B86" t="str">
        <f>"801542688806"</f>
        <v>801542688806</v>
      </c>
      <c r="C86" t="s">
        <v>2195</v>
      </c>
      <c r="D86" t="s">
        <v>1592</v>
      </c>
      <c r="E86" t="s">
        <v>2006</v>
      </c>
      <c r="F86" t="s">
        <v>2007</v>
      </c>
      <c r="G86" t="str">
        <f>"65"</f>
        <v>65</v>
      </c>
      <c r="H86" t="str">
        <f>"87.75"</f>
        <v>87.75</v>
      </c>
      <c r="I86" t="str">
        <f>"40.25"</f>
        <v>40.25</v>
      </c>
      <c r="J86" t="str">
        <f>"151.02"</f>
        <v>151.02</v>
      </c>
      <c r="K86" t="s">
        <v>1594</v>
      </c>
      <c r="L86" t="s">
        <v>2151</v>
      </c>
      <c r="N86" t="s">
        <v>1170</v>
      </c>
      <c r="O86" t="s">
        <v>1595</v>
      </c>
      <c r="P86" t="s">
        <v>555</v>
      </c>
      <c r="T86" t="s">
        <v>373</v>
      </c>
      <c r="U86" t="s">
        <v>373</v>
      </c>
      <c r="V86" t="s">
        <v>2210</v>
      </c>
      <c r="W86" t="s">
        <v>2211</v>
      </c>
      <c r="X86" t="s">
        <v>2212</v>
      </c>
      <c r="Y86" t="s">
        <v>2213</v>
      </c>
      <c r="Z86" t="s">
        <v>2214</v>
      </c>
      <c r="AA86" t="s">
        <v>2215</v>
      </c>
      <c r="AB86" t="s">
        <v>2216</v>
      </c>
      <c r="AC86" t="s">
        <v>2217</v>
      </c>
      <c r="AD86" t="s">
        <v>2218</v>
      </c>
      <c r="AE86" t="s">
        <v>2219</v>
      </c>
      <c r="AF86" t="s">
        <v>2220</v>
      </c>
      <c r="AG86" t="s">
        <v>2221</v>
      </c>
      <c r="AH86" t="s">
        <v>2222</v>
      </c>
      <c r="BA86" t="str">
        <f>"1399"</f>
        <v>1399</v>
      </c>
      <c r="BB86" t="str">
        <f>"590"</f>
        <v>590</v>
      </c>
      <c r="BC86" t="s">
        <v>665</v>
      </c>
      <c r="BD86" t="str">
        <f>"3"</f>
        <v>3</v>
      </c>
      <c r="BE86" t="s">
        <v>2163</v>
      </c>
      <c r="BF86" t="str">
        <f>"66.34"</f>
        <v>66.34</v>
      </c>
      <c r="BG86" t="str">
        <f>"41.93"</f>
        <v>41.93</v>
      </c>
      <c r="BH86" t="str">
        <f>"8.07"</f>
        <v>8.07</v>
      </c>
      <c r="BI86" t="str">
        <f>"66.14"</f>
        <v>66.14</v>
      </c>
      <c r="BJ86" t="s">
        <v>2164</v>
      </c>
      <c r="BK86" t="str">
        <f>"87.2"</f>
        <v>87.2</v>
      </c>
      <c r="BL86" t="str">
        <f>"12.4"</f>
        <v>12.4</v>
      </c>
      <c r="BM86" t="str">
        <f>"6.5"</f>
        <v>6.5</v>
      </c>
      <c r="BN86" t="str">
        <f>"56.66"</f>
        <v>56.66</v>
      </c>
      <c r="BO86" t="s">
        <v>2165</v>
      </c>
      <c r="BP86" t="str">
        <f>"66.34"</f>
        <v>66.34</v>
      </c>
      <c r="BQ86" t="str">
        <f>"14.76"</f>
        <v>14.76</v>
      </c>
      <c r="BR86" t="str">
        <f>"6.5"</f>
        <v>6.5</v>
      </c>
      <c r="BS86" t="str">
        <f>"56.66"</f>
        <v>56.66</v>
      </c>
      <c r="BY86" t="str">
        <f>"20.73"</f>
        <v>20.73</v>
      </c>
      <c r="BZ86" t="str">
        <f>"0.587"</f>
        <v>0.587</v>
      </c>
      <c r="CA86" t="s">
        <v>431</v>
      </c>
      <c r="CQ86" t="s">
        <v>399</v>
      </c>
      <c r="CR86" t="s">
        <v>400</v>
      </c>
      <c r="CS86">
        <v>0</v>
      </c>
      <c r="CT86" t="s">
        <v>400</v>
      </c>
      <c r="CV86">
        <v>0</v>
      </c>
      <c r="CX86" t="s">
        <v>1609</v>
      </c>
      <c r="CY86" t="s">
        <v>400</v>
      </c>
      <c r="DA86">
        <v>0</v>
      </c>
      <c r="DB86">
        <v>0</v>
      </c>
      <c r="DC86">
        <v>0</v>
      </c>
      <c r="DD86">
        <v>15000</v>
      </c>
      <c r="DK86" t="s">
        <v>2166</v>
      </c>
      <c r="DM86" t="s">
        <v>2028</v>
      </c>
      <c r="EG86" t="s">
        <v>1513</v>
      </c>
      <c r="EN86">
        <v>0</v>
      </c>
      <c r="ET86" t="s">
        <v>549</v>
      </c>
      <c r="HN86" t="s">
        <v>2167</v>
      </c>
      <c r="HO86" t="s">
        <v>2167</v>
      </c>
      <c r="HP86" t="s">
        <v>2167</v>
      </c>
      <c r="HQ86" t="s">
        <v>546</v>
      </c>
      <c r="HR86" t="s">
        <v>674</v>
      </c>
      <c r="HS86" t="s">
        <v>2192</v>
      </c>
      <c r="HT86" t="s">
        <v>2169</v>
      </c>
      <c r="HU86" t="s">
        <v>2170</v>
      </c>
      <c r="HV86" t="s">
        <v>2192</v>
      </c>
      <c r="HW86" t="s">
        <v>2171</v>
      </c>
      <c r="HX86" t="s">
        <v>2172</v>
      </c>
      <c r="HY86" t="s">
        <v>2193</v>
      </c>
      <c r="HZ86" t="s">
        <v>2174</v>
      </c>
      <c r="IA86" t="s">
        <v>2175</v>
      </c>
      <c r="IB86" t="s">
        <v>674</v>
      </c>
      <c r="IC86" t="s">
        <v>402</v>
      </c>
      <c r="ID86" t="s">
        <v>2176</v>
      </c>
      <c r="IE86" t="s">
        <v>2037</v>
      </c>
      <c r="IF86" t="s">
        <v>2177</v>
      </c>
      <c r="IG86" t="s">
        <v>2007</v>
      </c>
      <c r="IM86" t="s">
        <v>395</v>
      </c>
      <c r="IN86" t="s">
        <v>2178</v>
      </c>
      <c r="IO86" t="s">
        <v>395</v>
      </c>
      <c r="IP86" t="s">
        <v>402</v>
      </c>
      <c r="IQ86" t="s">
        <v>2179</v>
      </c>
    </row>
    <row r="87" spans="1:253" x14ac:dyDescent="0.25">
      <c r="A87" t="s">
        <v>2223</v>
      </c>
      <c r="B87" t="str">
        <f>"801542668303"</f>
        <v>801542668303</v>
      </c>
      <c r="C87" t="s">
        <v>2224</v>
      </c>
      <c r="D87" t="s">
        <v>835</v>
      </c>
      <c r="E87" t="s">
        <v>515</v>
      </c>
      <c r="F87" t="s">
        <v>516</v>
      </c>
      <c r="G87" t="str">
        <f>"29"</f>
        <v>29</v>
      </c>
      <c r="H87" t="str">
        <f>"36"</f>
        <v>36</v>
      </c>
      <c r="I87" t="str">
        <f>"29"</f>
        <v>29</v>
      </c>
      <c r="J87" t="str">
        <f>"51.81"</f>
        <v>51.81</v>
      </c>
      <c r="K87" t="s">
        <v>2225</v>
      </c>
      <c r="L87" t="s">
        <v>837</v>
      </c>
      <c r="N87" t="s">
        <v>416</v>
      </c>
      <c r="O87" t="s">
        <v>555</v>
      </c>
      <c r="T87" t="s">
        <v>373</v>
      </c>
      <c r="U87" t="s">
        <v>373</v>
      </c>
      <c r="V87" t="s">
        <v>2226</v>
      </c>
      <c r="W87" t="s">
        <v>2227</v>
      </c>
      <c r="X87" t="s">
        <v>2228</v>
      </c>
      <c r="Y87" t="s">
        <v>2229</v>
      </c>
      <c r="Z87" t="s">
        <v>2230</v>
      </c>
      <c r="AA87" t="s">
        <v>2231</v>
      </c>
      <c r="AB87" t="s">
        <v>2232</v>
      </c>
      <c r="AC87" t="s">
        <v>2233</v>
      </c>
      <c r="AD87" t="s">
        <v>2234</v>
      </c>
      <c r="AE87" t="s">
        <v>2235</v>
      </c>
      <c r="AF87" t="s">
        <v>2236</v>
      </c>
      <c r="AG87" t="s">
        <v>2237</v>
      </c>
      <c r="AH87" t="s">
        <v>2238</v>
      </c>
      <c r="BA87" t="str">
        <f>"1649"</f>
        <v>1649</v>
      </c>
      <c r="BB87" t="str">
        <f>"695"</f>
        <v>695</v>
      </c>
      <c r="BC87" t="s">
        <v>388</v>
      </c>
      <c r="BD87" t="str">
        <f t="shared" ref="BD87:BD118" si="6">"1"</f>
        <v>1</v>
      </c>
      <c r="BE87" t="s">
        <v>389</v>
      </c>
      <c r="BF87" t="str">
        <f>"36.61"</f>
        <v>36.61</v>
      </c>
      <c r="BG87" t="str">
        <f>"32.09"</f>
        <v>32.09</v>
      </c>
      <c r="BH87" t="str">
        <f>"29.53"</f>
        <v>29.53</v>
      </c>
      <c r="BI87" t="str">
        <f>"64.59"</f>
        <v>64.59</v>
      </c>
      <c r="BY87" t="str">
        <f>"20.06"</f>
        <v>20.06</v>
      </c>
      <c r="BZ87" t="str">
        <f>"0.568"</f>
        <v>0.568</v>
      </c>
      <c r="CA87" t="s">
        <v>390</v>
      </c>
      <c r="CH87" t="s">
        <v>638</v>
      </c>
      <c r="CI87" t="s">
        <v>1852</v>
      </c>
      <c r="CJ87" t="s">
        <v>638</v>
      </c>
      <c r="CK87" t="s">
        <v>602</v>
      </c>
      <c r="CL87" t="s">
        <v>791</v>
      </c>
      <c r="CN87">
        <v>0</v>
      </c>
      <c r="CO87">
        <v>1</v>
      </c>
      <c r="CP87" t="s">
        <v>437</v>
      </c>
      <c r="CQ87" t="s">
        <v>438</v>
      </c>
      <c r="CU87" t="s">
        <v>1555</v>
      </c>
      <c r="CY87" t="s">
        <v>400</v>
      </c>
      <c r="CZ87">
        <v>0</v>
      </c>
      <c r="DD87">
        <v>0</v>
      </c>
      <c r="DE87" t="s">
        <v>1892</v>
      </c>
      <c r="DF87" t="s">
        <v>406</v>
      </c>
      <c r="DG87" t="s">
        <v>454</v>
      </c>
      <c r="DH87">
        <v>1</v>
      </c>
      <c r="DI87">
        <v>1</v>
      </c>
      <c r="DK87" t="s">
        <v>2239</v>
      </c>
      <c r="DL87">
        <v>0</v>
      </c>
      <c r="DM87" t="s">
        <v>538</v>
      </c>
      <c r="DN87" t="s">
        <v>602</v>
      </c>
      <c r="DO87" t="s">
        <v>1040</v>
      </c>
      <c r="DP87" t="s">
        <v>451</v>
      </c>
      <c r="DT87" t="s">
        <v>1094</v>
      </c>
      <c r="DU87" t="s">
        <v>1852</v>
      </c>
      <c r="DV87" t="s">
        <v>791</v>
      </c>
      <c r="DW87" t="s">
        <v>638</v>
      </c>
      <c r="DX87" t="s">
        <v>2240</v>
      </c>
      <c r="DY87" t="s">
        <v>2241</v>
      </c>
      <c r="DZ87" t="s">
        <v>1488</v>
      </c>
      <c r="EA87" t="s">
        <v>635</v>
      </c>
      <c r="ED87" t="s">
        <v>406</v>
      </c>
      <c r="EE87" t="s">
        <v>454</v>
      </c>
      <c r="EP87" t="s">
        <v>638</v>
      </c>
      <c r="EQ87" t="s">
        <v>796</v>
      </c>
      <c r="ER87">
        <v>0</v>
      </c>
      <c r="ES87">
        <v>0</v>
      </c>
      <c r="ET87" t="s">
        <v>643</v>
      </c>
      <c r="EU87">
        <v>0</v>
      </c>
    </row>
    <row r="88" spans="1:253" x14ac:dyDescent="0.25">
      <c r="A88" t="s">
        <v>2242</v>
      </c>
      <c r="B88" t="str">
        <f>"801542932664"</f>
        <v>801542932664</v>
      </c>
      <c r="C88" t="s">
        <v>2243</v>
      </c>
      <c r="D88" t="s">
        <v>769</v>
      </c>
      <c r="E88" t="s">
        <v>2244</v>
      </c>
      <c r="G88" t="str">
        <f>"38"</f>
        <v>38</v>
      </c>
      <c r="H88" t="str">
        <f>"62"</f>
        <v>62</v>
      </c>
      <c r="I88" t="str">
        <f>"25"</f>
        <v>25</v>
      </c>
      <c r="J88" t="str">
        <f>"113.54"</f>
        <v>113.54</v>
      </c>
      <c r="K88" t="s">
        <v>584</v>
      </c>
      <c r="L88" t="s">
        <v>1857</v>
      </c>
      <c r="N88" t="s">
        <v>416</v>
      </c>
      <c r="O88" t="s">
        <v>775</v>
      </c>
      <c r="T88" t="s">
        <v>373</v>
      </c>
      <c r="U88" t="s">
        <v>373</v>
      </c>
      <c r="V88" t="s">
        <v>2245</v>
      </c>
      <c r="W88" t="s">
        <v>2246</v>
      </c>
      <c r="X88" t="s">
        <v>2247</v>
      </c>
      <c r="Y88" t="s">
        <v>2248</v>
      </c>
      <c r="Z88" t="s">
        <v>2249</v>
      </c>
      <c r="AA88" t="s">
        <v>2250</v>
      </c>
      <c r="AB88" t="s">
        <v>2251</v>
      </c>
      <c r="AC88" t="s">
        <v>2252</v>
      </c>
      <c r="AD88" t="s">
        <v>2253</v>
      </c>
      <c r="AE88" t="s">
        <v>2254</v>
      </c>
      <c r="AF88" t="s">
        <v>2255</v>
      </c>
      <c r="AG88" t="s">
        <v>2256</v>
      </c>
      <c r="AH88" t="s">
        <v>2257</v>
      </c>
      <c r="AI88" t="s">
        <v>2258</v>
      </c>
      <c r="BA88" t="str">
        <f>"2599"</f>
        <v>2599</v>
      </c>
      <c r="BB88" t="str">
        <f>"1095"</f>
        <v>1095</v>
      </c>
      <c r="BC88" t="s">
        <v>388</v>
      </c>
      <c r="BD88" t="str">
        <f t="shared" si="6"/>
        <v>1</v>
      </c>
      <c r="BE88" t="s">
        <v>2259</v>
      </c>
      <c r="BF88" t="str">
        <f>"38.98"</f>
        <v>38.98</v>
      </c>
      <c r="BG88" t="str">
        <f>"62.6"</f>
        <v>62.6</v>
      </c>
      <c r="BH88" t="str">
        <f>"23.23"</f>
        <v>23.23</v>
      </c>
      <c r="BI88" t="str">
        <f>"127.87"</f>
        <v>127.87</v>
      </c>
      <c r="BY88" t="str">
        <f>"26.42"</f>
        <v>26.42</v>
      </c>
      <c r="BZ88" t="str">
        <f>"0.748"</f>
        <v>0.748</v>
      </c>
      <c r="CA88" t="s">
        <v>495</v>
      </c>
      <c r="CK88" t="s">
        <v>2260</v>
      </c>
      <c r="CL88" t="s">
        <v>2261</v>
      </c>
      <c r="CM88" t="s">
        <v>600</v>
      </c>
      <c r="CN88">
        <v>0</v>
      </c>
      <c r="CO88">
        <v>1</v>
      </c>
      <c r="CP88" t="s">
        <v>437</v>
      </c>
      <c r="CQ88" t="s">
        <v>438</v>
      </c>
      <c r="CX88" t="s">
        <v>403</v>
      </c>
      <c r="CY88" t="s">
        <v>400</v>
      </c>
      <c r="CZ88">
        <v>0</v>
      </c>
      <c r="DD88">
        <v>0</v>
      </c>
      <c r="DE88" t="s">
        <v>439</v>
      </c>
      <c r="DF88" t="s">
        <v>632</v>
      </c>
      <c r="DG88" t="s">
        <v>1808</v>
      </c>
      <c r="DH88">
        <v>1</v>
      </c>
      <c r="DI88">
        <v>1</v>
      </c>
      <c r="DK88" t="s">
        <v>2262</v>
      </c>
      <c r="DL88">
        <v>0</v>
      </c>
      <c r="DM88" t="s">
        <v>538</v>
      </c>
      <c r="DN88" t="s">
        <v>638</v>
      </c>
      <c r="DO88" t="s">
        <v>2263</v>
      </c>
      <c r="DP88" t="s">
        <v>636</v>
      </c>
      <c r="DT88" t="s">
        <v>446</v>
      </c>
      <c r="DX88" t="s">
        <v>1709</v>
      </c>
      <c r="DY88" t="s">
        <v>2264</v>
      </c>
      <c r="DZ88" t="s">
        <v>636</v>
      </c>
      <c r="EA88" t="s">
        <v>1037</v>
      </c>
      <c r="ED88" t="s">
        <v>632</v>
      </c>
      <c r="EE88" t="s">
        <v>1808</v>
      </c>
      <c r="EG88" t="s">
        <v>749</v>
      </c>
      <c r="EP88" t="s">
        <v>600</v>
      </c>
      <c r="EQ88" t="s">
        <v>790</v>
      </c>
      <c r="ET88" t="s">
        <v>549</v>
      </c>
    </row>
    <row r="89" spans="1:253" x14ac:dyDescent="0.25">
      <c r="A89" t="s">
        <v>2265</v>
      </c>
      <c r="B89" t="str">
        <f>"801542568283"</f>
        <v>801542568283</v>
      </c>
      <c r="C89" t="s">
        <v>2266</v>
      </c>
      <c r="D89" t="s">
        <v>2267</v>
      </c>
      <c r="E89" t="s">
        <v>515</v>
      </c>
      <c r="F89" t="s">
        <v>516</v>
      </c>
      <c r="G89" t="str">
        <f>"32"</f>
        <v>32</v>
      </c>
      <c r="H89" t="str">
        <f>"35.5"</f>
        <v>35.5</v>
      </c>
      <c r="I89" t="str">
        <f>"28.25"</f>
        <v>28.25</v>
      </c>
      <c r="J89" t="str">
        <f>"74.96"</f>
        <v>74.96</v>
      </c>
      <c r="K89" t="s">
        <v>2268</v>
      </c>
      <c r="N89" t="s">
        <v>1170</v>
      </c>
      <c r="O89" t="s">
        <v>2269</v>
      </c>
      <c r="T89" t="s">
        <v>402</v>
      </c>
      <c r="U89" t="s">
        <v>402</v>
      </c>
      <c r="V89" t="s">
        <v>2270</v>
      </c>
      <c r="W89" t="s">
        <v>2271</v>
      </c>
      <c r="X89" t="s">
        <v>2272</v>
      </c>
      <c r="Y89" t="s">
        <v>2273</v>
      </c>
      <c r="Z89" t="s">
        <v>2274</v>
      </c>
      <c r="AA89" t="s">
        <v>2275</v>
      </c>
      <c r="AB89" t="s">
        <v>2276</v>
      </c>
      <c r="AC89" t="s">
        <v>2277</v>
      </c>
      <c r="AD89" t="s">
        <v>2278</v>
      </c>
      <c r="AE89" t="s">
        <v>2279</v>
      </c>
      <c r="AF89" t="s">
        <v>2280</v>
      </c>
      <c r="AG89" t="s">
        <v>2281</v>
      </c>
      <c r="AH89" t="s">
        <v>2282</v>
      </c>
      <c r="AI89" t="s">
        <v>2283</v>
      </c>
      <c r="AJ89" t="s">
        <v>2284</v>
      </c>
      <c r="AK89" t="s">
        <v>2285</v>
      </c>
      <c r="BA89" t="str">
        <f>"1049"</f>
        <v>1049</v>
      </c>
      <c r="BB89" t="str">
        <f>"445"</f>
        <v>445</v>
      </c>
      <c r="BC89" t="s">
        <v>665</v>
      </c>
      <c r="BD89" t="str">
        <f t="shared" si="6"/>
        <v>1</v>
      </c>
      <c r="BE89" t="s">
        <v>389</v>
      </c>
      <c r="BF89" t="str">
        <f>"38.19"</f>
        <v>38.19</v>
      </c>
      <c r="BG89" t="str">
        <f>"34.45"</f>
        <v>34.45</v>
      </c>
      <c r="BH89" t="str">
        <f>"30.91"</f>
        <v>30.91</v>
      </c>
      <c r="BI89" t="str">
        <f>"96.12"</f>
        <v>96.12</v>
      </c>
      <c r="BY89" t="str">
        <f>"23.52"</f>
        <v>23.52</v>
      </c>
      <c r="BZ89" t="str">
        <f>"0.666"</f>
        <v>0.666</v>
      </c>
      <c r="CA89" t="s">
        <v>431</v>
      </c>
      <c r="CH89" t="s">
        <v>544</v>
      </c>
      <c r="CI89" t="s">
        <v>2170</v>
      </c>
      <c r="CJ89" t="s">
        <v>2071</v>
      </c>
      <c r="CK89" t="s">
        <v>1491</v>
      </c>
      <c r="CL89" t="s">
        <v>2286</v>
      </c>
      <c r="CM89" t="s">
        <v>1732</v>
      </c>
      <c r="CN89">
        <v>0</v>
      </c>
      <c r="CO89">
        <v>1</v>
      </c>
      <c r="CP89" t="s">
        <v>437</v>
      </c>
      <c r="CQ89" t="s">
        <v>631</v>
      </c>
      <c r="CU89" t="s">
        <v>2287</v>
      </c>
      <c r="CX89" t="s">
        <v>1980</v>
      </c>
      <c r="CY89" t="s">
        <v>1753</v>
      </c>
      <c r="CZ89">
        <v>0</v>
      </c>
      <c r="DD89">
        <v>25000</v>
      </c>
      <c r="DE89" t="s">
        <v>570</v>
      </c>
      <c r="DF89" t="s">
        <v>406</v>
      </c>
      <c r="DG89" t="s">
        <v>407</v>
      </c>
      <c r="DH89">
        <v>1</v>
      </c>
      <c r="DI89">
        <v>1</v>
      </c>
      <c r="DK89" t="s">
        <v>2288</v>
      </c>
      <c r="DL89">
        <v>0</v>
      </c>
      <c r="DM89" t="s">
        <v>538</v>
      </c>
      <c r="DN89" t="s">
        <v>2289</v>
      </c>
      <c r="DO89" t="s">
        <v>1290</v>
      </c>
      <c r="DP89" t="s">
        <v>544</v>
      </c>
      <c r="DT89" t="s">
        <v>1290</v>
      </c>
      <c r="DU89" t="s">
        <v>2072</v>
      </c>
      <c r="DV89" t="s">
        <v>546</v>
      </c>
      <c r="DW89" t="s">
        <v>1711</v>
      </c>
      <c r="DX89" t="s">
        <v>1358</v>
      </c>
      <c r="EA89" t="s">
        <v>951</v>
      </c>
      <c r="ED89" t="s">
        <v>406</v>
      </c>
      <c r="EE89" t="s">
        <v>454</v>
      </c>
      <c r="EF89" t="s">
        <v>2290</v>
      </c>
      <c r="EG89" t="s">
        <v>2290</v>
      </c>
      <c r="EP89" t="s">
        <v>2291</v>
      </c>
      <c r="EQ89" t="s">
        <v>2071</v>
      </c>
      <c r="ER89">
        <v>0</v>
      </c>
      <c r="ES89">
        <v>0</v>
      </c>
      <c r="EU89">
        <v>0</v>
      </c>
      <c r="HM89" t="s">
        <v>1754</v>
      </c>
    </row>
    <row r="90" spans="1:253" x14ac:dyDescent="0.25">
      <c r="A90" t="s">
        <v>2292</v>
      </c>
      <c r="B90" t="str">
        <f>"801542702540"</f>
        <v>801542702540</v>
      </c>
      <c r="C90" t="s">
        <v>2293</v>
      </c>
      <c r="D90" t="s">
        <v>2267</v>
      </c>
      <c r="E90" t="s">
        <v>515</v>
      </c>
      <c r="F90" t="s">
        <v>516</v>
      </c>
      <c r="G90" t="str">
        <f>"32"</f>
        <v>32</v>
      </c>
      <c r="H90" t="str">
        <f>"35.5"</f>
        <v>35.5</v>
      </c>
      <c r="I90" t="str">
        <f>"28.25"</f>
        <v>28.25</v>
      </c>
      <c r="J90" t="str">
        <f>"74.96"</f>
        <v>74.96</v>
      </c>
      <c r="K90" t="s">
        <v>2294</v>
      </c>
      <c r="N90" t="s">
        <v>1170</v>
      </c>
      <c r="O90" t="s">
        <v>2269</v>
      </c>
      <c r="T90" t="s">
        <v>402</v>
      </c>
      <c r="U90" t="s">
        <v>402</v>
      </c>
      <c r="V90" t="s">
        <v>2295</v>
      </c>
      <c r="W90" t="s">
        <v>2296</v>
      </c>
      <c r="X90" t="s">
        <v>2297</v>
      </c>
      <c r="Y90" t="s">
        <v>2298</v>
      </c>
      <c r="Z90" t="s">
        <v>2299</v>
      </c>
      <c r="AA90" t="s">
        <v>2300</v>
      </c>
      <c r="AB90" t="s">
        <v>2301</v>
      </c>
      <c r="AC90" t="s">
        <v>2302</v>
      </c>
      <c r="AD90" t="s">
        <v>2303</v>
      </c>
      <c r="AE90" t="s">
        <v>2304</v>
      </c>
      <c r="AF90" t="s">
        <v>2305</v>
      </c>
      <c r="AG90" t="s">
        <v>2306</v>
      </c>
      <c r="AH90" t="s">
        <v>2307</v>
      </c>
      <c r="BA90" t="str">
        <f>"1049"</f>
        <v>1049</v>
      </c>
      <c r="BB90" t="str">
        <f>"445"</f>
        <v>445</v>
      </c>
      <c r="BC90" t="s">
        <v>665</v>
      </c>
      <c r="BD90" t="str">
        <f t="shared" si="6"/>
        <v>1</v>
      </c>
      <c r="BE90" t="s">
        <v>389</v>
      </c>
      <c r="BF90" t="str">
        <f>"38.19"</f>
        <v>38.19</v>
      </c>
      <c r="BG90" t="str">
        <f>"34.45"</f>
        <v>34.45</v>
      </c>
      <c r="BH90" t="str">
        <f>"30.91"</f>
        <v>30.91</v>
      </c>
      <c r="BI90" t="str">
        <f>"96.12"</f>
        <v>96.12</v>
      </c>
      <c r="BY90" t="str">
        <f>"23.52"</f>
        <v>23.52</v>
      </c>
      <c r="BZ90" t="str">
        <f>"0.666"</f>
        <v>0.666</v>
      </c>
      <c r="CA90" t="s">
        <v>431</v>
      </c>
      <c r="CH90" t="s">
        <v>544</v>
      </c>
      <c r="CI90" t="s">
        <v>2170</v>
      </c>
      <c r="CJ90" t="s">
        <v>2071</v>
      </c>
      <c r="CK90" t="s">
        <v>1491</v>
      </c>
      <c r="CL90" t="s">
        <v>2286</v>
      </c>
      <c r="CM90" t="s">
        <v>1732</v>
      </c>
      <c r="CN90">
        <v>0</v>
      </c>
      <c r="CO90">
        <v>1</v>
      </c>
      <c r="CP90" t="s">
        <v>437</v>
      </c>
      <c r="CQ90" t="s">
        <v>631</v>
      </c>
      <c r="CU90" t="s">
        <v>2287</v>
      </c>
      <c r="CX90" t="s">
        <v>1980</v>
      </c>
      <c r="CY90" t="s">
        <v>1753</v>
      </c>
      <c r="CZ90">
        <v>0</v>
      </c>
      <c r="DD90">
        <v>25000</v>
      </c>
      <c r="DE90" t="s">
        <v>570</v>
      </c>
      <c r="DF90" t="s">
        <v>406</v>
      </c>
      <c r="DG90" t="s">
        <v>407</v>
      </c>
      <c r="DH90">
        <v>1</v>
      </c>
      <c r="DI90">
        <v>1</v>
      </c>
      <c r="DK90" t="s">
        <v>2288</v>
      </c>
      <c r="DL90">
        <v>0</v>
      </c>
      <c r="DM90" t="s">
        <v>538</v>
      </c>
      <c r="DN90" t="s">
        <v>2289</v>
      </c>
      <c r="DO90" t="s">
        <v>1290</v>
      </c>
      <c r="DP90" t="s">
        <v>544</v>
      </c>
      <c r="DT90" t="s">
        <v>1290</v>
      </c>
      <c r="DU90" t="s">
        <v>2072</v>
      </c>
      <c r="DV90" t="s">
        <v>546</v>
      </c>
      <c r="DW90" t="s">
        <v>1711</v>
      </c>
      <c r="DX90" t="s">
        <v>1358</v>
      </c>
      <c r="EA90" t="s">
        <v>951</v>
      </c>
      <c r="ED90" t="s">
        <v>406</v>
      </c>
      <c r="EE90" t="s">
        <v>454</v>
      </c>
      <c r="EF90" t="s">
        <v>2290</v>
      </c>
      <c r="EG90" t="s">
        <v>2290</v>
      </c>
      <c r="EP90" t="s">
        <v>2291</v>
      </c>
      <c r="EQ90" t="s">
        <v>2071</v>
      </c>
      <c r="ER90">
        <v>0</v>
      </c>
      <c r="ES90">
        <v>0</v>
      </c>
      <c r="EU90">
        <v>0</v>
      </c>
      <c r="HM90" t="s">
        <v>1754</v>
      </c>
    </row>
    <row r="91" spans="1:253" x14ac:dyDescent="0.25">
      <c r="A91" t="s">
        <v>2308</v>
      </c>
      <c r="B91" t="str">
        <f>"801542030513"</f>
        <v>801542030513</v>
      </c>
      <c r="C91" t="s">
        <v>2309</v>
      </c>
      <c r="D91" t="s">
        <v>769</v>
      </c>
      <c r="E91" t="s">
        <v>515</v>
      </c>
      <c r="F91" t="s">
        <v>516</v>
      </c>
      <c r="G91" t="str">
        <f>"32"</f>
        <v>32</v>
      </c>
      <c r="H91" t="str">
        <f>"35.5"</f>
        <v>35.5</v>
      </c>
      <c r="I91" t="str">
        <f>"28.25"</f>
        <v>28.25</v>
      </c>
      <c r="J91" t="str">
        <f>"62.61"</f>
        <v>62.61</v>
      </c>
      <c r="K91" t="s">
        <v>2310</v>
      </c>
      <c r="N91" t="s">
        <v>416</v>
      </c>
      <c r="T91" t="s">
        <v>373</v>
      </c>
      <c r="U91" t="s">
        <v>373</v>
      </c>
      <c r="V91" t="s">
        <v>2311</v>
      </c>
      <c r="W91" t="s">
        <v>2312</v>
      </c>
      <c r="X91" t="s">
        <v>2313</v>
      </c>
      <c r="Y91" t="s">
        <v>2314</v>
      </c>
      <c r="Z91" t="s">
        <v>2315</v>
      </c>
      <c r="AA91" t="s">
        <v>2316</v>
      </c>
      <c r="AB91" t="s">
        <v>2317</v>
      </c>
      <c r="AC91" t="s">
        <v>2318</v>
      </c>
      <c r="AD91" t="s">
        <v>2319</v>
      </c>
      <c r="AE91" t="s">
        <v>2320</v>
      </c>
      <c r="AF91" t="s">
        <v>2321</v>
      </c>
      <c r="AG91" t="s">
        <v>2322</v>
      </c>
      <c r="AH91" t="s">
        <v>2323</v>
      </c>
      <c r="AI91" t="s">
        <v>2324</v>
      </c>
      <c r="BA91" t="str">
        <f>"1649"</f>
        <v>1649</v>
      </c>
      <c r="BB91" t="str">
        <f>"695"</f>
        <v>695</v>
      </c>
      <c r="BC91" t="s">
        <v>388</v>
      </c>
      <c r="BD91" t="str">
        <f t="shared" si="6"/>
        <v>1</v>
      </c>
      <c r="BE91" t="s">
        <v>389</v>
      </c>
      <c r="BF91" t="str">
        <f>"36.02"</f>
        <v>36.02</v>
      </c>
      <c r="BG91" t="str">
        <f>"33.07"</f>
        <v>33.07</v>
      </c>
      <c r="BH91" t="str">
        <f>"28.74"</f>
        <v>28.74</v>
      </c>
      <c r="BI91" t="str">
        <f>"73.63"</f>
        <v>73.63</v>
      </c>
      <c r="BY91" t="str">
        <f>"19.81"</f>
        <v>19.81</v>
      </c>
      <c r="BZ91" t="str">
        <f>"0.561"</f>
        <v>0.561</v>
      </c>
      <c r="CA91" t="s">
        <v>431</v>
      </c>
      <c r="CH91" t="s">
        <v>544</v>
      </c>
      <c r="CI91" t="s">
        <v>2170</v>
      </c>
      <c r="CJ91" t="s">
        <v>2071</v>
      </c>
      <c r="CK91" t="s">
        <v>1491</v>
      </c>
      <c r="CL91" t="s">
        <v>2286</v>
      </c>
      <c r="CM91" t="s">
        <v>1732</v>
      </c>
      <c r="CN91">
        <v>0</v>
      </c>
      <c r="CO91">
        <v>1</v>
      </c>
      <c r="CP91" t="s">
        <v>437</v>
      </c>
      <c r="CQ91" t="s">
        <v>438</v>
      </c>
      <c r="CU91" t="s">
        <v>641</v>
      </c>
      <c r="CX91" t="s">
        <v>1980</v>
      </c>
      <c r="CY91" t="s">
        <v>1753</v>
      </c>
      <c r="CZ91">
        <v>0</v>
      </c>
      <c r="DD91">
        <v>0</v>
      </c>
      <c r="DE91" t="s">
        <v>570</v>
      </c>
      <c r="DF91" t="s">
        <v>406</v>
      </c>
      <c r="DG91" t="s">
        <v>407</v>
      </c>
      <c r="DH91">
        <v>1</v>
      </c>
      <c r="DI91">
        <v>1</v>
      </c>
      <c r="DK91" t="s">
        <v>2288</v>
      </c>
      <c r="DL91">
        <v>0</v>
      </c>
      <c r="DM91" t="s">
        <v>538</v>
      </c>
      <c r="DN91" t="s">
        <v>2289</v>
      </c>
      <c r="DO91" t="s">
        <v>1290</v>
      </c>
      <c r="DP91" t="s">
        <v>544</v>
      </c>
      <c r="DT91" t="s">
        <v>1290</v>
      </c>
      <c r="DU91" t="s">
        <v>2072</v>
      </c>
      <c r="DV91" t="s">
        <v>546</v>
      </c>
      <c r="DW91" t="s">
        <v>1711</v>
      </c>
      <c r="DX91" t="s">
        <v>1358</v>
      </c>
      <c r="EA91" t="s">
        <v>951</v>
      </c>
      <c r="ED91" t="s">
        <v>406</v>
      </c>
      <c r="EE91" t="s">
        <v>454</v>
      </c>
      <c r="EF91" t="s">
        <v>1190</v>
      </c>
      <c r="EG91" t="s">
        <v>641</v>
      </c>
      <c r="EP91" t="s">
        <v>2291</v>
      </c>
      <c r="EQ91" t="s">
        <v>2071</v>
      </c>
      <c r="ER91">
        <v>0</v>
      </c>
      <c r="ES91">
        <v>0</v>
      </c>
      <c r="EU91">
        <v>0</v>
      </c>
      <c r="HM91" t="s">
        <v>1754</v>
      </c>
    </row>
    <row r="92" spans="1:253" x14ac:dyDescent="0.25">
      <c r="A92" t="s">
        <v>2325</v>
      </c>
      <c r="B92" t="str">
        <f>"801542030506"</f>
        <v>801542030506</v>
      </c>
      <c r="C92" t="s">
        <v>2326</v>
      </c>
      <c r="D92" t="s">
        <v>769</v>
      </c>
      <c r="E92" t="s">
        <v>515</v>
      </c>
      <c r="F92" t="s">
        <v>516</v>
      </c>
      <c r="G92" t="str">
        <f>"32"</f>
        <v>32</v>
      </c>
      <c r="H92" t="str">
        <f>"35.5"</f>
        <v>35.5</v>
      </c>
      <c r="I92" t="str">
        <f>"28.25"</f>
        <v>28.25</v>
      </c>
      <c r="J92" t="str">
        <f>"62.61"</f>
        <v>62.61</v>
      </c>
      <c r="K92" t="s">
        <v>1576</v>
      </c>
      <c r="N92" t="s">
        <v>416</v>
      </c>
      <c r="T92" t="s">
        <v>373</v>
      </c>
      <c r="U92" t="s">
        <v>373</v>
      </c>
      <c r="V92" t="s">
        <v>2327</v>
      </c>
      <c r="W92" t="s">
        <v>2328</v>
      </c>
      <c r="X92" t="s">
        <v>2329</v>
      </c>
      <c r="Y92" t="s">
        <v>2330</v>
      </c>
      <c r="Z92" t="s">
        <v>2331</v>
      </c>
      <c r="AA92" t="s">
        <v>2332</v>
      </c>
      <c r="AB92" t="s">
        <v>2333</v>
      </c>
      <c r="AC92" t="s">
        <v>2334</v>
      </c>
      <c r="AD92" t="s">
        <v>2335</v>
      </c>
      <c r="AE92" t="s">
        <v>2336</v>
      </c>
      <c r="AF92" t="s">
        <v>2337</v>
      </c>
      <c r="AG92" t="s">
        <v>2338</v>
      </c>
      <c r="BA92" t="str">
        <f>"1649"</f>
        <v>1649</v>
      </c>
      <c r="BB92" t="str">
        <f>"695"</f>
        <v>695</v>
      </c>
      <c r="BC92" t="s">
        <v>388</v>
      </c>
      <c r="BD92" t="str">
        <f t="shared" si="6"/>
        <v>1</v>
      </c>
      <c r="BE92" t="s">
        <v>389</v>
      </c>
      <c r="BF92" t="str">
        <f>"36.02"</f>
        <v>36.02</v>
      </c>
      <c r="BG92" t="str">
        <f>"33.07"</f>
        <v>33.07</v>
      </c>
      <c r="BH92" t="str">
        <f>"28.74"</f>
        <v>28.74</v>
      </c>
      <c r="BI92" t="str">
        <f>"73.63"</f>
        <v>73.63</v>
      </c>
      <c r="BY92" t="str">
        <f>"19.81"</f>
        <v>19.81</v>
      </c>
      <c r="BZ92" t="str">
        <f>"0.561"</f>
        <v>0.561</v>
      </c>
      <c r="CA92" t="s">
        <v>390</v>
      </c>
      <c r="CH92" t="s">
        <v>544</v>
      </c>
      <c r="CI92" t="s">
        <v>2170</v>
      </c>
      <c r="CJ92" t="s">
        <v>2071</v>
      </c>
      <c r="CK92" t="s">
        <v>1491</v>
      </c>
      <c r="CL92" t="s">
        <v>2286</v>
      </c>
      <c r="CM92" t="s">
        <v>1732</v>
      </c>
      <c r="CN92">
        <v>0</v>
      </c>
      <c r="CO92">
        <v>1</v>
      </c>
      <c r="CP92" t="s">
        <v>437</v>
      </c>
      <c r="CQ92" t="s">
        <v>438</v>
      </c>
      <c r="CU92" t="s">
        <v>641</v>
      </c>
      <c r="CX92" t="s">
        <v>1980</v>
      </c>
      <c r="CY92" t="s">
        <v>1753</v>
      </c>
      <c r="CZ92">
        <v>0</v>
      </c>
      <c r="DD92">
        <v>0</v>
      </c>
      <c r="DE92" t="s">
        <v>570</v>
      </c>
      <c r="DF92" t="s">
        <v>406</v>
      </c>
      <c r="DG92" t="s">
        <v>407</v>
      </c>
      <c r="DH92">
        <v>1</v>
      </c>
      <c r="DI92">
        <v>1</v>
      </c>
      <c r="DK92" t="s">
        <v>2288</v>
      </c>
      <c r="DL92">
        <v>0</v>
      </c>
      <c r="DM92" t="s">
        <v>538</v>
      </c>
      <c r="DN92" t="s">
        <v>2289</v>
      </c>
      <c r="DO92" t="s">
        <v>1290</v>
      </c>
      <c r="DP92" t="s">
        <v>544</v>
      </c>
      <c r="DT92" t="s">
        <v>1290</v>
      </c>
      <c r="DU92" t="s">
        <v>2072</v>
      </c>
      <c r="DV92" t="s">
        <v>546</v>
      </c>
      <c r="DW92" t="s">
        <v>1711</v>
      </c>
      <c r="DX92" t="s">
        <v>1358</v>
      </c>
      <c r="EA92" t="s">
        <v>951</v>
      </c>
      <c r="ED92" t="s">
        <v>406</v>
      </c>
      <c r="EE92" t="s">
        <v>454</v>
      </c>
      <c r="EF92" t="s">
        <v>1190</v>
      </c>
      <c r="EG92" t="s">
        <v>641</v>
      </c>
      <c r="EP92" t="s">
        <v>2291</v>
      </c>
      <c r="EQ92" t="s">
        <v>2071</v>
      </c>
      <c r="ER92">
        <v>0</v>
      </c>
      <c r="ES92">
        <v>0</v>
      </c>
      <c r="EU92">
        <v>0</v>
      </c>
      <c r="HM92" t="s">
        <v>1754</v>
      </c>
    </row>
    <row r="93" spans="1:253" x14ac:dyDescent="0.25">
      <c r="A93" t="s">
        <v>2339</v>
      </c>
      <c r="B93" t="str">
        <f>"801542870171"</f>
        <v>801542870171</v>
      </c>
      <c r="C93" t="s">
        <v>2340</v>
      </c>
      <c r="D93" t="s">
        <v>769</v>
      </c>
      <c r="E93" t="s">
        <v>515</v>
      </c>
      <c r="F93" t="s">
        <v>516</v>
      </c>
      <c r="G93" t="str">
        <f>"27.5"</f>
        <v>27.5</v>
      </c>
      <c r="H93" t="str">
        <f>"36"</f>
        <v>36</v>
      </c>
      <c r="I93" t="str">
        <f>"36"</f>
        <v>36</v>
      </c>
      <c r="J93" t="str">
        <f>"57.32"</f>
        <v>57.32</v>
      </c>
      <c r="K93" t="s">
        <v>2341</v>
      </c>
      <c r="L93" t="s">
        <v>1932</v>
      </c>
      <c r="N93" t="s">
        <v>416</v>
      </c>
      <c r="O93" t="s">
        <v>519</v>
      </c>
      <c r="T93" t="s">
        <v>373</v>
      </c>
      <c r="U93" t="s">
        <v>373</v>
      </c>
      <c r="V93" t="s">
        <v>2342</v>
      </c>
      <c r="W93" t="s">
        <v>2343</v>
      </c>
      <c r="X93" t="s">
        <v>2344</v>
      </c>
      <c r="Y93" t="s">
        <v>2345</v>
      </c>
      <c r="Z93" t="s">
        <v>2346</v>
      </c>
      <c r="AA93" t="s">
        <v>2347</v>
      </c>
      <c r="AB93" t="s">
        <v>2348</v>
      </c>
      <c r="AC93" t="s">
        <v>2349</v>
      </c>
      <c r="AD93" t="s">
        <v>2350</v>
      </c>
      <c r="AE93" t="s">
        <v>2351</v>
      </c>
      <c r="AF93" t="s">
        <v>2352</v>
      </c>
      <c r="AG93" t="s">
        <v>2353</v>
      </c>
      <c r="AH93" t="s">
        <v>2354</v>
      </c>
      <c r="AI93" t="s">
        <v>2355</v>
      </c>
      <c r="AJ93" t="s">
        <v>2356</v>
      </c>
      <c r="AK93" t="s">
        <v>2357</v>
      </c>
      <c r="BA93" t="str">
        <f>"1899"</f>
        <v>1899</v>
      </c>
      <c r="BB93" t="str">
        <f>"800"</f>
        <v>800</v>
      </c>
      <c r="BC93" t="s">
        <v>388</v>
      </c>
      <c r="BD93" t="str">
        <f t="shared" si="6"/>
        <v>1</v>
      </c>
      <c r="BE93" t="s">
        <v>1550</v>
      </c>
      <c r="BF93" t="str">
        <f>"29.92"</f>
        <v>29.92</v>
      </c>
      <c r="BG93" t="str">
        <f>"38.98"</f>
        <v>38.98</v>
      </c>
      <c r="BH93" t="str">
        <f>"37.4"</f>
        <v>37.4</v>
      </c>
      <c r="BI93" t="str">
        <f>"80.47"</f>
        <v>80.47</v>
      </c>
      <c r="BY93" t="str">
        <f>"21.4"</f>
        <v>21.4</v>
      </c>
      <c r="BZ93" t="str">
        <f>"0.606"</f>
        <v>0.606</v>
      </c>
      <c r="CA93" t="s">
        <v>495</v>
      </c>
      <c r="CK93" t="s">
        <v>1134</v>
      </c>
      <c r="CL93" t="s">
        <v>449</v>
      </c>
      <c r="CN93">
        <v>0</v>
      </c>
      <c r="CO93">
        <v>1</v>
      </c>
      <c r="CP93" t="s">
        <v>437</v>
      </c>
      <c r="CQ93" t="s">
        <v>438</v>
      </c>
      <c r="CX93" t="s">
        <v>403</v>
      </c>
      <c r="CY93" t="s">
        <v>2358</v>
      </c>
      <c r="CZ93">
        <v>0</v>
      </c>
      <c r="DD93">
        <v>0</v>
      </c>
      <c r="DE93" t="s">
        <v>439</v>
      </c>
      <c r="DF93" t="s">
        <v>632</v>
      </c>
      <c r="DH93">
        <v>1</v>
      </c>
      <c r="DI93">
        <v>1</v>
      </c>
      <c r="DK93" t="s">
        <v>2359</v>
      </c>
      <c r="DL93">
        <v>0</v>
      </c>
      <c r="DM93" t="s">
        <v>538</v>
      </c>
      <c r="DN93" t="s">
        <v>600</v>
      </c>
      <c r="DO93" t="s">
        <v>450</v>
      </c>
      <c r="DP93" t="s">
        <v>1092</v>
      </c>
      <c r="DT93" t="s">
        <v>1094</v>
      </c>
      <c r="DX93" t="s">
        <v>2360</v>
      </c>
      <c r="DY93" t="s">
        <v>855</v>
      </c>
      <c r="DZ93" t="s">
        <v>828</v>
      </c>
      <c r="EA93" t="s">
        <v>449</v>
      </c>
      <c r="ED93" t="s">
        <v>632</v>
      </c>
      <c r="EG93" t="s">
        <v>2361</v>
      </c>
      <c r="EP93" t="s">
        <v>603</v>
      </c>
      <c r="EQ93" t="s">
        <v>600</v>
      </c>
      <c r="ER93">
        <v>0</v>
      </c>
      <c r="ES93">
        <v>0</v>
      </c>
      <c r="ET93" t="s">
        <v>643</v>
      </c>
      <c r="EU93" t="s">
        <v>474</v>
      </c>
      <c r="IR93" t="s">
        <v>2362</v>
      </c>
      <c r="IS93" t="s">
        <v>578</v>
      </c>
    </row>
    <row r="94" spans="1:253" x14ac:dyDescent="0.25">
      <c r="A94" t="s">
        <v>2363</v>
      </c>
      <c r="B94" t="str">
        <f>"801542690649"</f>
        <v>801542690649</v>
      </c>
      <c r="C94" t="s">
        <v>2364</v>
      </c>
      <c r="D94" t="s">
        <v>1592</v>
      </c>
      <c r="E94" t="s">
        <v>515</v>
      </c>
      <c r="F94" t="s">
        <v>516</v>
      </c>
      <c r="G94" t="str">
        <f>"32"</f>
        <v>32</v>
      </c>
      <c r="H94" t="str">
        <f>"32.75"</f>
        <v>32.75</v>
      </c>
      <c r="I94" t="str">
        <f>"30.5"</f>
        <v>30.5</v>
      </c>
      <c r="J94" t="str">
        <f>"87.08"</f>
        <v>87.08</v>
      </c>
      <c r="K94" t="s">
        <v>414</v>
      </c>
      <c r="L94" t="s">
        <v>2365</v>
      </c>
      <c r="N94" t="s">
        <v>416</v>
      </c>
      <c r="O94" t="s">
        <v>775</v>
      </c>
      <c r="T94" t="s">
        <v>373</v>
      </c>
      <c r="U94" t="s">
        <v>373</v>
      </c>
      <c r="V94" t="s">
        <v>2366</v>
      </c>
      <c r="W94" t="s">
        <v>2367</v>
      </c>
      <c r="X94" t="s">
        <v>2368</v>
      </c>
      <c r="Y94" t="s">
        <v>2369</v>
      </c>
      <c r="Z94" t="s">
        <v>2370</v>
      </c>
      <c r="AA94" t="s">
        <v>2371</v>
      </c>
      <c r="AB94" t="s">
        <v>2372</v>
      </c>
      <c r="AC94" t="s">
        <v>2373</v>
      </c>
      <c r="AD94" t="s">
        <v>426</v>
      </c>
      <c r="AE94" t="s">
        <v>2374</v>
      </c>
      <c r="AF94" t="s">
        <v>2375</v>
      </c>
      <c r="AG94" t="s">
        <v>2376</v>
      </c>
      <c r="AH94" t="s">
        <v>2377</v>
      </c>
      <c r="AI94" t="s">
        <v>2378</v>
      </c>
      <c r="BA94" t="str">
        <f>"1649"</f>
        <v>1649</v>
      </c>
      <c r="BB94" t="str">
        <f>"695"</f>
        <v>695</v>
      </c>
      <c r="BC94" t="s">
        <v>665</v>
      </c>
      <c r="BD94" t="str">
        <f t="shared" si="6"/>
        <v>1</v>
      </c>
      <c r="BE94" t="s">
        <v>1266</v>
      </c>
      <c r="BF94" t="str">
        <f>"33.07"</f>
        <v>33.07</v>
      </c>
      <c r="BG94" t="str">
        <f>"33.07"</f>
        <v>33.07</v>
      </c>
      <c r="BH94" t="str">
        <f>"26.38"</f>
        <v>26.38</v>
      </c>
      <c r="BI94" t="str">
        <f>"97"</f>
        <v>97</v>
      </c>
      <c r="BY94" t="str">
        <f>"16.7"</f>
        <v>16.7</v>
      </c>
      <c r="BZ94" t="str">
        <f>"0.473"</f>
        <v>0.473</v>
      </c>
      <c r="CA94" t="s">
        <v>431</v>
      </c>
      <c r="CK94" t="s">
        <v>2379</v>
      </c>
      <c r="CL94" t="s">
        <v>396</v>
      </c>
      <c r="CM94" t="s">
        <v>750</v>
      </c>
      <c r="CN94">
        <v>0</v>
      </c>
      <c r="CO94">
        <v>1</v>
      </c>
      <c r="CP94" t="s">
        <v>437</v>
      </c>
      <c r="CQ94" t="s">
        <v>438</v>
      </c>
      <c r="CX94" t="s">
        <v>1609</v>
      </c>
      <c r="CY94" t="s">
        <v>1753</v>
      </c>
      <c r="CZ94">
        <v>0</v>
      </c>
      <c r="DD94">
        <v>0</v>
      </c>
      <c r="DE94" t="s">
        <v>570</v>
      </c>
      <c r="DF94" t="s">
        <v>632</v>
      </c>
      <c r="DG94" t="s">
        <v>2380</v>
      </c>
      <c r="DH94">
        <v>1</v>
      </c>
      <c r="DI94">
        <v>1</v>
      </c>
      <c r="DK94" t="s">
        <v>2381</v>
      </c>
      <c r="DL94">
        <v>0</v>
      </c>
      <c r="DM94" t="s">
        <v>538</v>
      </c>
      <c r="DN94" t="s">
        <v>2382</v>
      </c>
      <c r="DO94" t="s">
        <v>543</v>
      </c>
      <c r="DP94" t="s">
        <v>1273</v>
      </c>
      <c r="DT94" t="s">
        <v>2072</v>
      </c>
      <c r="DU94" t="s">
        <v>2383</v>
      </c>
      <c r="DV94" t="s">
        <v>1999</v>
      </c>
      <c r="DW94" t="s">
        <v>1732</v>
      </c>
      <c r="DX94" t="s">
        <v>2384</v>
      </c>
      <c r="EA94" t="s">
        <v>543</v>
      </c>
      <c r="ED94" t="s">
        <v>406</v>
      </c>
      <c r="EE94" t="s">
        <v>407</v>
      </c>
      <c r="EF94" t="s">
        <v>2385</v>
      </c>
      <c r="EG94" t="s">
        <v>2128</v>
      </c>
      <c r="ER94">
        <v>0</v>
      </c>
      <c r="ES94">
        <v>0</v>
      </c>
      <c r="ET94" t="s">
        <v>549</v>
      </c>
      <c r="EU94">
        <v>0</v>
      </c>
      <c r="HM94" t="s">
        <v>1754</v>
      </c>
    </row>
    <row r="95" spans="1:253" x14ac:dyDescent="0.25">
      <c r="A95" t="s">
        <v>2386</v>
      </c>
      <c r="B95" t="str">
        <f>"801542720643"</f>
        <v>801542720643</v>
      </c>
      <c r="C95" t="s">
        <v>2387</v>
      </c>
      <c r="D95" t="s">
        <v>835</v>
      </c>
      <c r="E95" t="s">
        <v>2388</v>
      </c>
      <c r="G95" t="str">
        <f t="shared" ref="G95:H101" si="7">"22"</f>
        <v>22</v>
      </c>
      <c r="H95" t="str">
        <f t="shared" si="7"/>
        <v>22</v>
      </c>
      <c r="I95" t="str">
        <f t="shared" ref="I95:I101" si="8">"18.5"</f>
        <v>18.5</v>
      </c>
      <c r="J95" t="str">
        <f t="shared" ref="J95:J101" si="9">"13.23"</f>
        <v>13.23</v>
      </c>
      <c r="K95" t="s">
        <v>2389</v>
      </c>
      <c r="L95" t="s">
        <v>1932</v>
      </c>
      <c r="N95" t="s">
        <v>416</v>
      </c>
      <c r="O95" t="s">
        <v>519</v>
      </c>
      <c r="T95" t="s">
        <v>373</v>
      </c>
      <c r="U95" t="s">
        <v>373</v>
      </c>
      <c r="V95" t="s">
        <v>2390</v>
      </c>
      <c r="W95" t="s">
        <v>2391</v>
      </c>
      <c r="X95" t="s">
        <v>2392</v>
      </c>
      <c r="Y95" t="s">
        <v>2393</v>
      </c>
      <c r="Z95" t="s">
        <v>2394</v>
      </c>
      <c r="AA95" t="s">
        <v>2395</v>
      </c>
      <c r="AB95" t="s">
        <v>2396</v>
      </c>
      <c r="AC95" t="s">
        <v>2397</v>
      </c>
      <c r="BA95" t="str">
        <f>"899"</f>
        <v>899</v>
      </c>
      <c r="BB95" t="str">
        <f>"380"</f>
        <v>380</v>
      </c>
      <c r="BC95" t="s">
        <v>388</v>
      </c>
      <c r="BD95" t="str">
        <f t="shared" si="6"/>
        <v>1</v>
      </c>
      <c r="BE95" t="s">
        <v>389</v>
      </c>
      <c r="BF95" t="str">
        <f t="shared" ref="BF95:BG101" si="10">"22.44"</f>
        <v>22.44</v>
      </c>
      <c r="BG95" t="str">
        <f t="shared" si="10"/>
        <v>22.44</v>
      </c>
      <c r="BH95" t="str">
        <f t="shared" ref="BH95:BH101" si="11">"20.08"</f>
        <v>20.08</v>
      </c>
      <c r="BI95" t="str">
        <f t="shared" ref="BI95:BI101" si="12">"22.05"</f>
        <v>22.05</v>
      </c>
      <c r="BY95" t="str">
        <f t="shared" ref="BY95:BY101" si="13">"5.86"</f>
        <v>5.86</v>
      </c>
      <c r="BZ95" t="str">
        <f t="shared" ref="BZ95:BZ101" si="14">"0.166"</f>
        <v>0.166</v>
      </c>
      <c r="CA95" t="s">
        <v>390</v>
      </c>
      <c r="CK95" t="s">
        <v>601</v>
      </c>
      <c r="CL95" t="s">
        <v>396</v>
      </c>
      <c r="CM95" t="s">
        <v>601</v>
      </c>
      <c r="CO95">
        <v>0</v>
      </c>
      <c r="CQ95" t="s">
        <v>438</v>
      </c>
      <c r="CX95" t="s">
        <v>2398</v>
      </c>
      <c r="CY95" t="s">
        <v>400</v>
      </c>
      <c r="CZ95">
        <v>0</v>
      </c>
      <c r="DD95">
        <v>0</v>
      </c>
      <c r="DE95" t="s">
        <v>570</v>
      </c>
      <c r="DH95">
        <v>0</v>
      </c>
      <c r="DI95">
        <v>1</v>
      </c>
      <c r="DJ95" t="s">
        <v>471</v>
      </c>
      <c r="DK95" t="s">
        <v>2399</v>
      </c>
      <c r="DL95">
        <v>0</v>
      </c>
      <c r="DM95" t="s">
        <v>538</v>
      </c>
      <c r="DX95" t="s">
        <v>2400</v>
      </c>
      <c r="EG95" t="s">
        <v>2029</v>
      </c>
    </row>
    <row r="96" spans="1:253" x14ac:dyDescent="0.25">
      <c r="A96" t="s">
        <v>2401</v>
      </c>
      <c r="B96" t="str">
        <f>"801542668181"</f>
        <v>801542668181</v>
      </c>
      <c r="C96" t="s">
        <v>2402</v>
      </c>
      <c r="D96" t="s">
        <v>835</v>
      </c>
      <c r="E96" t="s">
        <v>2388</v>
      </c>
      <c r="G96" t="str">
        <f t="shared" si="7"/>
        <v>22</v>
      </c>
      <c r="H96" t="str">
        <f t="shared" si="7"/>
        <v>22</v>
      </c>
      <c r="I96" t="str">
        <f t="shared" si="8"/>
        <v>18.5</v>
      </c>
      <c r="J96" t="str">
        <f t="shared" si="9"/>
        <v>13.23</v>
      </c>
      <c r="K96" t="s">
        <v>2268</v>
      </c>
      <c r="L96" t="s">
        <v>2403</v>
      </c>
      <c r="N96" t="s">
        <v>1170</v>
      </c>
      <c r="O96" t="s">
        <v>2269</v>
      </c>
      <c r="P96" t="s">
        <v>775</v>
      </c>
      <c r="T96" t="s">
        <v>402</v>
      </c>
      <c r="U96" t="s">
        <v>402</v>
      </c>
      <c r="V96" t="s">
        <v>2404</v>
      </c>
      <c r="W96" t="s">
        <v>2405</v>
      </c>
      <c r="X96" t="s">
        <v>2406</v>
      </c>
      <c r="Y96" t="s">
        <v>2407</v>
      </c>
      <c r="Z96" t="s">
        <v>2408</v>
      </c>
      <c r="AA96" t="s">
        <v>2409</v>
      </c>
      <c r="AB96" t="s">
        <v>2410</v>
      </c>
      <c r="AC96" t="s">
        <v>2411</v>
      </c>
      <c r="AD96" t="s">
        <v>2412</v>
      </c>
      <c r="AE96" t="s">
        <v>2413</v>
      </c>
      <c r="AF96" t="s">
        <v>2414</v>
      </c>
      <c r="AG96" t="s">
        <v>2415</v>
      </c>
      <c r="BA96" t="str">
        <f>"499"</f>
        <v>499</v>
      </c>
      <c r="BB96" t="str">
        <f>"210"</f>
        <v>210</v>
      </c>
      <c r="BC96" t="s">
        <v>388</v>
      </c>
      <c r="BD96" t="str">
        <f t="shared" si="6"/>
        <v>1</v>
      </c>
      <c r="BE96" t="s">
        <v>389</v>
      </c>
      <c r="BF96" t="str">
        <f t="shared" si="10"/>
        <v>22.44</v>
      </c>
      <c r="BG96" t="str">
        <f t="shared" si="10"/>
        <v>22.44</v>
      </c>
      <c r="BH96" t="str">
        <f t="shared" si="11"/>
        <v>20.08</v>
      </c>
      <c r="BI96" t="str">
        <f t="shared" si="12"/>
        <v>22.05</v>
      </c>
      <c r="BY96" t="str">
        <f t="shared" si="13"/>
        <v>5.86</v>
      </c>
      <c r="BZ96" t="str">
        <f t="shared" si="14"/>
        <v>0.166</v>
      </c>
      <c r="CA96" t="s">
        <v>495</v>
      </c>
      <c r="CK96" t="s">
        <v>601</v>
      </c>
      <c r="CL96" t="s">
        <v>396</v>
      </c>
      <c r="CM96" t="s">
        <v>601</v>
      </c>
      <c r="CO96">
        <v>0</v>
      </c>
      <c r="CQ96" t="s">
        <v>631</v>
      </c>
      <c r="CX96" t="s">
        <v>2398</v>
      </c>
      <c r="CY96" t="s">
        <v>400</v>
      </c>
      <c r="CZ96">
        <v>0</v>
      </c>
      <c r="DD96">
        <v>25000</v>
      </c>
      <c r="DE96" t="s">
        <v>570</v>
      </c>
      <c r="DH96">
        <v>0</v>
      </c>
      <c r="DI96">
        <v>1</v>
      </c>
      <c r="DJ96" t="s">
        <v>471</v>
      </c>
      <c r="DK96" t="s">
        <v>2399</v>
      </c>
      <c r="DL96">
        <v>0</v>
      </c>
      <c r="DM96" t="s">
        <v>538</v>
      </c>
      <c r="DX96" t="s">
        <v>2400</v>
      </c>
      <c r="EG96" t="s">
        <v>2029</v>
      </c>
    </row>
    <row r="97" spans="1:246" x14ac:dyDescent="0.25">
      <c r="A97" t="s">
        <v>2416</v>
      </c>
      <c r="B97" t="str">
        <f>"801542668211"</f>
        <v>801542668211</v>
      </c>
      <c r="C97" t="s">
        <v>2417</v>
      </c>
      <c r="D97" t="s">
        <v>835</v>
      </c>
      <c r="E97" t="s">
        <v>2388</v>
      </c>
      <c r="G97" t="str">
        <f t="shared" si="7"/>
        <v>22</v>
      </c>
      <c r="H97" t="str">
        <f t="shared" si="7"/>
        <v>22</v>
      </c>
      <c r="I97" t="str">
        <f t="shared" si="8"/>
        <v>18.5</v>
      </c>
      <c r="J97" t="str">
        <f t="shared" si="9"/>
        <v>13.23</v>
      </c>
      <c r="K97" t="s">
        <v>2294</v>
      </c>
      <c r="L97" t="s">
        <v>585</v>
      </c>
      <c r="N97" t="s">
        <v>1170</v>
      </c>
      <c r="O97" t="s">
        <v>2269</v>
      </c>
      <c r="P97" t="s">
        <v>775</v>
      </c>
      <c r="T97" t="s">
        <v>402</v>
      </c>
      <c r="U97" t="s">
        <v>402</v>
      </c>
      <c r="V97" t="s">
        <v>2418</v>
      </c>
      <c r="W97" t="s">
        <v>2419</v>
      </c>
      <c r="X97" t="s">
        <v>2420</v>
      </c>
      <c r="Y97" t="s">
        <v>2421</v>
      </c>
      <c r="Z97" t="s">
        <v>2422</v>
      </c>
      <c r="AA97" t="s">
        <v>2423</v>
      </c>
      <c r="AB97" t="s">
        <v>2424</v>
      </c>
      <c r="AC97" t="s">
        <v>2425</v>
      </c>
      <c r="AD97" t="s">
        <v>2426</v>
      </c>
      <c r="AE97" t="s">
        <v>2427</v>
      </c>
      <c r="AF97" t="s">
        <v>2428</v>
      </c>
      <c r="AG97" t="s">
        <v>2429</v>
      </c>
      <c r="AH97" t="s">
        <v>2430</v>
      </c>
      <c r="AI97" t="s">
        <v>2431</v>
      </c>
      <c r="BA97" t="str">
        <f>"499"</f>
        <v>499</v>
      </c>
      <c r="BB97" t="str">
        <f>"210"</f>
        <v>210</v>
      </c>
      <c r="BC97" t="s">
        <v>388</v>
      </c>
      <c r="BD97" t="str">
        <f t="shared" si="6"/>
        <v>1</v>
      </c>
      <c r="BE97" t="s">
        <v>389</v>
      </c>
      <c r="BF97" t="str">
        <f t="shared" si="10"/>
        <v>22.44</v>
      </c>
      <c r="BG97" t="str">
        <f t="shared" si="10"/>
        <v>22.44</v>
      </c>
      <c r="BH97" t="str">
        <f t="shared" si="11"/>
        <v>20.08</v>
      </c>
      <c r="BI97" t="str">
        <f t="shared" si="12"/>
        <v>22.05</v>
      </c>
      <c r="BY97" t="str">
        <f t="shared" si="13"/>
        <v>5.86</v>
      </c>
      <c r="BZ97" t="str">
        <f t="shared" si="14"/>
        <v>0.166</v>
      </c>
      <c r="CA97" t="s">
        <v>431</v>
      </c>
      <c r="CK97" t="s">
        <v>601</v>
      </c>
      <c r="CL97" t="s">
        <v>396</v>
      </c>
      <c r="CM97" t="s">
        <v>601</v>
      </c>
      <c r="CO97">
        <v>0</v>
      </c>
      <c r="CQ97" t="s">
        <v>631</v>
      </c>
      <c r="CX97" t="s">
        <v>2398</v>
      </c>
      <c r="CY97" t="s">
        <v>400</v>
      </c>
      <c r="CZ97">
        <v>0</v>
      </c>
      <c r="DD97">
        <v>25000</v>
      </c>
      <c r="DE97" t="s">
        <v>570</v>
      </c>
      <c r="DH97">
        <v>0</v>
      </c>
      <c r="DI97">
        <v>1</v>
      </c>
      <c r="DJ97" t="s">
        <v>471</v>
      </c>
      <c r="DK97" t="s">
        <v>2399</v>
      </c>
      <c r="DL97">
        <v>0</v>
      </c>
      <c r="DM97" t="s">
        <v>538</v>
      </c>
      <c r="DX97" t="s">
        <v>2400</v>
      </c>
      <c r="EG97" t="s">
        <v>2029</v>
      </c>
    </row>
    <row r="98" spans="1:246" x14ac:dyDescent="0.25">
      <c r="A98" t="s">
        <v>2432</v>
      </c>
      <c r="B98" t="str">
        <f>"801542742287"</f>
        <v>801542742287</v>
      </c>
      <c r="C98" t="s">
        <v>2433</v>
      </c>
      <c r="D98" t="s">
        <v>835</v>
      </c>
      <c r="E98" t="s">
        <v>2388</v>
      </c>
      <c r="G98" t="str">
        <f t="shared" si="7"/>
        <v>22</v>
      </c>
      <c r="H98" t="str">
        <f t="shared" si="7"/>
        <v>22</v>
      </c>
      <c r="I98" t="str">
        <f t="shared" si="8"/>
        <v>18.5</v>
      </c>
      <c r="J98" t="str">
        <f t="shared" si="9"/>
        <v>13.23</v>
      </c>
      <c r="K98" t="s">
        <v>2434</v>
      </c>
      <c r="L98" t="s">
        <v>585</v>
      </c>
      <c r="N98" t="s">
        <v>416</v>
      </c>
      <c r="O98" t="s">
        <v>775</v>
      </c>
      <c r="T98" t="s">
        <v>373</v>
      </c>
      <c r="U98" t="s">
        <v>373</v>
      </c>
      <c r="V98" t="s">
        <v>2435</v>
      </c>
      <c r="W98" t="s">
        <v>2436</v>
      </c>
      <c r="X98" t="s">
        <v>2437</v>
      </c>
      <c r="Y98" t="s">
        <v>2438</v>
      </c>
      <c r="Z98" t="s">
        <v>2439</v>
      </c>
      <c r="AA98" t="s">
        <v>2440</v>
      </c>
      <c r="AB98" t="s">
        <v>2441</v>
      </c>
      <c r="AC98" t="s">
        <v>2442</v>
      </c>
      <c r="AD98" t="s">
        <v>2443</v>
      </c>
      <c r="AE98" t="s">
        <v>2444</v>
      </c>
      <c r="BA98" t="str">
        <f>"849"</f>
        <v>849</v>
      </c>
      <c r="BB98" t="str">
        <f>"360"</f>
        <v>360</v>
      </c>
      <c r="BC98" t="s">
        <v>388</v>
      </c>
      <c r="BD98" t="str">
        <f t="shared" si="6"/>
        <v>1</v>
      </c>
      <c r="BE98" t="s">
        <v>389</v>
      </c>
      <c r="BF98" t="str">
        <f t="shared" si="10"/>
        <v>22.44</v>
      </c>
      <c r="BG98" t="str">
        <f t="shared" si="10"/>
        <v>22.44</v>
      </c>
      <c r="BH98" t="str">
        <f t="shared" si="11"/>
        <v>20.08</v>
      </c>
      <c r="BI98" t="str">
        <f t="shared" si="12"/>
        <v>22.05</v>
      </c>
      <c r="BY98" t="str">
        <f t="shared" si="13"/>
        <v>5.86</v>
      </c>
      <c r="BZ98" t="str">
        <f t="shared" si="14"/>
        <v>0.166</v>
      </c>
      <c r="CA98" t="s">
        <v>431</v>
      </c>
      <c r="CK98" t="s">
        <v>601</v>
      </c>
      <c r="CL98" t="s">
        <v>396</v>
      </c>
      <c r="CM98" t="s">
        <v>601</v>
      </c>
      <c r="CO98">
        <v>0</v>
      </c>
      <c r="CQ98" t="s">
        <v>438</v>
      </c>
      <c r="CX98" t="s">
        <v>2398</v>
      </c>
      <c r="CY98" t="s">
        <v>400</v>
      </c>
      <c r="CZ98">
        <v>0</v>
      </c>
      <c r="DD98">
        <v>0</v>
      </c>
      <c r="DE98" t="s">
        <v>570</v>
      </c>
      <c r="DH98">
        <v>0</v>
      </c>
      <c r="DI98">
        <v>1</v>
      </c>
      <c r="DJ98" t="s">
        <v>471</v>
      </c>
      <c r="DK98" t="s">
        <v>2399</v>
      </c>
      <c r="DL98">
        <v>0</v>
      </c>
      <c r="DM98" t="s">
        <v>538</v>
      </c>
      <c r="DX98" t="s">
        <v>2400</v>
      </c>
      <c r="EG98" t="s">
        <v>2029</v>
      </c>
    </row>
    <row r="99" spans="1:246" x14ac:dyDescent="0.25">
      <c r="A99" t="s">
        <v>2445</v>
      </c>
      <c r="B99" t="str">
        <f>"801542995607"</f>
        <v>801542995607</v>
      </c>
      <c r="C99" t="s">
        <v>2446</v>
      </c>
      <c r="D99" t="s">
        <v>835</v>
      </c>
      <c r="E99" t="s">
        <v>2388</v>
      </c>
      <c r="G99" t="str">
        <f t="shared" si="7"/>
        <v>22</v>
      </c>
      <c r="H99" t="str">
        <f t="shared" si="7"/>
        <v>22</v>
      </c>
      <c r="I99" t="str">
        <f t="shared" si="8"/>
        <v>18.5</v>
      </c>
      <c r="J99" t="str">
        <f t="shared" si="9"/>
        <v>13.23</v>
      </c>
      <c r="K99" t="s">
        <v>2447</v>
      </c>
      <c r="L99" t="s">
        <v>1857</v>
      </c>
      <c r="N99" t="s">
        <v>2448</v>
      </c>
      <c r="O99" t="s">
        <v>775</v>
      </c>
      <c r="T99" t="s">
        <v>373</v>
      </c>
      <c r="U99" t="s">
        <v>373</v>
      </c>
      <c r="V99" t="s">
        <v>2449</v>
      </c>
      <c r="W99" t="s">
        <v>2450</v>
      </c>
      <c r="X99" t="s">
        <v>2451</v>
      </c>
      <c r="Y99" t="s">
        <v>2452</v>
      </c>
      <c r="Z99" t="s">
        <v>2453</v>
      </c>
      <c r="AA99" t="s">
        <v>2454</v>
      </c>
      <c r="AB99" t="s">
        <v>2455</v>
      </c>
      <c r="AC99" t="s">
        <v>2456</v>
      </c>
      <c r="AD99" t="s">
        <v>2457</v>
      </c>
      <c r="AE99" t="s">
        <v>2458</v>
      </c>
      <c r="AF99" t="s">
        <v>2459</v>
      </c>
      <c r="BA99" t="str">
        <f>"549"</f>
        <v>549</v>
      </c>
      <c r="BB99" t="str">
        <f>"235"</f>
        <v>235</v>
      </c>
      <c r="BC99" t="s">
        <v>388</v>
      </c>
      <c r="BD99" t="str">
        <f t="shared" si="6"/>
        <v>1</v>
      </c>
      <c r="BE99" t="s">
        <v>389</v>
      </c>
      <c r="BF99" t="str">
        <f t="shared" si="10"/>
        <v>22.44</v>
      </c>
      <c r="BG99" t="str">
        <f t="shared" si="10"/>
        <v>22.44</v>
      </c>
      <c r="BH99" t="str">
        <f t="shared" si="11"/>
        <v>20.08</v>
      </c>
      <c r="BI99" t="str">
        <f t="shared" si="12"/>
        <v>22.05</v>
      </c>
      <c r="BY99" t="str">
        <f t="shared" si="13"/>
        <v>5.86</v>
      </c>
      <c r="BZ99" t="str">
        <f t="shared" si="14"/>
        <v>0.166</v>
      </c>
      <c r="CA99" t="s">
        <v>431</v>
      </c>
      <c r="CK99" t="s">
        <v>601</v>
      </c>
      <c r="CL99" t="s">
        <v>396</v>
      </c>
      <c r="CM99" t="s">
        <v>601</v>
      </c>
      <c r="CO99">
        <v>0</v>
      </c>
      <c r="CQ99" t="s">
        <v>631</v>
      </c>
      <c r="CX99" t="s">
        <v>2398</v>
      </c>
      <c r="CY99" t="s">
        <v>400</v>
      </c>
      <c r="CZ99">
        <v>0</v>
      </c>
      <c r="DD99">
        <v>15000</v>
      </c>
      <c r="DE99" t="s">
        <v>570</v>
      </c>
      <c r="DH99">
        <v>0</v>
      </c>
      <c r="DI99">
        <v>1</v>
      </c>
      <c r="DJ99" t="s">
        <v>471</v>
      </c>
      <c r="DK99" t="s">
        <v>2399</v>
      </c>
      <c r="DL99">
        <v>0</v>
      </c>
      <c r="DM99" t="s">
        <v>538</v>
      </c>
      <c r="DX99" t="s">
        <v>2400</v>
      </c>
      <c r="EG99" t="s">
        <v>2029</v>
      </c>
    </row>
    <row r="100" spans="1:246" x14ac:dyDescent="0.25">
      <c r="A100" t="s">
        <v>2460</v>
      </c>
      <c r="B100" t="str">
        <f>"801542816711"</f>
        <v>801542816711</v>
      </c>
      <c r="C100" t="s">
        <v>2461</v>
      </c>
      <c r="D100" t="s">
        <v>835</v>
      </c>
      <c r="E100" t="s">
        <v>2388</v>
      </c>
      <c r="G100" t="str">
        <f t="shared" si="7"/>
        <v>22</v>
      </c>
      <c r="H100" t="str">
        <f t="shared" si="7"/>
        <v>22</v>
      </c>
      <c r="I100" t="str">
        <f t="shared" si="8"/>
        <v>18.5</v>
      </c>
      <c r="J100" t="str">
        <f t="shared" si="9"/>
        <v>13.23</v>
      </c>
      <c r="K100" t="s">
        <v>2462</v>
      </c>
      <c r="L100" t="s">
        <v>1857</v>
      </c>
      <c r="N100" t="s">
        <v>2463</v>
      </c>
      <c r="O100" t="s">
        <v>2464</v>
      </c>
      <c r="P100" t="s">
        <v>775</v>
      </c>
      <c r="T100" t="s">
        <v>373</v>
      </c>
      <c r="U100" t="s">
        <v>373</v>
      </c>
      <c r="V100" t="s">
        <v>2465</v>
      </c>
      <c r="W100" t="s">
        <v>2466</v>
      </c>
      <c r="X100" t="s">
        <v>2467</v>
      </c>
      <c r="Y100" t="s">
        <v>2468</v>
      </c>
      <c r="Z100" t="s">
        <v>2469</v>
      </c>
      <c r="AA100" t="s">
        <v>2470</v>
      </c>
      <c r="AB100" t="s">
        <v>2471</v>
      </c>
      <c r="AC100" t="s">
        <v>2472</v>
      </c>
      <c r="AD100" t="s">
        <v>2473</v>
      </c>
      <c r="AE100" t="s">
        <v>2474</v>
      </c>
      <c r="AF100" t="s">
        <v>2475</v>
      </c>
      <c r="AG100" t="s">
        <v>2476</v>
      </c>
      <c r="AH100" t="s">
        <v>2477</v>
      </c>
      <c r="AI100" t="s">
        <v>2478</v>
      </c>
      <c r="AJ100" t="s">
        <v>2479</v>
      </c>
      <c r="BA100" t="str">
        <f>"549"</f>
        <v>549</v>
      </c>
      <c r="BB100" t="str">
        <f>"235"</f>
        <v>235</v>
      </c>
      <c r="BC100" t="s">
        <v>388</v>
      </c>
      <c r="BD100" t="str">
        <f t="shared" si="6"/>
        <v>1</v>
      </c>
      <c r="BE100" t="s">
        <v>389</v>
      </c>
      <c r="BF100" t="str">
        <f t="shared" si="10"/>
        <v>22.44</v>
      </c>
      <c r="BG100" t="str">
        <f t="shared" si="10"/>
        <v>22.44</v>
      </c>
      <c r="BH100" t="str">
        <f t="shared" si="11"/>
        <v>20.08</v>
      </c>
      <c r="BI100" t="str">
        <f t="shared" si="12"/>
        <v>22.05</v>
      </c>
      <c r="BY100" t="str">
        <f t="shared" si="13"/>
        <v>5.86</v>
      </c>
      <c r="BZ100" t="str">
        <f t="shared" si="14"/>
        <v>0.166</v>
      </c>
      <c r="CA100" t="s">
        <v>431</v>
      </c>
      <c r="CK100" t="s">
        <v>601</v>
      </c>
      <c r="CL100" t="s">
        <v>396</v>
      </c>
      <c r="CM100" t="s">
        <v>601</v>
      </c>
      <c r="CO100">
        <v>0</v>
      </c>
      <c r="CQ100" t="s">
        <v>631</v>
      </c>
      <c r="CX100" t="s">
        <v>2398</v>
      </c>
      <c r="CY100" t="s">
        <v>400</v>
      </c>
      <c r="CZ100">
        <v>0</v>
      </c>
      <c r="DD100">
        <v>35000</v>
      </c>
      <c r="DE100" t="s">
        <v>570</v>
      </c>
      <c r="DH100">
        <v>0</v>
      </c>
      <c r="DI100">
        <v>1</v>
      </c>
      <c r="DJ100" t="s">
        <v>471</v>
      </c>
      <c r="DK100" t="s">
        <v>2399</v>
      </c>
      <c r="DL100">
        <v>0</v>
      </c>
      <c r="DM100" t="s">
        <v>538</v>
      </c>
      <c r="DX100" t="s">
        <v>2400</v>
      </c>
      <c r="EG100" t="s">
        <v>2029</v>
      </c>
    </row>
    <row r="101" spans="1:246" x14ac:dyDescent="0.25">
      <c r="A101" t="s">
        <v>2480</v>
      </c>
      <c r="B101" t="str">
        <f>"801542824006"</f>
        <v>801542824006</v>
      </c>
      <c r="C101" t="s">
        <v>2481</v>
      </c>
      <c r="D101" t="s">
        <v>835</v>
      </c>
      <c r="E101" t="s">
        <v>2388</v>
      </c>
      <c r="G101" t="str">
        <f t="shared" si="7"/>
        <v>22</v>
      </c>
      <c r="H101" t="str">
        <f t="shared" si="7"/>
        <v>22</v>
      </c>
      <c r="I101" t="str">
        <f t="shared" si="8"/>
        <v>18.5</v>
      </c>
      <c r="J101" t="str">
        <f t="shared" si="9"/>
        <v>13.23</v>
      </c>
      <c r="K101" t="s">
        <v>369</v>
      </c>
      <c r="L101" t="s">
        <v>1857</v>
      </c>
      <c r="N101" t="s">
        <v>371</v>
      </c>
      <c r="O101" t="s">
        <v>775</v>
      </c>
      <c r="T101" t="s">
        <v>402</v>
      </c>
      <c r="U101" t="s">
        <v>373</v>
      </c>
      <c r="V101" t="s">
        <v>2482</v>
      </c>
      <c r="W101" t="s">
        <v>2483</v>
      </c>
      <c r="X101" t="s">
        <v>2484</v>
      </c>
      <c r="Y101" t="s">
        <v>2485</v>
      </c>
      <c r="Z101" t="s">
        <v>2486</v>
      </c>
      <c r="AA101" t="s">
        <v>2487</v>
      </c>
      <c r="AB101" t="s">
        <v>2488</v>
      </c>
      <c r="AC101" t="s">
        <v>2489</v>
      </c>
      <c r="AD101" t="s">
        <v>2490</v>
      </c>
      <c r="AE101" t="s">
        <v>2491</v>
      </c>
      <c r="AF101" t="s">
        <v>2492</v>
      </c>
      <c r="AG101" t="s">
        <v>2493</v>
      </c>
      <c r="BA101" t="str">
        <f>"499"</f>
        <v>499</v>
      </c>
      <c r="BB101" t="str">
        <f>"210"</f>
        <v>210</v>
      </c>
      <c r="BC101" t="s">
        <v>388</v>
      </c>
      <c r="BD101" t="str">
        <f t="shared" si="6"/>
        <v>1</v>
      </c>
      <c r="BE101" t="s">
        <v>389</v>
      </c>
      <c r="BF101" t="str">
        <f t="shared" si="10"/>
        <v>22.44</v>
      </c>
      <c r="BG101" t="str">
        <f t="shared" si="10"/>
        <v>22.44</v>
      </c>
      <c r="BH101" t="str">
        <f t="shared" si="11"/>
        <v>20.08</v>
      </c>
      <c r="BI101" t="str">
        <f t="shared" si="12"/>
        <v>22.05</v>
      </c>
      <c r="BY101" t="str">
        <f t="shared" si="13"/>
        <v>5.86</v>
      </c>
      <c r="BZ101" t="str">
        <f t="shared" si="14"/>
        <v>0.166</v>
      </c>
      <c r="CA101" t="s">
        <v>390</v>
      </c>
      <c r="CK101" t="s">
        <v>601</v>
      </c>
      <c r="CL101" t="s">
        <v>396</v>
      </c>
      <c r="CM101" t="s">
        <v>601</v>
      </c>
      <c r="CO101">
        <v>0</v>
      </c>
      <c r="CQ101" t="s">
        <v>399</v>
      </c>
      <c r="CX101" t="s">
        <v>2398</v>
      </c>
      <c r="CY101" t="s">
        <v>400</v>
      </c>
      <c r="CZ101">
        <v>0</v>
      </c>
      <c r="DD101">
        <v>15000</v>
      </c>
      <c r="DE101" t="s">
        <v>570</v>
      </c>
      <c r="DH101">
        <v>0</v>
      </c>
      <c r="DI101">
        <v>1</v>
      </c>
      <c r="DJ101" t="s">
        <v>471</v>
      </c>
      <c r="DK101" t="s">
        <v>2399</v>
      </c>
      <c r="DL101">
        <v>0</v>
      </c>
      <c r="DM101" t="s">
        <v>538</v>
      </c>
      <c r="DX101" t="s">
        <v>2400</v>
      </c>
      <c r="EG101" t="s">
        <v>2029</v>
      </c>
    </row>
    <row r="102" spans="1:246" x14ac:dyDescent="0.25">
      <c r="A102" t="s">
        <v>2494</v>
      </c>
      <c r="B102" t="str">
        <f>"801542728670"</f>
        <v>801542728670</v>
      </c>
      <c r="C102" t="s">
        <v>2495</v>
      </c>
      <c r="D102" t="s">
        <v>835</v>
      </c>
      <c r="E102" t="s">
        <v>515</v>
      </c>
      <c r="F102" t="s">
        <v>516</v>
      </c>
      <c r="G102" t="str">
        <f>"29"</f>
        <v>29</v>
      </c>
      <c r="H102" t="str">
        <f>"30"</f>
        <v>30</v>
      </c>
      <c r="I102" t="str">
        <f>"29"</f>
        <v>29</v>
      </c>
      <c r="J102" t="str">
        <f>"32.41"</f>
        <v>32.41</v>
      </c>
      <c r="K102" t="s">
        <v>2389</v>
      </c>
      <c r="L102" t="s">
        <v>1932</v>
      </c>
      <c r="N102" t="s">
        <v>416</v>
      </c>
      <c r="O102" t="s">
        <v>519</v>
      </c>
      <c r="T102" t="s">
        <v>373</v>
      </c>
      <c r="U102" t="s">
        <v>373</v>
      </c>
      <c r="V102" t="s">
        <v>2496</v>
      </c>
      <c r="W102" t="s">
        <v>2497</v>
      </c>
      <c r="X102" t="s">
        <v>2498</v>
      </c>
      <c r="Y102" t="s">
        <v>2499</v>
      </c>
      <c r="Z102" t="s">
        <v>2500</v>
      </c>
      <c r="AA102" t="s">
        <v>2501</v>
      </c>
      <c r="AB102" t="s">
        <v>2502</v>
      </c>
      <c r="AC102" t="s">
        <v>2503</v>
      </c>
      <c r="AD102" t="s">
        <v>2504</v>
      </c>
      <c r="AE102" t="s">
        <v>2505</v>
      </c>
      <c r="AF102" t="s">
        <v>2506</v>
      </c>
      <c r="AG102" t="s">
        <v>2507</v>
      </c>
      <c r="AH102" t="s">
        <v>2508</v>
      </c>
      <c r="BA102" t="str">
        <f>"1599"</f>
        <v>1599</v>
      </c>
      <c r="BB102" t="str">
        <f>"675"</f>
        <v>675</v>
      </c>
      <c r="BC102" t="s">
        <v>388</v>
      </c>
      <c r="BD102" t="str">
        <f t="shared" si="6"/>
        <v>1</v>
      </c>
      <c r="BE102" t="s">
        <v>389</v>
      </c>
      <c r="BF102" t="str">
        <f>"37.8"</f>
        <v>37.8</v>
      </c>
      <c r="BG102" t="str">
        <f>"29.92"</f>
        <v>29.92</v>
      </c>
      <c r="BH102" t="str">
        <f>"31.5"</f>
        <v>31.5</v>
      </c>
      <c r="BI102" t="str">
        <f>"51.37"</f>
        <v>51.37</v>
      </c>
      <c r="BY102" t="str">
        <f>"20.62"</f>
        <v>20.62</v>
      </c>
      <c r="BZ102" t="str">
        <f>"0.584"</f>
        <v>0.584</v>
      </c>
      <c r="CA102" t="s">
        <v>390</v>
      </c>
      <c r="CK102" t="s">
        <v>602</v>
      </c>
      <c r="CL102" t="s">
        <v>1136</v>
      </c>
      <c r="CN102">
        <v>0</v>
      </c>
      <c r="CO102">
        <v>1</v>
      </c>
      <c r="CP102" t="s">
        <v>437</v>
      </c>
      <c r="CQ102" t="s">
        <v>438</v>
      </c>
      <c r="CX102" t="s">
        <v>403</v>
      </c>
      <c r="CY102" t="s">
        <v>400</v>
      </c>
      <c r="CZ102">
        <v>0</v>
      </c>
      <c r="DD102">
        <v>0</v>
      </c>
      <c r="DE102" t="s">
        <v>439</v>
      </c>
      <c r="DF102" t="s">
        <v>632</v>
      </c>
      <c r="DH102">
        <v>1</v>
      </c>
      <c r="DI102">
        <v>1</v>
      </c>
      <c r="DK102" t="s">
        <v>2509</v>
      </c>
      <c r="DL102">
        <v>0</v>
      </c>
      <c r="DM102" t="s">
        <v>538</v>
      </c>
      <c r="DN102" t="s">
        <v>603</v>
      </c>
      <c r="DO102" t="s">
        <v>1489</v>
      </c>
      <c r="DP102" t="s">
        <v>2079</v>
      </c>
      <c r="DT102" t="s">
        <v>2510</v>
      </c>
      <c r="DX102" t="s">
        <v>1056</v>
      </c>
      <c r="DY102" t="s">
        <v>855</v>
      </c>
      <c r="DZ102" t="s">
        <v>600</v>
      </c>
      <c r="EA102" t="s">
        <v>1240</v>
      </c>
      <c r="ED102" t="s">
        <v>632</v>
      </c>
      <c r="EG102" t="s">
        <v>1513</v>
      </c>
      <c r="EP102" t="s">
        <v>449</v>
      </c>
      <c r="EQ102" t="s">
        <v>1151</v>
      </c>
      <c r="ER102">
        <v>0</v>
      </c>
      <c r="ES102">
        <v>0</v>
      </c>
      <c r="EU102">
        <v>0</v>
      </c>
    </row>
    <row r="103" spans="1:246" x14ac:dyDescent="0.25">
      <c r="A103" t="s">
        <v>2511</v>
      </c>
      <c r="B103" t="str">
        <f>"801542672331"</f>
        <v>801542672331</v>
      </c>
      <c r="C103" t="s">
        <v>2512</v>
      </c>
      <c r="D103" t="s">
        <v>835</v>
      </c>
      <c r="E103" t="s">
        <v>515</v>
      </c>
      <c r="F103" t="s">
        <v>516</v>
      </c>
      <c r="G103" t="str">
        <f>"29"</f>
        <v>29</v>
      </c>
      <c r="H103" t="str">
        <f>"30"</f>
        <v>30</v>
      </c>
      <c r="I103" t="str">
        <f>"29"</f>
        <v>29</v>
      </c>
      <c r="J103" t="str">
        <f>"32.41"</f>
        <v>32.41</v>
      </c>
      <c r="K103" t="s">
        <v>2513</v>
      </c>
      <c r="L103" t="s">
        <v>585</v>
      </c>
      <c r="N103" t="s">
        <v>416</v>
      </c>
      <c r="O103" t="s">
        <v>775</v>
      </c>
      <c r="T103" t="s">
        <v>373</v>
      </c>
      <c r="U103" t="s">
        <v>373</v>
      </c>
      <c r="V103" t="s">
        <v>2514</v>
      </c>
      <c r="W103" t="s">
        <v>2515</v>
      </c>
      <c r="X103" t="s">
        <v>2516</v>
      </c>
      <c r="Y103" t="s">
        <v>2517</v>
      </c>
      <c r="Z103" t="s">
        <v>2518</v>
      </c>
      <c r="AA103" t="s">
        <v>2519</v>
      </c>
      <c r="AB103" t="s">
        <v>2520</v>
      </c>
      <c r="AC103" t="s">
        <v>2521</v>
      </c>
      <c r="AD103" t="s">
        <v>2522</v>
      </c>
      <c r="AE103" t="s">
        <v>2523</v>
      </c>
      <c r="AF103" t="s">
        <v>2524</v>
      </c>
      <c r="AG103" t="s">
        <v>2525</v>
      </c>
      <c r="AH103" t="s">
        <v>2526</v>
      </c>
      <c r="AI103" t="s">
        <v>2527</v>
      </c>
      <c r="BA103" t="str">
        <f>"1449"</f>
        <v>1449</v>
      </c>
      <c r="BB103" t="str">
        <f>"610"</f>
        <v>610</v>
      </c>
      <c r="BC103" t="s">
        <v>388</v>
      </c>
      <c r="BD103" t="str">
        <f t="shared" si="6"/>
        <v>1</v>
      </c>
      <c r="BE103" t="s">
        <v>389</v>
      </c>
      <c r="BF103" t="str">
        <f>"37.8"</f>
        <v>37.8</v>
      </c>
      <c r="BG103" t="str">
        <f>"29.92"</f>
        <v>29.92</v>
      </c>
      <c r="BH103" t="str">
        <f>"31.5"</f>
        <v>31.5</v>
      </c>
      <c r="BI103" t="str">
        <f>"51.37"</f>
        <v>51.37</v>
      </c>
      <c r="BY103" t="str">
        <f>"20.62"</f>
        <v>20.62</v>
      </c>
      <c r="BZ103" t="str">
        <f>"0.584"</f>
        <v>0.584</v>
      </c>
      <c r="CA103" t="s">
        <v>390</v>
      </c>
      <c r="CK103" t="s">
        <v>602</v>
      </c>
      <c r="CL103" t="s">
        <v>1136</v>
      </c>
      <c r="CN103">
        <v>0</v>
      </c>
      <c r="CO103">
        <v>1</v>
      </c>
      <c r="CP103" t="s">
        <v>437</v>
      </c>
      <c r="CQ103" t="s">
        <v>438</v>
      </c>
      <c r="CX103" t="s">
        <v>403</v>
      </c>
      <c r="CY103" t="s">
        <v>400</v>
      </c>
      <c r="CZ103">
        <v>0</v>
      </c>
      <c r="DD103">
        <v>0</v>
      </c>
      <c r="DE103" t="s">
        <v>439</v>
      </c>
      <c r="DF103" t="s">
        <v>632</v>
      </c>
      <c r="DH103">
        <v>1</v>
      </c>
      <c r="DI103">
        <v>1</v>
      </c>
      <c r="DK103" t="s">
        <v>2509</v>
      </c>
      <c r="DL103">
        <v>0</v>
      </c>
      <c r="DM103" t="s">
        <v>538</v>
      </c>
      <c r="DN103" t="s">
        <v>603</v>
      </c>
      <c r="DO103" t="s">
        <v>1489</v>
      </c>
      <c r="DP103" t="s">
        <v>2079</v>
      </c>
      <c r="DT103" t="s">
        <v>2510</v>
      </c>
      <c r="DX103" t="s">
        <v>1056</v>
      </c>
      <c r="DY103" t="s">
        <v>855</v>
      </c>
      <c r="DZ103" t="s">
        <v>600</v>
      </c>
      <c r="EA103" t="s">
        <v>1240</v>
      </c>
      <c r="ED103" t="s">
        <v>632</v>
      </c>
      <c r="EG103" t="s">
        <v>1513</v>
      </c>
      <c r="EP103" t="s">
        <v>449</v>
      </c>
      <c r="EQ103" t="s">
        <v>1151</v>
      </c>
      <c r="ER103">
        <v>0</v>
      </c>
      <c r="ES103">
        <v>0</v>
      </c>
      <c r="EU103">
        <v>0</v>
      </c>
    </row>
    <row r="104" spans="1:246" x14ac:dyDescent="0.25">
      <c r="A104" t="s">
        <v>2528</v>
      </c>
      <c r="B104" t="str">
        <f>"801542672348"</f>
        <v>801542672348</v>
      </c>
      <c r="C104" t="s">
        <v>2529</v>
      </c>
      <c r="D104" t="s">
        <v>835</v>
      </c>
      <c r="E104" t="s">
        <v>515</v>
      </c>
      <c r="F104" t="s">
        <v>516</v>
      </c>
      <c r="G104" t="str">
        <f>"29"</f>
        <v>29</v>
      </c>
      <c r="H104" t="str">
        <f>"30"</f>
        <v>30</v>
      </c>
      <c r="I104" t="str">
        <f>"29"</f>
        <v>29</v>
      </c>
      <c r="J104" t="str">
        <f>"32.41"</f>
        <v>32.41</v>
      </c>
      <c r="K104" t="s">
        <v>2294</v>
      </c>
      <c r="L104" t="s">
        <v>585</v>
      </c>
      <c r="M104" t="s">
        <v>2530</v>
      </c>
      <c r="N104" t="s">
        <v>1170</v>
      </c>
      <c r="O104" t="s">
        <v>2269</v>
      </c>
      <c r="P104" t="s">
        <v>775</v>
      </c>
      <c r="Q104" t="s">
        <v>416</v>
      </c>
      <c r="T104" t="s">
        <v>373</v>
      </c>
      <c r="U104" t="s">
        <v>402</v>
      </c>
      <c r="V104" t="s">
        <v>2531</v>
      </c>
      <c r="W104" t="s">
        <v>2532</v>
      </c>
      <c r="X104" t="s">
        <v>2533</v>
      </c>
      <c r="Y104" t="s">
        <v>2534</v>
      </c>
      <c r="Z104" t="s">
        <v>2535</v>
      </c>
      <c r="AA104" t="s">
        <v>2536</v>
      </c>
      <c r="AB104" t="s">
        <v>2537</v>
      </c>
      <c r="AC104" t="s">
        <v>2538</v>
      </c>
      <c r="AD104" t="s">
        <v>2539</v>
      </c>
      <c r="AE104" t="s">
        <v>2540</v>
      </c>
      <c r="AF104" t="s">
        <v>2541</v>
      </c>
      <c r="AG104" t="s">
        <v>2542</v>
      </c>
      <c r="AH104" t="s">
        <v>2543</v>
      </c>
      <c r="AI104" t="s">
        <v>2544</v>
      </c>
      <c r="AJ104" t="s">
        <v>2545</v>
      </c>
      <c r="AK104" t="s">
        <v>2546</v>
      </c>
      <c r="AL104" t="s">
        <v>2547</v>
      </c>
      <c r="BA104" t="str">
        <f>"999"</f>
        <v>999</v>
      </c>
      <c r="BB104" t="str">
        <f>"420"</f>
        <v>420</v>
      </c>
      <c r="BC104" t="s">
        <v>388</v>
      </c>
      <c r="BD104" t="str">
        <f t="shared" si="6"/>
        <v>1</v>
      </c>
      <c r="BE104" t="s">
        <v>389</v>
      </c>
      <c r="BF104" t="str">
        <f>"37.8"</f>
        <v>37.8</v>
      </c>
      <c r="BG104" t="str">
        <f>"29.92"</f>
        <v>29.92</v>
      </c>
      <c r="BH104" t="str">
        <f>"31.5"</f>
        <v>31.5</v>
      </c>
      <c r="BI104" t="str">
        <f>"51.37"</f>
        <v>51.37</v>
      </c>
      <c r="BY104" t="str">
        <f>"20.62"</f>
        <v>20.62</v>
      </c>
      <c r="BZ104" t="str">
        <f>"0.584"</f>
        <v>0.584</v>
      </c>
      <c r="CA104" t="s">
        <v>495</v>
      </c>
      <c r="CK104" t="s">
        <v>602</v>
      </c>
      <c r="CL104" t="s">
        <v>1136</v>
      </c>
      <c r="CN104">
        <v>0</v>
      </c>
      <c r="CO104">
        <v>1</v>
      </c>
      <c r="CP104" t="s">
        <v>437</v>
      </c>
      <c r="CQ104" t="s">
        <v>631</v>
      </c>
      <c r="CX104" t="s">
        <v>403</v>
      </c>
      <c r="CY104" t="s">
        <v>400</v>
      </c>
      <c r="CZ104">
        <v>0</v>
      </c>
      <c r="DD104">
        <v>25000</v>
      </c>
      <c r="DE104" t="s">
        <v>439</v>
      </c>
      <c r="DF104" t="s">
        <v>632</v>
      </c>
      <c r="DH104">
        <v>1</v>
      </c>
      <c r="DI104">
        <v>1</v>
      </c>
      <c r="DK104" t="s">
        <v>2509</v>
      </c>
      <c r="DL104">
        <v>0</v>
      </c>
      <c r="DM104" t="s">
        <v>538</v>
      </c>
      <c r="DN104" t="s">
        <v>603</v>
      </c>
      <c r="DO104" t="s">
        <v>1489</v>
      </c>
      <c r="DP104" t="s">
        <v>2079</v>
      </c>
      <c r="DT104" t="s">
        <v>2510</v>
      </c>
      <c r="DX104" t="s">
        <v>1056</v>
      </c>
      <c r="DY104" t="s">
        <v>855</v>
      </c>
      <c r="DZ104" t="s">
        <v>600</v>
      </c>
      <c r="EA104" t="s">
        <v>1240</v>
      </c>
      <c r="ED104" t="s">
        <v>632</v>
      </c>
      <c r="EG104" t="s">
        <v>1513</v>
      </c>
      <c r="EP104" t="s">
        <v>449</v>
      </c>
      <c r="EQ104" t="s">
        <v>1151</v>
      </c>
      <c r="ER104">
        <v>0</v>
      </c>
      <c r="ES104">
        <v>0</v>
      </c>
      <c r="EU104">
        <v>0</v>
      </c>
    </row>
    <row r="105" spans="1:246" x14ac:dyDescent="0.25">
      <c r="A105" t="s">
        <v>2548</v>
      </c>
      <c r="B105" t="str">
        <f>"801542073961"</f>
        <v>801542073961</v>
      </c>
      <c r="C105" t="s">
        <v>2549</v>
      </c>
      <c r="D105" t="s">
        <v>835</v>
      </c>
      <c r="E105" t="s">
        <v>515</v>
      </c>
      <c r="F105" t="s">
        <v>516</v>
      </c>
      <c r="G105" t="str">
        <f>"29"</f>
        <v>29</v>
      </c>
      <c r="H105" t="str">
        <f>"30"</f>
        <v>30</v>
      </c>
      <c r="I105" t="str">
        <f>"29"</f>
        <v>29</v>
      </c>
      <c r="J105" t="str">
        <f>"32.41"</f>
        <v>32.41</v>
      </c>
      <c r="K105" t="s">
        <v>1947</v>
      </c>
      <c r="L105" t="s">
        <v>2550</v>
      </c>
      <c r="M105" t="s">
        <v>2530</v>
      </c>
      <c r="N105" t="s">
        <v>1949</v>
      </c>
      <c r="O105" t="s">
        <v>1950</v>
      </c>
      <c r="P105" t="s">
        <v>1535</v>
      </c>
      <c r="Q105" t="s">
        <v>775</v>
      </c>
      <c r="R105" t="s">
        <v>416</v>
      </c>
      <c r="T105" t="s">
        <v>373</v>
      </c>
      <c r="U105" t="s">
        <v>402</v>
      </c>
      <c r="V105" t="s">
        <v>2551</v>
      </c>
      <c r="W105" t="s">
        <v>2552</v>
      </c>
      <c r="X105" t="s">
        <v>2553</v>
      </c>
      <c r="Y105" t="s">
        <v>2554</v>
      </c>
      <c r="Z105" t="s">
        <v>2555</v>
      </c>
      <c r="AA105" t="s">
        <v>2556</v>
      </c>
      <c r="AB105" t="s">
        <v>2557</v>
      </c>
      <c r="AC105" t="s">
        <v>2558</v>
      </c>
      <c r="AD105" t="s">
        <v>2559</v>
      </c>
      <c r="AE105" t="s">
        <v>2560</v>
      </c>
      <c r="AF105" t="s">
        <v>2561</v>
      </c>
      <c r="AG105" t="s">
        <v>2562</v>
      </c>
      <c r="AH105" t="s">
        <v>2563</v>
      </c>
      <c r="BA105" t="str">
        <f>"999"</f>
        <v>999</v>
      </c>
      <c r="BB105" t="str">
        <f>"420"</f>
        <v>420</v>
      </c>
      <c r="BC105" t="s">
        <v>388</v>
      </c>
      <c r="BD105" t="str">
        <f t="shared" si="6"/>
        <v>1</v>
      </c>
      <c r="BE105" t="s">
        <v>389</v>
      </c>
      <c r="BF105" t="str">
        <f>"37.8"</f>
        <v>37.8</v>
      </c>
      <c r="BG105" t="str">
        <f>"29.92"</f>
        <v>29.92</v>
      </c>
      <c r="BH105" t="str">
        <f>"31.5"</f>
        <v>31.5</v>
      </c>
      <c r="BI105" t="str">
        <f>"51.37"</f>
        <v>51.37</v>
      </c>
      <c r="BY105" t="str">
        <f>"20.62"</f>
        <v>20.62</v>
      </c>
      <c r="BZ105" t="str">
        <f>"0.584"</f>
        <v>0.584</v>
      </c>
      <c r="CA105" t="s">
        <v>390</v>
      </c>
      <c r="CK105" t="s">
        <v>602</v>
      </c>
      <c r="CL105" t="s">
        <v>1136</v>
      </c>
      <c r="CN105">
        <v>0</v>
      </c>
      <c r="CO105">
        <v>1</v>
      </c>
      <c r="CP105" t="s">
        <v>437</v>
      </c>
      <c r="CQ105" t="s">
        <v>631</v>
      </c>
      <c r="CX105" t="s">
        <v>403</v>
      </c>
      <c r="CY105" t="s">
        <v>400</v>
      </c>
      <c r="CZ105">
        <v>0</v>
      </c>
      <c r="DD105">
        <v>25000</v>
      </c>
      <c r="DE105" t="s">
        <v>439</v>
      </c>
      <c r="DF105" t="s">
        <v>632</v>
      </c>
      <c r="DH105">
        <v>1</v>
      </c>
      <c r="DI105">
        <v>1</v>
      </c>
      <c r="DK105" t="s">
        <v>2509</v>
      </c>
      <c r="DL105">
        <v>0</v>
      </c>
      <c r="DM105" t="s">
        <v>538</v>
      </c>
      <c r="DN105" t="s">
        <v>603</v>
      </c>
      <c r="DO105" t="s">
        <v>1489</v>
      </c>
      <c r="DP105" t="s">
        <v>2079</v>
      </c>
      <c r="DT105" t="s">
        <v>2510</v>
      </c>
      <c r="DX105" t="s">
        <v>1056</v>
      </c>
      <c r="DY105" t="s">
        <v>855</v>
      </c>
      <c r="DZ105" t="s">
        <v>600</v>
      </c>
      <c r="EA105" t="s">
        <v>1240</v>
      </c>
      <c r="ED105" t="s">
        <v>632</v>
      </c>
      <c r="EG105" t="s">
        <v>1513</v>
      </c>
      <c r="EP105" t="s">
        <v>449</v>
      </c>
      <c r="EQ105" t="s">
        <v>1151</v>
      </c>
      <c r="ER105">
        <v>0</v>
      </c>
      <c r="ES105">
        <v>0</v>
      </c>
      <c r="EU105">
        <v>0</v>
      </c>
    </row>
    <row r="106" spans="1:246" x14ac:dyDescent="0.25">
      <c r="A106" t="s">
        <v>2564</v>
      </c>
      <c r="B106" t="str">
        <f>"801542432096"</f>
        <v>801542432096</v>
      </c>
      <c r="C106" t="s">
        <v>2565</v>
      </c>
      <c r="D106" t="s">
        <v>835</v>
      </c>
      <c r="E106" t="s">
        <v>515</v>
      </c>
      <c r="F106" t="s">
        <v>516</v>
      </c>
      <c r="G106" t="str">
        <f>"29"</f>
        <v>29</v>
      </c>
      <c r="H106" t="str">
        <f>"30"</f>
        <v>30</v>
      </c>
      <c r="I106" t="str">
        <f>"29"</f>
        <v>29</v>
      </c>
      <c r="J106" t="str">
        <f>"32.41"</f>
        <v>32.41</v>
      </c>
      <c r="K106" t="s">
        <v>369</v>
      </c>
      <c r="L106" t="s">
        <v>2550</v>
      </c>
      <c r="M106" t="s">
        <v>2530</v>
      </c>
      <c r="N106" t="s">
        <v>371</v>
      </c>
      <c r="O106" t="s">
        <v>775</v>
      </c>
      <c r="P106" t="s">
        <v>416</v>
      </c>
      <c r="T106" t="s">
        <v>373</v>
      </c>
      <c r="U106" t="s">
        <v>373</v>
      </c>
      <c r="V106" t="s">
        <v>2566</v>
      </c>
      <c r="W106" t="s">
        <v>2567</v>
      </c>
      <c r="X106" t="s">
        <v>2568</v>
      </c>
      <c r="Y106" t="s">
        <v>2569</v>
      </c>
      <c r="Z106" t="s">
        <v>2570</v>
      </c>
      <c r="AA106" t="s">
        <v>2571</v>
      </c>
      <c r="AB106" t="s">
        <v>2572</v>
      </c>
      <c r="AC106" t="s">
        <v>2573</v>
      </c>
      <c r="AD106" t="s">
        <v>2574</v>
      </c>
      <c r="AE106" t="s">
        <v>2575</v>
      </c>
      <c r="AF106" t="s">
        <v>2576</v>
      </c>
      <c r="BA106" t="str">
        <f>"999"</f>
        <v>999</v>
      </c>
      <c r="BB106" t="str">
        <f>"420"</f>
        <v>420</v>
      </c>
      <c r="BC106" t="s">
        <v>388</v>
      </c>
      <c r="BD106" t="str">
        <f t="shared" si="6"/>
        <v>1</v>
      </c>
      <c r="BE106" t="s">
        <v>389</v>
      </c>
      <c r="BF106" t="str">
        <f>"37.8"</f>
        <v>37.8</v>
      </c>
      <c r="BG106" t="str">
        <f>"29.92"</f>
        <v>29.92</v>
      </c>
      <c r="BH106" t="str">
        <f>"31.5"</f>
        <v>31.5</v>
      </c>
      <c r="BI106" t="str">
        <f>"51.37"</f>
        <v>51.37</v>
      </c>
      <c r="BY106" t="str">
        <f>"20.62"</f>
        <v>20.62</v>
      </c>
      <c r="BZ106" t="str">
        <f>"0.584"</f>
        <v>0.584</v>
      </c>
      <c r="CA106" t="s">
        <v>390</v>
      </c>
      <c r="CK106" t="s">
        <v>602</v>
      </c>
      <c r="CL106" t="s">
        <v>1136</v>
      </c>
      <c r="CN106">
        <v>0</v>
      </c>
      <c r="CO106">
        <v>1</v>
      </c>
      <c r="CP106" t="s">
        <v>437</v>
      </c>
      <c r="CQ106" t="s">
        <v>399</v>
      </c>
      <c r="CX106" t="s">
        <v>403</v>
      </c>
      <c r="CY106" t="s">
        <v>400</v>
      </c>
      <c r="CZ106">
        <v>0</v>
      </c>
      <c r="DD106">
        <v>15000</v>
      </c>
      <c r="DE106" t="s">
        <v>439</v>
      </c>
      <c r="DF106" t="s">
        <v>632</v>
      </c>
      <c r="DH106">
        <v>1</v>
      </c>
      <c r="DI106">
        <v>1</v>
      </c>
      <c r="DK106" t="s">
        <v>2509</v>
      </c>
      <c r="DL106">
        <v>0</v>
      </c>
      <c r="DM106" t="s">
        <v>538</v>
      </c>
      <c r="DN106" t="s">
        <v>603</v>
      </c>
      <c r="DO106" t="s">
        <v>1489</v>
      </c>
      <c r="DP106" t="s">
        <v>2079</v>
      </c>
      <c r="DT106" t="s">
        <v>2510</v>
      </c>
      <c r="DX106" t="s">
        <v>1056</v>
      </c>
      <c r="DY106" t="s">
        <v>855</v>
      </c>
      <c r="DZ106" t="s">
        <v>600</v>
      </c>
      <c r="EA106" t="s">
        <v>1240</v>
      </c>
      <c r="ED106" t="s">
        <v>632</v>
      </c>
      <c r="EG106" t="s">
        <v>1513</v>
      </c>
      <c r="EP106" t="s">
        <v>449</v>
      </c>
      <c r="EQ106" t="s">
        <v>1151</v>
      </c>
      <c r="ER106">
        <v>0</v>
      </c>
      <c r="ES106">
        <v>0</v>
      </c>
      <c r="EU106">
        <v>0</v>
      </c>
    </row>
    <row r="107" spans="1:246" x14ac:dyDescent="0.25">
      <c r="A107" t="s">
        <v>2577</v>
      </c>
      <c r="B107" t="str">
        <f>"801542592691"</f>
        <v>801542592691</v>
      </c>
      <c r="C107" t="s">
        <v>2578</v>
      </c>
      <c r="D107" t="s">
        <v>1139</v>
      </c>
      <c r="E107" t="s">
        <v>515</v>
      </c>
      <c r="F107" t="s">
        <v>516</v>
      </c>
      <c r="G107" t="str">
        <f>"29.5"</f>
        <v>29.5</v>
      </c>
      <c r="H107" t="str">
        <f>"31.5"</f>
        <v>31.5</v>
      </c>
      <c r="I107" t="str">
        <f>"34"</f>
        <v>34</v>
      </c>
      <c r="J107" t="str">
        <f>"52.91"</f>
        <v>52.91</v>
      </c>
      <c r="K107" t="s">
        <v>2579</v>
      </c>
      <c r="N107" t="s">
        <v>371</v>
      </c>
      <c r="T107" t="s">
        <v>373</v>
      </c>
      <c r="U107" t="s">
        <v>373</v>
      </c>
      <c r="V107" t="s">
        <v>2580</v>
      </c>
      <c r="W107" t="s">
        <v>2581</v>
      </c>
      <c r="X107" t="s">
        <v>2582</v>
      </c>
      <c r="Y107" t="s">
        <v>2583</v>
      </c>
      <c r="Z107" t="s">
        <v>2584</v>
      </c>
      <c r="AA107" t="s">
        <v>2585</v>
      </c>
      <c r="AB107" t="s">
        <v>2586</v>
      </c>
      <c r="AC107" t="s">
        <v>2587</v>
      </c>
      <c r="AD107" t="s">
        <v>2588</v>
      </c>
      <c r="AE107" t="s">
        <v>2589</v>
      </c>
      <c r="AF107" t="s">
        <v>2590</v>
      </c>
      <c r="AG107" t="s">
        <v>2591</v>
      </c>
      <c r="AH107" t="s">
        <v>2592</v>
      </c>
      <c r="AI107" t="s">
        <v>2593</v>
      </c>
      <c r="AJ107" t="s">
        <v>2594</v>
      </c>
      <c r="BA107" t="str">
        <f>"1049"</f>
        <v>1049</v>
      </c>
      <c r="BB107" t="str">
        <f>"445"</f>
        <v>445</v>
      </c>
      <c r="BC107" t="s">
        <v>1149</v>
      </c>
      <c r="BD107" t="str">
        <f t="shared" si="6"/>
        <v>1</v>
      </c>
      <c r="BE107" t="s">
        <v>389</v>
      </c>
      <c r="BF107" t="str">
        <f>"35"</f>
        <v>35</v>
      </c>
      <c r="BG107" t="str">
        <f>"32"</f>
        <v>32</v>
      </c>
      <c r="BH107" t="str">
        <f>"36"</f>
        <v>36</v>
      </c>
      <c r="BI107" t="str">
        <f>"61.73"</f>
        <v>61.73</v>
      </c>
      <c r="BY107" t="str">
        <f>"23.34"</f>
        <v>23.34</v>
      </c>
      <c r="BZ107" t="str">
        <f>"0.661"</f>
        <v>0.661</v>
      </c>
      <c r="CA107" t="s">
        <v>495</v>
      </c>
      <c r="CK107" t="s">
        <v>2595</v>
      </c>
      <c r="CL107" t="s">
        <v>2595</v>
      </c>
      <c r="CM107" t="s">
        <v>1491</v>
      </c>
      <c r="CN107">
        <v>0</v>
      </c>
      <c r="CO107">
        <v>1</v>
      </c>
      <c r="CP107" t="s">
        <v>437</v>
      </c>
      <c r="CQ107" t="s">
        <v>631</v>
      </c>
      <c r="CU107" t="s">
        <v>2596</v>
      </c>
      <c r="CX107" t="s">
        <v>403</v>
      </c>
      <c r="CY107" t="s">
        <v>1753</v>
      </c>
      <c r="CZ107">
        <v>1</v>
      </c>
      <c r="DD107">
        <v>15000</v>
      </c>
      <c r="DE107" t="s">
        <v>439</v>
      </c>
      <c r="DF107" t="s">
        <v>632</v>
      </c>
      <c r="DG107" t="s">
        <v>1808</v>
      </c>
      <c r="DH107">
        <v>1</v>
      </c>
      <c r="DI107">
        <v>1</v>
      </c>
      <c r="DK107" t="s">
        <v>2597</v>
      </c>
      <c r="DL107">
        <v>0</v>
      </c>
      <c r="DM107" t="s">
        <v>538</v>
      </c>
      <c r="DN107" t="s">
        <v>2598</v>
      </c>
      <c r="DO107" t="s">
        <v>2599</v>
      </c>
      <c r="DP107" t="s">
        <v>2600</v>
      </c>
      <c r="DT107" t="s">
        <v>675</v>
      </c>
      <c r="DX107" t="s">
        <v>1552</v>
      </c>
      <c r="EA107" t="s">
        <v>510</v>
      </c>
      <c r="ED107" t="s">
        <v>632</v>
      </c>
      <c r="EE107" t="s">
        <v>454</v>
      </c>
      <c r="EF107" t="s">
        <v>1190</v>
      </c>
      <c r="EG107" t="s">
        <v>2596</v>
      </c>
      <c r="EP107" t="s">
        <v>602</v>
      </c>
      <c r="EQ107" t="s">
        <v>2601</v>
      </c>
      <c r="ER107">
        <v>0</v>
      </c>
      <c r="ES107">
        <v>0</v>
      </c>
      <c r="EU107">
        <v>0</v>
      </c>
      <c r="HM107" t="s">
        <v>1754</v>
      </c>
      <c r="IH107" t="s">
        <v>446</v>
      </c>
      <c r="II107" t="s">
        <v>1037</v>
      </c>
      <c r="IJ107" t="s">
        <v>449</v>
      </c>
      <c r="IK107" t="s">
        <v>454</v>
      </c>
      <c r="IL107" t="s">
        <v>402</v>
      </c>
    </row>
    <row r="108" spans="1:246" x14ac:dyDescent="0.25">
      <c r="A108" t="s">
        <v>2602</v>
      </c>
      <c r="B108" t="str">
        <f>"801542350086"</f>
        <v>801542350086</v>
      </c>
      <c r="C108" t="s">
        <v>2603</v>
      </c>
      <c r="D108" t="s">
        <v>1139</v>
      </c>
      <c r="E108" t="s">
        <v>515</v>
      </c>
      <c r="F108" t="s">
        <v>516</v>
      </c>
      <c r="G108" t="str">
        <f>"29.5"</f>
        <v>29.5</v>
      </c>
      <c r="H108" t="str">
        <f>"31.5"</f>
        <v>31.5</v>
      </c>
      <c r="I108" t="str">
        <f>"34"</f>
        <v>34</v>
      </c>
      <c r="J108" t="str">
        <f>"52.91"</f>
        <v>52.91</v>
      </c>
      <c r="K108" t="s">
        <v>1140</v>
      </c>
      <c r="N108" t="s">
        <v>371</v>
      </c>
      <c r="T108" t="s">
        <v>373</v>
      </c>
      <c r="U108" t="s">
        <v>402</v>
      </c>
      <c r="V108" t="s">
        <v>2580</v>
      </c>
      <c r="W108" t="s">
        <v>2604</v>
      </c>
      <c r="X108" t="s">
        <v>2605</v>
      </c>
      <c r="Y108" t="s">
        <v>2606</v>
      </c>
      <c r="Z108" t="s">
        <v>2607</v>
      </c>
      <c r="AA108" t="s">
        <v>2608</v>
      </c>
      <c r="AB108" t="s">
        <v>2609</v>
      </c>
      <c r="AC108" t="s">
        <v>2610</v>
      </c>
      <c r="AD108" t="s">
        <v>2611</v>
      </c>
      <c r="AE108" t="s">
        <v>2612</v>
      </c>
      <c r="AF108" t="s">
        <v>2613</v>
      </c>
      <c r="AG108" t="s">
        <v>2614</v>
      </c>
      <c r="AH108" t="s">
        <v>2615</v>
      </c>
      <c r="AI108" t="s">
        <v>2616</v>
      </c>
      <c r="AJ108" t="s">
        <v>2617</v>
      </c>
      <c r="AK108" t="s">
        <v>2618</v>
      </c>
      <c r="AL108" t="s">
        <v>2619</v>
      </c>
      <c r="AM108" t="s">
        <v>2620</v>
      </c>
      <c r="BA108" t="str">
        <f>"1249"</f>
        <v>1249</v>
      </c>
      <c r="BB108" t="str">
        <f>"525"</f>
        <v>525</v>
      </c>
      <c r="BC108" t="s">
        <v>1149</v>
      </c>
      <c r="BD108" t="str">
        <f t="shared" si="6"/>
        <v>1</v>
      </c>
      <c r="BE108" t="s">
        <v>389</v>
      </c>
      <c r="BF108" t="str">
        <f>"35"</f>
        <v>35</v>
      </c>
      <c r="BG108" t="str">
        <f>"32"</f>
        <v>32</v>
      </c>
      <c r="BH108" t="str">
        <f>"36"</f>
        <v>36</v>
      </c>
      <c r="BI108" t="str">
        <f>"61.73"</f>
        <v>61.73</v>
      </c>
      <c r="BY108" t="str">
        <f>"23.34"</f>
        <v>23.34</v>
      </c>
      <c r="BZ108" t="str">
        <f>"0.661"</f>
        <v>0.661</v>
      </c>
      <c r="CA108" t="s">
        <v>390</v>
      </c>
      <c r="CK108" t="s">
        <v>2595</v>
      </c>
      <c r="CL108" t="s">
        <v>2595</v>
      </c>
      <c r="CM108" t="s">
        <v>1491</v>
      </c>
      <c r="CN108">
        <v>0</v>
      </c>
      <c r="CO108">
        <v>1</v>
      </c>
      <c r="CP108" t="s">
        <v>437</v>
      </c>
      <c r="CQ108" t="s">
        <v>1152</v>
      </c>
      <c r="CU108" t="s">
        <v>2596</v>
      </c>
      <c r="CX108" t="s">
        <v>403</v>
      </c>
      <c r="CY108" t="s">
        <v>1753</v>
      </c>
      <c r="CZ108">
        <v>1</v>
      </c>
      <c r="DD108">
        <v>100000</v>
      </c>
      <c r="DE108" t="s">
        <v>439</v>
      </c>
      <c r="DF108" t="s">
        <v>632</v>
      </c>
      <c r="DG108" t="s">
        <v>1808</v>
      </c>
      <c r="DH108">
        <v>1</v>
      </c>
      <c r="DI108">
        <v>1</v>
      </c>
      <c r="DK108" t="s">
        <v>2597</v>
      </c>
      <c r="DL108">
        <v>0</v>
      </c>
      <c r="DM108" t="s">
        <v>538</v>
      </c>
      <c r="DN108" t="s">
        <v>2598</v>
      </c>
      <c r="DO108" t="s">
        <v>2599</v>
      </c>
      <c r="DP108" t="s">
        <v>2600</v>
      </c>
      <c r="DT108" t="s">
        <v>675</v>
      </c>
      <c r="DX108" t="s">
        <v>1552</v>
      </c>
      <c r="EA108" t="s">
        <v>510</v>
      </c>
      <c r="ED108" t="s">
        <v>632</v>
      </c>
      <c r="EE108" t="s">
        <v>454</v>
      </c>
      <c r="EF108" t="s">
        <v>1190</v>
      </c>
      <c r="EG108" t="s">
        <v>2596</v>
      </c>
      <c r="EP108" t="s">
        <v>602</v>
      </c>
      <c r="EQ108" t="s">
        <v>2601</v>
      </c>
      <c r="ER108">
        <v>0</v>
      </c>
      <c r="ES108">
        <v>0</v>
      </c>
      <c r="EU108">
        <v>0</v>
      </c>
      <c r="HM108" t="s">
        <v>1754</v>
      </c>
      <c r="IH108" t="s">
        <v>446</v>
      </c>
      <c r="II108" t="s">
        <v>1037</v>
      </c>
      <c r="IJ108" t="s">
        <v>449</v>
      </c>
      <c r="IK108" t="s">
        <v>454</v>
      </c>
      <c r="IL108" t="s">
        <v>402</v>
      </c>
    </row>
    <row r="109" spans="1:246" x14ac:dyDescent="0.25">
      <c r="A109" t="s">
        <v>2621</v>
      </c>
      <c r="B109" t="str">
        <f>"801542725143"</f>
        <v>801542725143</v>
      </c>
      <c r="C109" t="s">
        <v>2622</v>
      </c>
      <c r="D109" t="s">
        <v>835</v>
      </c>
      <c r="E109" t="s">
        <v>515</v>
      </c>
      <c r="F109" t="s">
        <v>516</v>
      </c>
      <c r="G109" t="str">
        <f>"28"</f>
        <v>28</v>
      </c>
      <c r="H109" t="str">
        <f>"37"</f>
        <v>37</v>
      </c>
      <c r="I109" t="str">
        <f>"35"</f>
        <v>35</v>
      </c>
      <c r="J109" t="str">
        <f>"36.16"</f>
        <v>36.16</v>
      </c>
      <c r="K109" t="s">
        <v>584</v>
      </c>
      <c r="L109" t="s">
        <v>2623</v>
      </c>
      <c r="N109" t="s">
        <v>416</v>
      </c>
      <c r="O109" t="s">
        <v>555</v>
      </c>
      <c r="T109" t="s">
        <v>373</v>
      </c>
      <c r="U109" t="s">
        <v>373</v>
      </c>
      <c r="W109" t="s">
        <v>2624</v>
      </c>
      <c r="X109" t="s">
        <v>2625</v>
      </c>
      <c r="Y109" t="s">
        <v>2626</v>
      </c>
      <c r="Z109" t="s">
        <v>2627</v>
      </c>
      <c r="AA109" t="s">
        <v>2628</v>
      </c>
      <c r="AB109" t="s">
        <v>2629</v>
      </c>
      <c r="AC109" t="s">
        <v>2630</v>
      </c>
      <c r="AD109" t="s">
        <v>2631</v>
      </c>
      <c r="AE109" t="s">
        <v>2632</v>
      </c>
      <c r="AF109" t="s">
        <v>2633</v>
      </c>
      <c r="AG109" t="s">
        <v>2634</v>
      </c>
      <c r="AH109" t="s">
        <v>2635</v>
      </c>
      <c r="AI109" t="s">
        <v>2636</v>
      </c>
      <c r="AJ109" t="s">
        <v>2637</v>
      </c>
      <c r="AK109" t="s">
        <v>2638</v>
      </c>
      <c r="BA109" t="str">
        <f>"2099"</f>
        <v>2099</v>
      </c>
      <c r="BB109" t="str">
        <f>"885"</f>
        <v>885</v>
      </c>
      <c r="BC109" t="s">
        <v>388</v>
      </c>
      <c r="BD109" t="str">
        <f t="shared" si="6"/>
        <v>1</v>
      </c>
      <c r="BE109" t="s">
        <v>2639</v>
      </c>
      <c r="BF109" t="str">
        <f>"30.31"</f>
        <v>30.31</v>
      </c>
      <c r="BG109" t="str">
        <f>"39.37"</f>
        <v>39.37</v>
      </c>
      <c r="BH109" t="str">
        <f>"37.01"</f>
        <v>37.01</v>
      </c>
      <c r="BI109" t="str">
        <f>"55.34"</f>
        <v>55.34</v>
      </c>
      <c r="BY109" t="str">
        <f>"21.61"</f>
        <v>21.61</v>
      </c>
      <c r="BZ109" t="str">
        <f>"0.612"</f>
        <v>0.612</v>
      </c>
      <c r="CA109" t="s">
        <v>495</v>
      </c>
      <c r="CH109" t="s">
        <v>601</v>
      </c>
      <c r="CI109" t="s">
        <v>446</v>
      </c>
      <c r="CJ109" t="s">
        <v>451</v>
      </c>
      <c r="CK109" t="s">
        <v>601</v>
      </c>
      <c r="CL109" t="s">
        <v>602</v>
      </c>
      <c r="CN109">
        <v>0</v>
      </c>
      <c r="CO109">
        <v>1</v>
      </c>
      <c r="CP109" t="s">
        <v>437</v>
      </c>
      <c r="CQ109" t="s">
        <v>438</v>
      </c>
      <c r="CX109" t="s">
        <v>403</v>
      </c>
      <c r="CY109" t="s">
        <v>400</v>
      </c>
      <c r="CZ109">
        <v>0</v>
      </c>
      <c r="DD109">
        <v>0</v>
      </c>
      <c r="DE109" t="s">
        <v>570</v>
      </c>
      <c r="DF109" t="s">
        <v>2640</v>
      </c>
      <c r="DG109" t="s">
        <v>2641</v>
      </c>
      <c r="DH109">
        <v>1</v>
      </c>
      <c r="DI109">
        <v>1</v>
      </c>
      <c r="DK109" t="s">
        <v>2642</v>
      </c>
      <c r="DL109">
        <v>0</v>
      </c>
      <c r="DM109" t="s">
        <v>538</v>
      </c>
      <c r="DN109" t="s">
        <v>603</v>
      </c>
      <c r="DO109" t="s">
        <v>1156</v>
      </c>
      <c r="DP109" t="s">
        <v>609</v>
      </c>
      <c r="DT109" t="s">
        <v>1040</v>
      </c>
      <c r="DU109" t="s">
        <v>446</v>
      </c>
      <c r="DV109" t="s">
        <v>979</v>
      </c>
      <c r="DW109" t="s">
        <v>638</v>
      </c>
      <c r="DX109" t="s">
        <v>2240</v>
      </c>
      <c r="DY109" t="s">
        <v>1853</v>
      </c>
      <c r="DZ109" t="s">
        <v>634</v>
      </c>
      <c r="EA109" t="s">
        <v>979</v>
      </c>
      <c r="ED109" t="s">
        <v>2640</v>
      </c>
      <c r="EE109" t="s">
        <v>2641</v>
      </c>
      <c r="EG109" t="s">
        <v>2643</v>
      </c>
      <c r="EP109" t="s">
        <v>1553</v>
      </c>
      <c r="EQ109" t="s">
        <v>451</v>
      </c>
      <c r="ER109">
        <v>0</v>
      </c>
      <c r="ES109">
        <v>0</v>
      </c>
      <c r="EU109">
        <v>0</v>
      </c>
    </row>
    <row r="110" spans="1:246" x14ac:dyDescent="0.25">
      <c r="A110" t="s">
        <v>2644</v>
      </c>
      <c r="B110" t="str">
        <f>"801542672515"</f>
        <v>801542672515</v>
      </c>
      <c r="C110" t="s">
        <v>2645</v>
      </c>
      <c r="D110" t="s">
        <v>835</v>
      </c>
      <c r="E110" t="s">
        <v>515</v>
      </c>
      <c r="F110" t="s">
        <v>516</v>
      </c>
      <c r="G110" t="str">
        <f>"28"</f>
        <v>28</v>
      </c>
      <c r="H110" t="str">
        <f>"37"</f>
        <v>37</v>
      </c>
      <c r="I110" t="str">
        <f>"35"</f>
        <v>35</v>
      </c>
      <c r="J110" t="str">
        <f>"36.16"</f>
        <v>36.16</v>
      </c>
      <c r="K110" t="s">
        <v>2646</v>
      </c>
      <c r="L110" t="s">
        <v>837</v>
      </c>
      <c r="N110" t="s">
        <v>416</v>
      </c>
      <c r="O110" t="s">
        <v>555</v>
      </c>
      <c r="T110" t="s">
        <v>373</v>
      </c>
      <c r="U110" t="s">
        <v>373</v>
      </c>
      <c r="V110" t="s">
        <v>2647</v>
      </c>
      <c r="W110" t="s">
        <v>2648</v>
      </c>
      <c r="X110" t="s">
        <v>2649</v>
      </c>
      <c r="Y110" t="s">
        <v>2650</v>
      </c>
      <c r="Z110" t="s">
        <v>2651</v>
      </c>
      <c r="AA110" t="s">
        <v>2652</v>
      </c>
      <c r="AB110" t="s">
        <v>2653</v>
      </c>
      <c r="AC110" t="s">
        <v>2654</v>
      </c>
      <c r="AD110" t="s">
        <v>2655</v>
      </c>
      <c r="AE110" t="s">
        <v>2656</v>
      </c>
      <c r="AF110" t="s">
        <v>2657</v>
      </c>
      <c r="AG110" t="s">
        <v>2658</v>
      </c>
      <c r="AH110" t="s">
        <v>2659</v>
      </c>
      <c r="BA110" t="str">
        <f>"2399"</f>
        <v>2399</v>
      </c>
      <c r="BB110" t="str">
        <f>"1010"</f>
        <v>1010</v>
      </c>
      <c r="BC110" t="s">
        <v>388</v>
      </c>
      <c r="BD110" t="str">
        <f t="shared" si="6"/>
        <v>1</v>
      </c>
      <c r="BE110" t="s">
        <v>2639</v>
      </c>
      <c r="BF110" t="str">
        <f>"30.31"</f>
        <v>30.31</v>
      </c>
      <c r="BG110" t="str">
        <f>"39.37"</f>
        <v>39.37</v>
      </c>
      <c r="BH110" t="str">
        <f>"37.01"</f>
        <v>37.01</v>
      </c>
      <c r="BI110" t="str">
        <f>"55.34"</f>
        <v>55.34</v>
      </c>
      <c r="BY110" t="str">
        <f>"21.61"</f>
        <v>21.61</v>
      </c>
      <c r="BZ110" t="str">
        <f>"0.612"</f>
        <v>0.612</v>
      </c>
      <c r="CA110" t="s">
        <v>495</v>
      </c>
      <c r="CH110" t="s">
        <v>601</v>
      </c>
      <c r="CI110" t="s">
        <v>446</v>
      </c>
      <c r="CJ110" t="s">
        <v>451</v>
      </c>
      <c r="CK110" t="s">
        <v>601</v>
      </c>
      <c r="CL110" t="s">
        <v>602</v>
      </c>
      <c r="CN110">
        <v>0</v>
      </c>
      <c r="CO110">
        <v>1</v>
      </c>
      <c r="CP110" t="s">
        <v>437</v>
      </c>
      <c r="CQ110" t="s">
        <v>438</v>
      </c>
      <c r="CX110" t="s">
        <v>403</v>
      </c>
      <c r="CY110" t="s">
        <v>400</v>
      </c>
      <c r="CZ110">
        <v>0</v>
      </c>
      <c r="DD110">
        <v>0</v>
      </c>
      <c r="DE110" t="s">
        <v>570</v>
      </c>
      <c r="DF110" t="s">
        <v>2640</v>
      </c>
      <c r="DG110" t="s">
        <v>2641</v>
      </c>
      <c r="DH110">
        <v>1</v>
      </c>
      <c r="DI110">
        <v>1</v>
      </c>
      <c r="DK110" t="s">
        <v>2642</v>
      </c>
      <c r="DL110">
        <v>0</v>
      </c>
      <c r="DM110" t="s">
        <v>538</v>
      </c>
      <c r="DN110" t="s">
        <v>603</v>
      </c>
      <c r="DO110" t="s">
        <v>1156</v>
      </c>
      <c r="DP110" t="s">
        <v>609</v>
      </c>
      <c r="DT110" t="s">
        <v>1040</v>
      </c>
      <c r="DU110" t="s">
        <v>446</v>
      </c>
      <c r="DV110" t="s">
        <v>979</v>
      </c>
      <c r="DW110" t="s">
        <v>638</v>
      </c>
      <c r="DX110" t="s">
        <v>2240</v>
      </c>
      <c r="DY110" t="s">
        <v>1853</v>
      </c>
      <c r="DZ110" t="s">
        <v>634</v>
      </c>
      <c r="EA110" t="s">
        <v>979</v>
      </c>
      <c r="ED110" t="s">
        <v>2640</v>
      </c>
      <c r="EE110" t="s">
        <v>2641</v>
      </c>
      <c r="EG110" t="s">
        <v>2643</v>
      </c>
      <c r="EP110" t="s">
        <v>1553</v>
      </c>
      <c r="EQ110" t="s">
        <v>451</v>
      </c>
      <c r="ER110">
        <v>0</v>
      </c>
      <c r="ES110">
        <v>0</v>
      </c>
      <c r="EU110">
        <v>0</v>
      </c>
    </row>
    <row r="111" spans="1:246" x14ac:dyDescent="0.25">
      <c r="A111" t="s">
        <v>2660</v>
      </c>
      <c r="B111" t="str">
        <f>"801542672522"</f>
        <v>801542672522</v>
      </c>
      <c r="C111" t="s">
        <v>2661</v>
      </c>
      <c r="D111" t="s">
        <v>835</v>
      </c>
      <c r="E111" t="s">
        <v>515</v>
      </c>
      <c r="F111" t="s">
        <v>516</v>
      </c>
      <c r="G111" t="str">
        <f>"28"</f>
        <v>28</v>
      </c>
      <c r="H111" t="str">
        <f>"37"</f>
        <v>37</v>
      </c>
      <c r="I111" t="str">
        <f>"35"</f>
        <v>35</v>
      </c>
      <c r="J111" t="str">
        <f>"36.16"</f>
        <v>36.16</v>
      </c>
      <c r="K111" t="s">
        <v>863</v>
      </c>
      <c r="L111" t="s">
        <v>2662</v>
      </c>
      <c r="N111" t="s">
        <v>416</v>
      </c>
      <c r="O111" t="s">
        <v>555</v>
      </c>
      <c r="T111" t="s">
        <v>373</v>
      </c>
      <c r="U111" t="s">
        <v>373</v>
      </c>
      <c r="V111" t="s">
        <v>2663</v>
      </c>
      <c r="W111" t="s">
        <v>2664</v>
      </c>
      <c r="X111" t="s">
        <v>2665</v>
      </c>
      <c r="Y111" t="s">
        <v>2666</v>
      </c>
      <c r="Z111" t="s">
        <v>2667</v>
      </c>
      <c r="AA111" t="s">
        <v>2668</v>
      </c>
      <c r="AB111" t="s">
        <v>2669</v>
      </c>
      <c r="AC111" t="s">
        <v>2670</v>
      </c>
      <c r="AD111" t="s">
        <v>2671</v>
      </c>
      <c r="AE111" t="s">
        <v>2672</v>
      </c>
      <c r="AF111" t="s">
        <v>2673</v>
      </c>
      <c r="AG111" t="s">
        <v>2674</v>
      </c>
      <c r="AH111" t="s">
        <v>2675</v>
      </c>
      <c r="AI111" t="s">
        <v>2676</v>
      </c>
      <c r="BA111" t="str">
        <f>"2099"</f>
        <v>2099</v>
      </c>
      <c r="BB111" t="str">
        <f>"885"</f>
        <v>885</v>
      </c>
      <c r="BC111" t="s">
        <v>388</v>
      </c>
      <c r="BD111" t="str">
        <f t="shared" si="6"/>
        <v>1</v>
      </c>
      <c r="BE111" t="s">
        <v>2639</v>
      </c>
      <c r="BF111" t="str">
        <f>"30.31"</f>
        <v>30.31</v>
      </c>
      <c r="BG111" t="str">
        <f>"39.37"</f>
        <v>39.37</v>
      </c>
      <c r="BH111" t="str">
        <f>"37.01"</f>
        <v>37.01</v>
      </c>
      <c r="BI111" t="str">
        <f>"55.34"</f>
        <v>55.34</v>
      </c>
      <c r="BY111" t="str">
        <f>"21.61"</f>
        <v>21.61</v>
      </c>
      <c r="BZ111" t="str">
        <f>"0.612"</f>
        <v>0.612</v>
      </c>
      <c r="CA111" t="s">
        <v>390</v>
      </c>
      <c r="CH111" t="s">
        <v>601</v>
      </c>
      <c r="CI111" t="s">
        <v>446</v>
      </c>
      <c r="CJ111" t="s">
        <v>451</v>
      </c>
      <c r="CK111" t="s">
        <v>601</v>
      </c>
      <c r="CL111" t="s">
        <v>602</v>
      </c>
      <c r="CN111">
        <v>0</v>
      </c>
      <c r="CO111">
        <v>1</v>
      </c>
      <c r="CP111" t="s">
        <v>437</v>
      </c>
      <c r="CQ111" t="s">
        <v>438</v>
      </c>
      <c r="CX111" t="s">
        <v>403</v>
      </c>
      <c r="CY111" t="s">
        <v>400</v>
      </c>
      <c r="CZ111">
        <v>0</v>
      </c>
      <c r="DD111">
        <v>0</v>
      </c>
      <c r="DE111" t="s">
        <v>570</v>
      </c>
      <c r="DF111" t="s">
        <v>2640</v>
      </c>
      <c r="DG111" t="s">
        <v>2641</v>
      </c>
      <c r="DH111">
        <v>1</v>
      </c>
      <c r="DI111">
        <v>1</v>
      </c>
      <c r="DK111" t="s">
        <v>2642</v>
      </c>
      <c r="DL111">
        <v>0</v>
      </c>
      <c r="DM111" t="s">
        <v>538</v>
      </c>
      <c r="DN111" t="s">
        <v>603</v>
      </c>
      <c r="DO111" t="s">
        <v>1156</v>
      </c>
      <c r="DP111" t="s">
        <v>609</v>
      </c>
      <c r="DT111" t="s">
        <v>1040</v>
      </c>
      <c r="DU111" t="s">
        <v>446</v>
      </c>
      <c r="DV111" t="s">
        <v>979</v>
      </c>
      <c r="DW111" t="s">
        <v>638</v>
      </c>
      <c r="DX111" t="s">
        <v>2240</v>
      </c>
      <c r="DY111" t="s">
        <v>1853</v>
      </c>
      <c r="DZ111" t="s">
        <v>634</v>
      </c>
      <c r="EA111" t="s">
        <v>979</v>
      </c>
      <c r="ED111" t="s">
        <v>2640</v>
      </c>
      <c r="EE111" t="s">
        <v>2641</v>
      </c>
      <c r="EG111" t="s">
        <v>2643</v>
      </c>
      <c r="EP111" t="s">
        <v>1553</v>
      </c>
      <c r="EQ111" t="s">
        <v>451</v>
      </c>
      <c r="ER111">
        <v>0</v>
      </c>
      <c r="ES111">
        <v>0</v>
      </c>
      <c r="EU111">
        <v>0</v>
      </c>
    </row>
    <row r="112" spans="1:246" x14ac:dyDescent="0.25">
      <c r="A112" t="s">
        <v>2677</v>
      </c>
      <c r="B112" t="str">
        <f>"801542709440"</f>
        <v>801542709440</v>
      </c>
      <c r="C112" t="s">
        <v>2678</v>
      </c>
      <c r="D112" t="s">
        <v>835</v>
      </c>
      <c r="E112" t="s">
        <v>515</v>
      </c>
      <c r="F112" t="s">
        <v>516</v>
      </c>
      <c r="G112" t="str">
        <f t="shared" ref="G112:G117" si="15">"26"</f>
        <v>26</v>
      </c>
      <c r="H112" t="str">
        <f t="shared" ref="H112:H117" si="16">"31.5"</f>
        <v>31.5</v>
      </c>
      <c r="I112" t="str">
        <f t="shared" ref="I112:I117" si="17">"31"</f>
        <v>31</v>
      </c>
      <c r="J112" t="str">
        <f t="shared" ref="J112:J117" si="18">"48.5"</f>
        <v>48.5</v>
      </c>
      <c r="K112" t="s">
        <v>2294</v>
      </c>
      <c r="L112" t="s">
        <v>585</v>
      </c>
      <c r="N112" t="s">
        <v>1170</v>
      </c>
      <c r="O112" t="s">
        <v>2269</v>
      </c>
      <c r="P112" t="s">
        <v>775</v>
      </c>
      <c r="T112" t="s">
        <v>402</v>
      </c>
      <c r="U112" t="s">
        <v>402</v>
      </c>
      <c r="V112" t="s">
        <v>2679</v>
      </c>
      <c r="W112" t="s">
        <v>2680</v>
      </c>
      <c r="X112" t="s">
        <v>2681</v>
      </c>
      <c r="Y112" t="s">
        <v>2682</v>
      </c>
      <c r="Z112" t="s">
        <v>2683</v>
      </c>
      <c r="AA112" t="s">
        <v>2684</v>
      </c>
      <c r="AB112" t="s">
        <v>2685</v>
      </c>
      <c r="AC112" t="s">
        <v>2686</v>
      </c>
      <c r="AD112" t="s">
        <v>2687</v>
      </c>
      <c r="AE112" t="s">
        <v>2688</v>
      </c>
      <c r="AF112" t="s">
        <v>2689</v>
      </c>
      <c r="AG112" t="s">
        <v>2690</v>
      </c>
      <c r="AH112" t="s">
        <v>2691</v>
      </c>
      <c r="AI112" t="s">
        <v>2692</v>
      </c>
      <c r="AJ112" t="s">
        <v>2693</v>
      </c>
      <c r="AK112" t="s">
        <v>2694</v>
      </c>
      <c r="BA112" t="str">
        <f>"999"</f>
        <v>999</v>
      </c>
      <c r="BB112" t="str">
        <f>"420"</f>
        <v>420</v>
      </c>
      <c r="BC112" t="s">
        <v>388</v>
      </c>
      <c r="BD112" t="str">
        <f t="shared" si="6"/>
        <v>1</v>
      </c>
      <c r="BE112" t="s">
        <v>389</v>
      </c>
      <c r="BF112" t="str">
        <f t="shared" ref="BF112:BF117" si="19">"27.17"</f>
        <v>27.17</v>
      </c>
      <c r="BG112" t="str">
        <f t="shared" ref="BG112:BG117" si="20">"31.3"</f>
        <v>31.3</v>
      </c>
      <c r="BH112" t="str">
        <f t="shared" ref="BH112:BH117" si="21">"33.86"</f>
        <v>33.86</v>
      </c>
      <c r="BI112" t="str">
        <f t="shared" ref="BI112:BI117" si="22">"56.88"</f>
        <v>56.88</v>
      </c>
      <c r="BY112" t="str">
        <f t="shared" ref="BY112:BY117" si="23">"15.29"</f>
        <v>15.29</v>
      </c>
      <c r="BZ112" t="str">
        <f t="shared" ref="BZ112:BZ117" si="24">"0.433"</f>
        <v>0.433</v>
      </c>
      <c r="CA112" t="s">
        <v>431</v>
      </c>
      <c r="CK112" t="s">
        <v>601</v>
      </c>
      <c r="CL112" t="s">
        <v>981</v>
      </c>
      <c r="CN112">
        <v>0</v>
      </c>
      <c r="CO112">
        <v>0</v>
      </c>
      <c r="CP112" t="s">
        <v>437</v>
      </c>
      <c r="CQ112" t="s">
        <v>631</v>
      </c>
      <c r="CX112" t="s">
        <v>403</v>
      </c>
      <c r="CY112" t="s">
        <v>1753</v>
      </c>
      <c r="CZ112">
        <v>0</v>
      </c>
      <c r="DD112">
        <v>25000</v>
      </c>
      <c r="DE112" t="s">
        <v>570</v>
      </c>
      <c r="DH112">
        <v>0</v>
      </c>
      <c r="DI112">
        <v>1</v>
      </c>
      <c r="DK112" t="s">
        <v>2695</v>
      </c>
      <c r="DL112">
        <v>0</v>
      </c>
      <c r="DM112" t="s">
        <v>538</v>
      </c>
      <c r="DN112" t="s">
        <v>796</v>
      </c>
      <c r="DO112" t="s">
        <v>1037</v>
      </c>
      <c r="DP112" t="s">
        <v>830</v>
      </c>
      <c r="DT112" t="s">
        <v>475</v>
      </c>
      <c r="DX112" t="s">
        <v>827</v>
      </c>
      <c r="DY112" t="s">
        <v>2241</v>
      </c>
      <c r="DZ112" t="s">
        <v>2241</v>
      </c>
      <c r="EA112" t="s">
        <v>2696</v>
      </c>
      <c r="EG112" t="s">
        <v>2029</v>
      </c>
      <c r="EP112" t="s">
        <v>474</v>
      </c>
      <c r="EQ112" t="s">
        <v>602</v>
      </c>
      <c r="ER112">
        <v>0</v>
      </c>
      <c r="ES112">
        <v>0</v>
      </c>
      <c r="EU112">
        <v>0</v>
      </c>
      <c r="HM112" t="s">
        <v>1754</v>
      </c>
    </row>
    <row r="113" spans="1:255" x14ac:dyDescent="0.25">
      <c r="A113" t="s">
        <v>2697</v>
      </c>
      <c r="B113" t="str">
        <f>"801542709426"</f>
        <v>801542709426</v>
      </c>
      <c r="C113" t="s">
        <v>2698</v>
      </c>
      <c r="D113" t="s">
        <v>835</v>
      </c>
      <c r="E113" t="s">
        <v>515</v>
      </c>
      <c r="F113" t="s">
        <v>516</v>
      </c>
      <c r="G113" t="str">
        <f t="shared" si="15"/>
        <v>26</v>
      </c>
      <c r="H113" t="str">
        <f t="shared" si="16"/>
        <v>31.5</v>
      </c>
      <c r="I113" t="str">
        <f t="shared" si="17"/>
        <v>31</v>
      </c>
      <c r="J113" t="str">
        <f t="shared" si="18"/>
        <v>48.5</v>
      </c>
      <c r="K113" t="s">
        <v>2699</v>
      </c>
      <c r="L113" t="s">
        <v>585</v>
      </c>
      <c r="N113" t="s">
        <v>371</v>
      </c>
      <c r="O113" t="s">
        <v>775</v>
      </c>
      <c r="T113" t="s">
        <v>402</v>
      </c>
      <c r="U113" t="s">
        <v>373</v>
      </c>
      <c r="V113" t="s">
        <v>2700</v>
      </c>
      <c r="W113" t="s">
        <v>2701</v>
      </c>
      <c r="X113" t="s">
        <v>2702</v>
      </c>
      <c r="Y113" t="s">
        <v>2703</v>
      </c>
      <c r="Z113" t="s">
        <v>2704</v>
      </c>
      <c r="AA113" t="s">
        <v>2705</v>
      </c>
      <c r="AB113" t="s">
        <v>2706</v>
      </c>
      <c r="AC113" t="s">
        <v>2707</v>
      </c>
      <c r="AD113" t="s">
        <v>2708</v>
      </c>
      <c r="AE113" t="s">
        <v>2709</v>
      </c>
      <c r="AF113" t="s">
        <v>2710</v>
      </c>
      <c r="BA113" t="str">
        <f>"1049"</f>
        <v>1049</v>
      </c>
      <c r="BB113" t="str">
        <f>"445"</f>
        <v>445</v>
      </c>
      <c r="BC113" t="s">
        <v>388</v>
      </c>
      <c r="BD113" t="str">
        <f t="shared" si="6"/>
        <v>1</v>
      </c>
      <c r="BE113" t="s">
        <v>2711</v>
      </c>
      <c r="BF113" t="str">
        <f t="shared" si="19"/>
        <v>27.17</v>
      </c>
      <c r="BG113" t="str">
        <f t="shared" si="20"/>
        <v>31.3</v>
      </c>
      <c r="BH113" t="str">
        <f t="shared" si="21"/>
        <v>33.86</v>
      </c>
      <c r="BI113" t="str">
        <f t="shared" si="22"/>
        <v>56.88</v>
      </c>
      <c r="BY113" t="str">
        <f t="shared" si="23"/>
        <v>15.29</v>
      </c>
      <c r="BZ113" t="str">
        <f t="shared" si="24"/>
        <v>0.433</v>
      </c>
      <c r="CA113" t="s">
        <v>431</v>
      </c>
      <c r="CK113" t="s">
        <v>601</v>
      </c>
      <c r="CL113" t="s">
        <v>981</v>
      </c>
      <c r="CN113">
        <v>0</v>
      </c>
      <c r="CO113">
        <v>0</v>
      </c>
      <c r="CP113" t="s">
        <v>437</v>
      </c>
      <c r="CQ113" t="s">
        <v>399</v>
      </c>
      <c r="CX113" t="s">
        <v>403</v>
      </c>
      <c r="CY113" t="s">
        <v>1753</v>
      </c>
      <c r="CZ113">
        <v>0</v>
      </c>
      <c r="DD113">
        <v>100000</v>
      </c>
      <c r="DE113" t="s">
        <v>570</v>
      </c>
      <c r="DH113">
        <v>0</v>
      </c>
      <c r="DI113">
        <v>1</v>
      </c>
      <c r="DK113" t="s">
        <v>2695</v>
      </c>
      <c r="DL113">
        <v>0</v>
      </c>
      <c r="DM113" t="s">
        <v>538</v>
      </c>
      <c r="DN113" t="s">
        <v>796</v>
      </c>
      <c r="DO113" t="s">
        <v>1037</v>
      </c>
      <c r="DP113" t="s">
        <v>830</v>
      </c>
      <c r="DT113" t="s">
        <v>475</v>
      </c>
      <c r="DX113" t="s">
        <v>827</v>
      </c>
      <c r="DY113" t="s">
        <v>2241</v>
      </c>
      <c r="DZ113" t="s">
        <v>2241</v>
      </c>
      <c r="EA113" t="s">
        <v>2696</v>
      </c>
      <c r="EG113" t="s">
        <v>2029</v>
      </c>
      <c r="EP113" t="s">
        <v>474</v>
      </c>
      <c r="EQ113" t="s">
        <v>602</v>
      </c>
      <c r="ER113">
        <v>0</v>
      </c>
      <c r="ES113">
        <v>0</v>
      </c>
      <c r="EU113">
        <v>0</v>
      </c>
      <c r="HM113" t="s">
        <v>1754</v>
      </c>
    </row>
    <row r="114" spans="1:255" x14ac:dyDescent="0.25">
      <c r="A114" t="s">
        <v>2712</v>
      </c>
      <c r="B114" t="str">
        <f>"801542709433"</f>
        <v>801542709433</v>
      </c>
      <c r="C114" t="s">
        <v>2713</v>
      </c>
      <c r="D114" t="s">
        <v>835</v>
      </c>
      <c r="E114" t="s">
        <v>515</v>
      </c>
      <c r="F114" t="s">
        <v>516</v>
      </c>
      <c r="G114" t="str">
        <f t="shared" si="15"/>
        <v>26</v>
      </c>
      <c r="H114" t="str">
        <f t="shared" si="16"/>
        <v>31.5</v>
      </c>
      <c r="I114" t="str">
        <f t="shared" si="17"/>
        <v>31</v>
      </c>
      <c r="J114" t="str">
        <f t="shared" si="18"/>
        <v>48.5</v>
      </c>
      <c r="K114" t="s">
        <v>2714</v>
      </c>
      <c r="L114" t="s">
        <v>585</v>
      </c>
      <c r="N114" t="s">
        <v>1916</v>
      </c>
      <c r="O114" t="s">
        <v>1917</v>
      </c>
      <c r="P114" t="s">
        <v>775</v>
      </c>
      <c r="T114" t="s">
        <v>373</v>
      </c>
      <c r="U114" t="s">
        <v>402</v>
      </c>
      <c r="V114" t="s">
        <v>2715</v>
      </c>
      <c r="W114" t="s">
        <v>2716</v>
      </c>
      <c r="X114" t="s">
        <v>2717</v>
      </c>
      <c r="Y114" t="s">
        <v>2718</v>
      </c>
      <c r="Z114" t="s">
        <v>2719</v>
      </c>
      <c r="AA114" t="s">
        <v>2720</v>
      </c>
      <c r="AB114" t="s">
        <v>2721</v>
      </c>
      <c r="AC114" t="s">
        <v>2722</v>
      </c>
      <c r="AD114" t="s">
        <v>2723</v>
      </c>
      <c r="AE114" t="s">
        <v>2724</v>
      </c>
      <c r="AF114" t="s">
        <v>2725</v>
      </c>
      <c r="AG114" t="s">
        <v>2726</v>
      </c>
      <c r="BA114" t="str">
        <f>"999"</f>
        <v>999</v>
      </c>
      <c r="BB114" t="str">
        <f>"420"</f>
        <v>420</v>
      </c>
      <c r="BC114" t="s">
        <v>388</v>
      </c>
      <c r="BD114" t="str">
        <f t="shared" si="6"/>
        <v>1</v>
      </c>
      <c r="BE114" t="s">
        <v>2727</v>
      </c>
      <c r="BF114" t="str">
        <f t="shared" si="19"/>
        <v>27.17</v>
      </c>
      <c r="BG114" t="str">
        <f t="shared" si="20"/>
        <v>31.3</v>
      </c>
      <c r="BH114" t="str">
        <f t="shared" si="21"/>
        <v>33.86</v>
      </c>
      <c r="BI114" t="str">
        <f t="shared" si="22"/>
        <v>56.88</v>
      </c>
      <c r="BY114" t="str">
        <f t="shared" si="23"/>
        <v>15.29</v>
      </c>
      <c r="BZ114" t="str">
        <f t="shared" si="24"/>
        <v>0.433</v>
      </c>
      <c r="CA114" t="s">
        <v>431</v>
      </c>
      <c r="CK114" t="s">
        <v>601</v>
      </c>
      <c r="CL114" t="s">
        <v>981</v>
      </c>
      <c r="CN114">
        <v>0</v>
      </c>
      <c r="CO114">
        <v>0</v>
      </c>
      <c r="CP114" t="s">
        <v>437</v>
      </c>
      <c r="CQ114" t="s">
        <v>631</v>
      </c>
      <c r="CX114" t="s">
        <v>403</v>
      </c>
      <c r="CY114" t="s">
        <v>1753</v>
      </c>
      <c r="CZ114">
        <v>0</v>
      </c>
      <c r="DD114">
        <v>25000</v>
      </c>
      <c r="DE114" t="s">
        <v>570</v>
      </c>
      <c r="DH114">
        <v>0</v>
      </c>
      <c r="DI114">
        <v>1</v>
      </c>
      <c r="DK114" t="s">
        <v>2695</v>
      </c>
      <c r="DL114">
        <v>0</v>
      </c>
      <c r="DM114" t="s">
        <v>538</v>
      </c>
      <c r="DN114" t="s">
        <v>796</v>
      </c>
      <c r="DO114" t="s">
        <v>1037</v>
      </c>
      <c r="DP114" t="s">
        <v>830</v>
      </c>
      <c r="DT114" t="s">
        <v>475</v>
      </c>
      <c r="DX114" t="s">
        <v>827</v>
      </c>
      <c r="DY114" t="s">
        <v>2241</v>
      </c>
      <c r="DZ114" t="s">
        <v>2241</v>
      </c>
      <c r="EA114" t="s">
        <v>2696</v>
      </c>
      <c r="EG114" t="s">
        <v>2029</v>
      </c>
      <c r="EP114" t="s">
        <v>474</v>
      </c>
      <c r="EQ114" t="s">
        <v>602</v>
      </c>
      <c r="ER114">
        <v>0</v>
      </c>
      <c r="ES114">
        <v>0</v>
      </c>
      <c r="EU114">
        <v>0</v>
      </c>
      <c r="HM114" t="s">
        <v>1754</v>
      </c>
    </row>
    <row r="115" spans="1:255" x14ac:dyDescent="0.25">
      <c r="A115" t="s">
        <v>2728</v>
      </c>
      <c r="B115" t="str">
        <f>"801542022143"</f>
        <v>801542022143</v>
      </c>
      <c r="C115" t="s">
        <v>2729</v>
      </c>
      <c r="D115" t="s">
        <v>835</v>
      </c>
      <c r="E115" t="s">
        <v>515</v>
      </c>
      <c r="F115" t="s">
        <v>516</v>
      </c>
      <c r="G115" t="str">
        <f t="shared" si="15"/>
        <v>26</v>
      </c>
      <c r="H115" t="str">
        <f t="shared" si="16"/>
        <v>31.5</v>
      </c>
      <c r="I115" t="str">
        <f t="shared" si="17"/>
        <v>31</v>
      </c>
      <c r="J115" t="str">
        <f t="shared" si="18"/>
        <v>48.5</v>
      </c>
      <c r="K115" t="s">
        <v>2730</v>
      </c>
      <c r="L115" t="s">
        <v>585</v>
      </c>
      <c r="N115" t="s">
        <v>371</v>
      </c>
      <c r="O115" t="s">
        <v>775</v>
      </c>
      <c r="T115" t="s">
        <v>373</v>
      </c>
      <c r="U115" t="s">
        <v>373</v>
      </c>
      <c r="V115" t="s">
        <v>2731</v>
      </c>
      <c r="W115" t="s">
        <v>2732</v>
      </c>
      <c r="X115" t="s">
        <v>2733</v>
      </c>
      <c r="Y115" t="s">
        <v>2734</v>
      </c>
      <c r="Z115" t="s">
        <v>2735</v>
      </c>
      <c r="AA115" t="s">
        <v>2736</v>
      </c>
      <c r="AB115" t="s">
        <v>2737</v>
      </c>
      <c r="AC115" t="s">
        <v>2738</v>
      </c>
      <c r="AD115" t="s">
        <v>2739</v>
      </c>
      <c r="AE115" t="s">
        <v>2740</v>
      </c>
      <c r="AF115" t="s">
        <v>2741</v>
      </c>
      <c r="AG115" t="s">
        <v>2742</v>
      </c>
      <c r="BA115" t="str">
        <f>"1049"</f>
        <v>1049</v>
      </c>
      <c r="BB115" t="str">
        <f>"445"</f>
        <v>445</v>
      </c>
      <c r="BC115" t="s">
        <v>388</v>
      </c>
      <c r="BD115" t="str">
        <f t="shared" si="6"/>
        <v>1</v>
      </c>
      <c r="BE115" t="s">
        <v>2727</v>
      </c>
      <c r="BF115" t="str">
        <f t="shared" si="19"/>
        <v>27.17</v>
      </c>
      <c r="BG115" t="str">
        <f t="shared" si="20"/>
        <v>31.3</v>
      </c>
      <c r="BH115" t="str">
        <f t="shared" si="21"/>
        <v>33.86</v>
      </c>
      <c r="BI115" t="str">
        <f t="shared" si="22"/>
        <v>56.88</v>
      </c>
      <c r="BY115" t="str">
        <f t="shared" si="23"/>
        <v>15.29</v>
      </c>
      <c r="BZ115" t="str">
        <f t="shared" si="24"/>
        <v>0.433</v>
      </c>
      <c r="CA115" t="s">
        <v>431</v>
      </c>
      <c r="CK115" t="s">
        <v>601</v>
      </c>
      <c r="CL115" t="s">
        <v>981</v>
      </c>
      <c r="CN115">
        <v>0</v>
      </c>
      <c r="CO115">
        <v>0</v>
      </c>
      <c r="CP115" t="s">
        <v>437</v>
      </c>
      <c r="CQ115" t="s">
        <v>2743</v>
      </c>
      <c r="CX115" t="s">
        <v>403</v>
      </c>
      <c r="CY115" t="s">
        <v>1753</v>
      </c>
      <c r="CZ115">
        <v>0</v>
      </c>
      <c r="DD115">
        <v>100000</v>
      </c>
      <c r="DE115" t="s">
        <v>570</v>
      </c>
      <c r="DH115">
        <v>0</v>
      </c>
      <c r="DI115">
        <v>1</v>
      </c>
      <c r="DK115" t="s">
        <v>2695</v>
      </c>
      <c r="DL115">
        <v>0</v>
      </c>
      <c r="DM115" t="s">
        <v>538</v>
      </c>
      <c r="DN115" t="s">
        <v>796</v>
      </c>
      <c r="DO115" t="s">
        <v>1037</v>
      </c>
      <c r="DP115" t="s">
        <v>830</v>
      </c>
      <c r="DT115" t="s">
        <v>475</v>
      </c>
      <c r="DX115" t="s">
        <v>827</v>
      </c>
      <c r="DY115" t="s">
        <v>2241</v>
      </c>
      <c r="DZ115" t="s">
        <v>2241</v>
      </c>
      <c r="EA115" t="s">
        <v>2696</v>
      </c>
      <c r="EG115" t="s">
        <v>2029</v>
      </c>
      <c r="EP115" t="s">
        <v>474</v>
      </c>
      <c r="EQ115" t="s">
        <v>602</v>
      </c>
      <c r="ER115">
        <v>0</v>
      </c>
      <c r="ES115">
        <v>0</v>
      </c>
      <c r="EU115">
        <v>0</v>
      </c>
      <c r="HM115" t="s">
        <v>1754</v>
      </c>
    </row>
    <row r="116" spans="1:255" x14ac:dyDescent="0.25">
      <c r="A116" t="s">
        <v>2744</v>
      </c>
      <c r="B116" t="str">
        <f>"801542128425"</f>
        <v>801542128425</v>
      </c>
      <c r="C116" t="s">
        <v>2745</v>
      </c>
      <c r="D116" t="s">
        <v>835</v>
      </c>
      <c r="E116" t="s">
        <v>515</v>
      </c>
      <c r="F116" t="s">
        <v>516</v>
      </c>
      <c r="G116" t="str">
        <f t="shared" si="15"/>
        <v>26</v>
      </c>
      <c r="H116" t="str">
        <f t="shared" si="16"/>
        <v>31.5</v>
      </c>
      <c r="I116" t="str">
        <f t="shared" si="17"/>
        <v>31</v>
      </c>
      <c r="J116" t="str">
        <f t="shared" si="18"/>
        <v>48.5</v>
      </c>
      <c r="K116" t="s">
        <v>2746</v>
      </c>
      <c r="L116" t="s">
        <v>585</v>
      </c>
      <c r="N116" t="s">
        <v>371</v>
      </c>
      <c r="O116" t="s">
        <v>775</v>
      </c>
      <c r="T116" t="s">
        <v>373</v>
      </c>
      <c r="U116" t="s">
        <v>402</v>
      </c>
      <c r="V116" t="s">
        <v>2747</v>
      </c>
      <c r="W116" t="s">
        <v>2748</v>
      </c>
      <c r="X116" t="s">
        <v>2749</v>
      </c>
      <c r="Y116" t="s">
        <v>2750</v>
      </c>
      <c r="Z116" t="s">
        <v>2751</v>
      </c>
      <c r="AA116" t="s">
        <v>2752</v>
      </c>
      <c r="AB116" t="s">
        <v>2753</v>
      </c>
      <c r="AC116" t="s">
        <v>2754</v>
      </c>
      <c r="AD116" t="s">
        <v>2755</v>
      </c>
      <c r="AE116" t="s">
        <v>2756</v>
      </c>
      <c r="AF116" t="s">
        <v>2757</v>
      </c>
      <c r="AG116" t="s">
        <v>2758</v>
      </c>
      <c r="AH116" t="s">
        <v>2759</v>
      </c>
      <c r="AI116" t="s">
        <v>2760</v>
      </c>
      <c r="BA116" t="str">
        <f>"1149"</f>
        <v>1149</v>
      </c>
      <c r="BB116" t="str">
        <f>"485"</f>
        <v>485</v>
      </c>
      <c r="BC116" t="s">
        <v>388</v>
      </c>
      <c r="BD116" t="str">
        <f t="shared" si="6"/>
        <v>1</v>
      </c>
      <c r="BE116" t="s">
        <v>1550</v>
      </c>
      <c r="BF116" t="str">
        <f t="shared" si="19"/>
        <v>27.17</v>
      </c>
      <c r="BG116" t="str">
        <f t="shared" si="20"/>
        <v>31.3</v>
      </c>
      <c r="BH116" t="str">
        <f t="shared" si="21"/>
        <v>33.86</v>
      </c>
      <c r="BI116" t="str">
        <f t="shared" si="22"/>
        <v>56.88</v>
      </c>
      <c r="BY116" t="str">
        <f t="shared" si="23"/>
        <v>15.29</v>
      </c>
      <c r="BZ116" t="str">
        <f t="shared" si="24"/>
        <v>0.433</v>
      </c>
      <c r="CA116" t="s">
        <v>431</v>
      </c>
      <c r="CK116" t="s">
        <v>601</v>
      </c>
      <c r="CL116" t="s">
        <v>981</v>
      </c>
      <c r="CN116">
        <v>0</v>
      </c>
      <c r="CO116">
        <v>0</v>
      </c>
      <c r="CP116" t="s">
        <v>437</v>
      </c>
      <c r="CQ116" t="s">
        <v>399</v>
      </c>
      <c r="CX116" t="s">
        <v>403</v>
      </c>
      <c r="CY116" t="s">
        <v>1753</v>
      </c>
      <c r="CZ116">
        <v>0</v>
      </c>
      <c r="DD116">
        <v>100000</v>
      </c>
      <c r="DE116" t="s">
        <v>570</v>
      </c>
      <c r="DH116">
        <v>0</v>
      </c>
      <c r="DI116">
        <v>1</v>
      </c>
      <c r="DK116" t="s">
        <v>2695</v>
      </c>
      <c r="DL116">
        <v>0</v>
      </c>
      <c r="DM116" t="s">
        <v>538</v>
      </c>
      <c r="DN116" t="s">
        <v>796</v>
      </c>
      <c r="DO116" t="s">
        <v>1037</v>
      </c>
      <c r="DP116" t="s">
        <v>830</v>
      </c>
      <c r="DT116" t="s">
        <v>475</v>
      </c>
      <c r="DX116" t="s">
        <v>827</v>
      </c>
      <c r="DY116" t="s">
        <v>2241</v>
      </c>
      <c r="DZ116" t="s">
        <v>2241</v>
      </c>
      <c r="EA116" t="s">
        <v>2696</v>
      </c>
      <c r="EG116" t="s">
        <v>2029</v>
      </c>
      <c r="EP116" t="s">
        <v>474</v>
      </c>
      <c r="EQ116" t="s">
        <v>602</v>
      </c>
      <c r="ER116">
        <v>0</v>
      </c>
      <c r="ES116">
        <v>0</v>
      </c>
      <c r="EU116">
        <v>0</v>
      </c>
      <c r="HM116" t="s">
        <v>1754</v>
      </c>
    </row>
    <row r="117" spans="1:255" x14ac:dyDescent="0.25">
      <c r="A117" t="s">
        <v>2761</v>
      </c>
      <c r="B117" t="str">
        <f>"801542432102"</f>
        <v>801542432102</v>
      </c>
      <c r="C117" t="s">
        <v>2762</v>
      </c>
      <c r="D117" t="s">
        <v>835</v>
      </c>
      <c r="E117" t="s">
        <v>515</v>
      </c>
      <c r="F117" t="s">
        <v>516</v>
      </c>
      <c r="G117" t="str">
        <f t="shared" si="15"/>
        <v>26</v>
      </c>
      <c r="H117" t="str">
        <f t="shared" si="16"/>
        <v>31.5</v>
      </c>
      <c r="I117" t="str">
        <f t="shared" si="17"/>
        <v>31</v>
      </c>
      <c r="J117" t="str">
        <f t="shared" si="18"/>
        <v>48.5</v>
      </c>
      <c r="K117" t="s">
        <v>2462</v>
      </c>
      <c r="L117" t="s">
        <v>585</v>
      </c>
      <c r="N117" t="s">
        <v>2463</v>
      </c>
      <c r="O117" t="s">
        <v>2464</v>
      </c>
      <c r="P117" t="s">
        <v>775</v>
      </c>
      <c r="T117" t="s">
        <v>373</v>
      </c>
      <c r="U117" t="s">
        <v>373</v>
      </c>
      <c r="V117" t="s">
        <v>2763</v>
      </c>
      <c r="W117" t="s">
        <v>2764</v>
      </c>
      <c r="X117" t="s">
        <v>2765</v>
      </c>
      <c r="Y117" t="s">
        <v>2766</v>
      </c>
      <c r="Z117" t="s">
        <v>2767</v>
      </c>
      <c r="AA117" t="s">
        <v>2768</v>
      </c>
      <c r="AB117" t="s">
        <v>2769</v>
      </c>
      <c r="AC117" t="s">
        <v>2770</v>
      </c>
      <c r="AD117" t="s">
        <v>2771</v>
      </c>
      <c r="AE117" t="s">
        <v>2772</v>
      </c>
      <c r="AF117" t="s">
        <v>2773</v>
      </c>
      <c r="AG117" t="s">
        <v>2774</v>
      </c>
      <c r="AH117" t="s">
        <v>2775</v>
      </c>
      <c r="BA117" t="str">
        <f>"1099"</f>
        <v>1099</v>
      </c>
      <c r="BB117" t="str">
        <f>"465"</f>
        <v>465</v>
      </c>
      <c r="BC117" t="s">
        <v>388</v>
      </c>
      <c r="BD117" t="str">
        <f t="shared" si="6"/>
        <v>1</v>
      </c>
      <c r="BE117" t="s">
        <v>1550</v>
      </c>
      <c r="BF117" t="str">
        <f t="shared" si="19"/>
        <v>27.17</v>
      </c>
      <c r="BG117" t="str">
        <f t="shared" si="20"/>
        <v>31.3</v>
      </c>
      <c r="BH117" t="str">
        <f t="shared" si="21"/>
        <v>33.86</v>
      </c>
      <c r="BI117" t="str">
        <f t="shared" si="22"/>
        <v>56.88</v>
      </c>
      <c r="BY117" t="str">
        <f t="shared" si="23"/>
        <v>15.29</v>
      </c>
      <c r="BZ117" t="str">
        <f t="shared" si="24"/>
        <v>0.433</v>
      </c>
      <c r="CA117" t="s">
        <v>495</v>
      </c>
      <c r="CK117" t="s">
        <v>601</v>
      </c>
      <c r="CL117" t="s">
        <v>981</v>
      </c>
      <c r="CN117">
        <v>0</v>
      </c>
      <c r="CO117">
        <v>0</v>
      </c>
      <c r="CP117" t="s">
        <v>437</v>
      </c>
      <c r="CQ117" t="s">
        <v>631</v>
      </c>
      <c r="CX117" t="s">
        <v>403</v>
      </c>
      <c r="CY117" t="s">
        <v>1753</v>
      </c>
      <c r="CZ117">
        <v>0</v>
      </c>
      <c r="DD117">
        <v>35000</v>
      </c>
      <c r="DE117" t="s">
        <v>570</v>
      </c>
      <c r="DH117">
        <v>0</v>
      </c>
      <c r="DI117">
        <v>1</v>
      </c>
      <c r="DK117" t="s">
        <v>2695</v>
      </c>
      <c r="DL117">
        <v>0</v>
      </c>
      <c r="DM117" t="s">
        <v>538</v>
      </c>
      <c r="DN117" t="s">
        <v>796</v>
      </c>
      <c r="DO117" t="s">
        <v>1037</v>
      </c>
      <c r="DP117" t="s">
        <v>830</v>
      </c>
      <c r="DT117" t="s">
        <v>475</v>
      </c>
      <c r="DX117" t="s">
        <v>827</v>
      </c>
      <c r="DY117" t="s">
        <v>2241</v>
      </c>
      <c r="DZ117" t="s">
        <v>2241</v>
      </c>
      <c r="EA117" t="s">
        <v>2696</v>
      </c>
      <c r="EG117" t="s">
        <v>2029</v>
      </c>
      <c r="EP117" t="s">
        <v>474</v>
      </c>
      <c r="EQ117" t="s">
        <v>602</v>
      </c>
      <c r="ER117">
        <v>0</v>
      </c>
      <c r="ES117">
        <v>0</v>
      </c>
      <c r="EU117">
        <v>0</v>
      </c>
      <c r="HM117" t="s">
        <v>1754</v>
      </c>
    </row>
    <row r="118" spans="1:255" x14ac:dyDescent="0.25">
      <c r="A118" t="s">
        <v>2776</v>
      </c>
      <c r="B118" t="str">
        <f>"801542023164"</f>
        <v>801542023164</v>
      </c>
      <c r="C118" t="s">
        <v>2777</v>
      </c>
      <c r="D118" t="s">
        <v>769</v>
      </c>
      <c r="E118" t="s">
        <v>515</v>
      </c>
      <c r="F118" t="s">
        <v>516</v>
      </c>
      <c r="G118" t="str">
        <f>"30.5"</f>
        <v>30.5</v>
      </c>
      <c r="H118" t="str">
        <f>"36"</f>
        <v>36</v>
      </c>
      <c r="I118" t="str">
        <f>"32"</f>
        <v>32</v>
      </c>
      <c r="J118" t="str">
        <f>"52.91"</f>
        <v>52.91</v>
      </c>
      <c r="K118" t="s">
        <v>1576</v>
      </c>
      <c r="L118" t="s">
        <v>1518</v>
      </c>
      <c r="N118" t="s">
        <v>416</v>
      </c>
      <c r="O118" t="s">
        <v>775</v>
      </c>
      <c r="T118" t="s">
        <v>373</v>
      </c>
      <c r="U118" t="s">
        <v>373</v>
      </c>
      <c r="V118" t="s">
        <v>2778</v>
      </c>
      <c r="W118" t="s">
        <v>2779</v>
      </c>
      <c r="X118" t="s">
        <v>2780</v>
      </c>
      <c r="Y118" t="s">
        <v>2781</v>
      </c>
      <c r="Z118" t="s">
        <v>2782</v>
      </c>
      <c r="AA118" t="s">
        <v>2783</v>
      </c>
      <c r="AB118" t="s">
        <v>2784</v>
      </c>
      <c r="AC118" t="s">
        <v>2785</v>
      </c>
      <c r="AD118" t="s">
        <v>2786</v>
      </c>
      <c r="AE118" t="s">
        <v>2787</v>
      </c>
      <c r="AF118" t="s">
        <v>2788</v>
      </c>
      <c r="AG118" t="s">
        <v>2789</v>
      </c>
      <c r="AH118" t="s">
        <v>2790</v>
      </c>
      <c r="BA118" t="str">
        <f>"1649"</f>
        <v>1649</v>
      </c>
      <c r="BB118" t="str">
        <f>"695"</f>
        <v>695</v>
      </c>
      <c r="BC118" t="s">
        <v>388</v>
      </c>
      <c r="BD118" t="str">
        <f t="shared" si="6"/>
        <v>1</v>
      </c>
      <c r="BE118" t="s">
        <v>389</v>
      </c>
      <c r="BF118" t="str">
        <f>"36.42"</f>
        <v>36.42</v>
      </c>
      <c r="BG118" t="str">
        <f>"33.07"</f>
        <v>33.07</v>
      </c>
      <c r="BH118" t="str">
        <f>"30.71"</f>
        <v>30.71</v>
      </c>
      <c r="BI118" t="str">
        <f>"71.65"</f>
        <v>71.65</v>
      </c>
      <c r="BY118" t="str">
        <f>"21.4"</f>
        <v>21.4</v>
      </c>
      <c r="BZ118" t="str">
        <f>"0.606"</f>
        <v>0.606</v>
      </c>
      <c r="CA118" t="s">
        <v>390</v>
      </c>
      <c r="CH118" t="s">
        <v>432</v>
      </c>
      <c r="CI118" t="s">
        <v>446</v>
      </c>
      <c r="CJ118" t="s">
        <v>601</v>
      </c>
      <c r="CK118" t="s">
        <v>603</v>
      </c>
      <c r="CL118" t="s">
        <v>791</v>
      </c>
      <c r="CM118" t="s">
        <v>601</v>
      </c>
      <c r="CN118">
        <v>0</v>
      </c>
      <c r="CO118">
        <v>1</v>
      </c>
      <c r="CP118" t="s">
        <v>437</v>
      </c>
      <c r="CQ118" t="s">
        <v>438</v>
      </c>
      <c r="CU118" t="s">
        <v>749</v>
      </c>
      <c r="CX118" t="s">
        <v>403</v>
      </c>
      <c r="CY118" t="s">
        <v>400</v>
      </c>
      <c r="CZ118">
        <v>0</v>
      </c>
      <c r="DD118">
        <v>0</v>
      </c>
      <c r="DE118" t="s">
        <v>439</v>
      </c>
      <c r="DF118" t="s">
        <v>406</v>
      </c>
      <c r="DG118" t="s">
        <v>407</v>
      </c>
      <c r="DH118">
        <v>1</v>
      </c>
      <c r="DI118">
        <v>1</v>
      </c>
      <c r="DK118" t="s">
        <v>2791</v>
      </c>
      <c r="DL118">
        <v>0</v>
      </c>
      <c r="DM118" t="s">
        <v>538</v>
      </c>
      <c r="DN118" t="s">
        <v>2083</v>
      </c>
      <c r="DO118" t="s">
        <v>2599</v>
      </c>
      <c r="DP118" t="s">
        <v>432</v>
      </c>
      <c r="DT118" t="s">
        <v>1490</v>
      </c>
      <c r="DU118" t="s">
        <v>450</v>
      </c>
      <c r="DV118" t="s">
        <v>979</v>
      </c>
      <c r="DW118" t="s">
        <v>601</v>
      </c>
      <c r="DX118" t="s">
        <v>2263</v>
      </c>
      <c r="DY118" t="s">
        <v>2792</v>
      </c>
      <c r="DZ118" t="s">
        <v>609</v>
      </c>
      <c r="EA118" t="s">
        <v>613</v>
      </c>
      <c r="ED118" t="s">
        <v>406</v>
      </c>
      <c r="EE118" t="s">
        <v>407</v>
      </c>
      <c r="EF118" t="s">
        <v>831</v>
      </c>
      <c r="EG118" t="s">
        <v>615</v>
      </c>
      <c r="EM118" t="s">
        <v>402</v>
      </c>
      <c r="ER118">
        <v>0</v>
      </c>
      <c r="ES118">
        <v>0</v>
      </c>
      <c r="EU118">
        <v>0</v>
      </c>
    </row>
    <row r="119" spans="1:255" x14ac:dyDescent="0.25">
      <c r="A119" t="s">
        <v>2793</v>
      </c>
      <c r="B119" t="str">
        <f>"801542688929"</f>
        <v>801542688929</v>
      </c>
      <c r="C119" t="s">
        <v>2794</v>
      </c>
      <c r="D119" t="s">
        <v>1592</v>
      </c>
      <c r="E119" t="s">
        <v>2006</v>
      </c>
      <c r="F119" t="s">
        <v>2040</v>
      </c>
      <c r="G119" t="str">
        <f>"81"</f>
        <v>81</v>
      </c>
      <c r="H119" t="str">
        <f>"87.75"</f>
        <v>87.75</v>
      </c>
      <c r="I119" t="str">
        <f>"55"</f>
        <v>55</v>
      </c>
      <c r="J119" t="str">
        <f>"201.72"</f>
        <v>201.72</v>
      </c>
      <c r="K119" t="s">
        <v>1594</v>
      </c>
      <c r="L119" t="s">
        <v>2151</v>
      </c>
      <c r="N119" t="s">
        <v>1170</v>
      </c>
      <c r="O119" t="s">
        <v>1595</v>
      </c>
      <c r="P119" t="s">
        <v>555</v>
      </c>
      <c r="T119" t="s">
        <v>373</v>
      </c>
      <c r="U119" t="s">
        <v>373</v>
      </c>
      <c r="V119" t="s">
        <v>2795</v>
      </c>
      <c r="W119" t="s">
        <v>2796</v>
      </c>
      <c r="X119" t="s">
        <v>2797</v>
      </c>
      <c r="Y119" t="s">
        <v>2798</v>
      </c>
      <c r="Z119" t="s">
        <v>2799</v>
      </c>
      <c r="AA119" t="s">
        <v>2800</v>
      </c>
      <c r="AB119" t="s">
        <v>2801</v>
      </c>
      <c r="AC119" t="s">
        <v>2802</v>
      </c>
      <c r="AD119" t="s">
        <v>2803</v>
      </c>
      <c r="AE119" t="s">
        <v>2804</v>
      </c>
      <c r="AF119" t="s">
        <v>2805</v>
      </c>
      <c r="BA119" t="str">
        <f>"1699"</f>
        <v>1699</v>
      </c>
      <c r="BB119" t="str">
        <f>"715"</f>
        <v>715</v>
      </c>
      <c r="BC119" t="s">
        <v>665</v>
      </c>
      <c r="BD119" t="str">
        <f>"3"</f>
        <v>3</v>
      </c>
      <c r="BE119" t="s">
        <v>2163</v>
      </c>
      <c r="BF119" t="str">
        <f>"82.48"</f>
        <v>82.48</v>
      </c>
      <c r="BG119" t="str">
        <f>"56.69"</f>
        <v>56.69</v>
      </c>
      <c r="BH119" t="str">
        <f>"8.07"</f>
        <v>8.07</v>
      </c>
      <c r="BI119" t="str">
        <f>"104.72"</f>
        <v>104.72</v>
      </c>
      <c r="BJ119" t="s">
        <v>2026</v>
      </c>
      <c r="BK119" t="str">
        <f>"87.2"</f>
        <v>87.2</v>
      </c>
      <c r="BL119" t="str">
        <f>"12.4"</f>
        <v>12.4</v>
      </c>
      <c r="BM119" t="str">
        <f>"6.5"</f>
        <v>6.5</v>
      </c>
      <c r="BN119" t="str">
        <f>"63.93"</f>
        <v>63.93</v>
      </c>
      <c r="BO119" t="s">
        <v>2806</v>
      </c>
      <c r="BP119" t="str">
        <f>"82.48"</f>
        <v>82.48</v>
      </c>
      <c r="BQ119" t="str">
        <f>"14.76"</f>
        <v>14.76</v>
      </c>
      <c r="BR119" t="str">
        <f>"6.5"</f>
        <v>6.5</v>
      </c>
      <c r="BS119" t="str">
        <f>"70.55"</f>
        <v>70.55</v>
      </c>
      <c r="BY119" t="str">
        <f>"30.48"</f>
        <v>30.48</v>
      </c>
      <c r="BZ119" t="str">
        <f>"0.863"</f>
        <v>0.863</v>
      </c>
      <c r="CA119" t="s">
        <v>431</v>
      </c>
      <c r="CQ119" t="s">
        <v>399</v>
      </c>
      <c r="CR119" t="s">
        <v>400</v>
      </c>
      <c r="CS119">
        <v>0</v>
      </c>
      <c r="CT119" t="s">
        <v>400</v>
      </c>
      <c r="CV119">
        <v>0</v>
      </c>
      <c r="CX119" t="s">
        <v>1609</v>
      </c>
      <c r="CY119" t="s">
        <v>400</v>
      </c>
      <c r="DA119">
        <v>0</v>
      </c>
      <c r="DB119">
        <v>0</v>
      </c>
      <c r="DC119">
        <v>0</v>
      </c>
      <c r="DD119">
        <v>15000</v>
      </c>
      <c r="DK119" t="s">
        <v>2166</v>
      </c>
      <c r="DM119" t="s">
        <v>2028</v>
      </c>
      <c r="EG119" t="s">
        <v>1513</v>
      </c>
      <c r="EN119">
        <v>0</v>
      </c>
      <c r="ET119" t="s">
        <v>549</v>
      </c>
      <c r="HN119" t="s">
        <v>2167</v>
      </c>
      <c r="HO119" t="s">
        <v>2167</v>
      </c>
      <c r="HP119" t="s">
        <v>2167</v>
      </c>
      <c r="HQ119" t="s">
        <v>546</v>
      </c>
      <c r="HR119" t="s">
        <v>674</v>
      </c>
      <c r="HS119" t="s">
        <v>2168</v>
      </c>
      <c r="HT119" t="s">
        <v>2807</v>
      </c>
      <c r="HU119" t="s">
        <v>2170</v>
      </c>
      <c r="HV119" t="s">
        <v>2168</v>
      </c>
      <c r="HW119" t="s">
        <v>2171</v>
      </c>
      <c r="HX119" t="s">
        <v>2172</v>
      </c>
      <c r="HY119" t="s">
        <v>2173</v>
      </c>
      <c r="HZ119" t="s">
        <v>2174</v>
      </c>
      <c r="IA119" t="s">
        <v>2175</v>
      </c>
      <c r="IB119" t="s">
        <v>674</v>
      </c>
      <c r="IC119" t="s">
        <v>402</v>
      </c>
      <c r="ID119" t="s">
        <v>2176</v>
      </c>
      <c r="IE119" t="s">
        <v>2037</v>
      </c>
      <c r="IF119" t="s">
        <v>2177</v>
      </c>
      <c r="IG119" t="s">
        <v>2040</v>
      </c>
      <c r="IM119" t="s">
        <v>395</v>
      </c>
      <c r="IN119" t="s">
        <v>2178</v>
      </c>
      <c r="IO119" t="s">
        <v>395</v>
      </c>
      <c r="IP119" t="s">
        <v>402</v>
      </c>
      <c r="IQ119" t="s">
        <v>2179</v>
      </c>
    </row>
    <row r="120" spans="1:255" x14ac:dyDescent="0.25">
      <c r="A120" t="s">
        <v>2808</v>
      </c>
      <c r="B120" t="str">
        <f>"801542689087"</f>
        <v>801542689087</v>
      </c>
      <c r="C120" t="s">
        <v>2794</v>
      </c>
      <c r="D120" t="s">
        <v>1592</v>
      </c>
      <c r="E120" t="s">
        <v>2006</v>
      </c>
      <c r="F120" t="s">
        <v>2007</v>
      </c>
      <c r="G120" t="str">
        <f>"65"</f>
        <v>65</v>
      </c>
      <c r="H120" t="str">
        <f>"87.75"</f>
        <v>87.75</v>
      </c>
      <c r="I120" t="str">
        <f>"55"</f>
        <v>55</v>
      </c>
      <c r="J120" t="str">
        <f>"171.96"</f>
        <v>171.96</v>
      </c>
      <c r="K120" t="s">
        <v>1594</v>
      </c>
      <c r="L120" t="s">
        <v>2151</v>
      </c>
      <c r="N120" t="s">
        <v>1170</v>
      </c>
      <c r="O120" t="s">
        <v>1595</v>
      </c>
      <c r="P120" t="s">
        <v>555</v>
      </c>
      <c r="T120" t="s">
        <v>373</v>
      </c>
      <c r="U120" t="s">
        <v>373</v>
      </c>
      <c r="V120" t="s">
        <v>2795</v>
      </c>
      <c r="W120" t="s">
        <v>2809</v>
      </c>
      <c r="X120" t="s">
        <v>2810</v>
      </c>
      <c r="Y120" t="s">
        <v>2811</v>
      </c>
      <c r="Z120" t="s">
        <v>2812</v>
      </c>
      <c r="AA120" t="s">
        <v>2813</v>
      </c>
      <c r="AB120" t="s">
        <v>2814</v>
      </c>
      <c r="AC120" t="s">
        <v>2815</v>
      </c>
      <c r="AD120" t="s">
        <v>2816</v>
      </c>
      <c r="AE120" t="s">
        <v>2817</v>
      </c>
      <c r="AF120" t="s">
        <v>2818</v>
      </c>
      <c r="BA120" t="str">
        <f>"1599"</f>
        <v>1599</v>
      </c>
      <c r="BB120" t="str">
        <f>"675"</f>
        <v>675</v>
      </c>
      <c r="BC120" t="s">
        <v>665</v>
      </c>
      <c r="BD120" t="str">
        <f>"3"</f>
        <v>3</v>
      </c>
      <c r="BE120" t="s">
        <v>2163</v>
      </c>
      <c r="BF120" t="str">
        <f>"66.34"</f>
        <v>66.34</v>
      </c>
      <c r="BG120" t="str">
        <f>"57.09"</f>
        <v>57.09</v>
      </c>
      <c r="BH120" t="str">
        <f>"8.07"</f>
        <v>8.07</v>
      </c>
      <c r="BI120" t="str">
        <f>"85.98"</f>
        <v>85.98</v>
      </c>
      <c r="BJ120" t="s">
        <v>2026</v>
      </c>
      <c r="BK120" t="str">
        <f>"87.2"</f>
        <v>87.2</v>
      </c>
      <c r="BL120" t="str">
        <f>"12.4"</f>
        <v>12.4</v>
      </c>
      <c r="BM120" t="str">
        <f>"6.5"</f>
        <v>6.5</v>
      </c>
      <c r="BN120" t="str">
        <f>"58.42"</f>
        <v>58.42</v>
      </c>
      <c r="BO120" t="s">
        <v>2806</v>
      </c>
      <c r="BP120" t="str">
        <f>"66.34"</f>
        <v>66.34</v>
      </c>
      <c r="BQ120" t="str">
        <f>"14.76"</f>
        <v>14.76</v>
      </c>
      <c r="BR120" t="str">
        <f>"6.5"</f>
        <v>6.5</v>
      </c>
      <c r="BS120" t="str">
        <f>"52.91"</f>
        <v>52.91</v>
      </c>
      <c r="BY120" t="str">
        <f>"25.43"</f>
        <v>25.43</v>
      </c>
      <c r="BZ120" t="str">
        <f>"0.72"</f>
        <v>0.72</v>
      </c>
      <c r="CA120" t="s">
        <v>431</v>
      </c>
      <c r="CQ120" t="s">
        <v>399</v>
      </c>
      <c r="CR120" t="s">
        <v>400</v>
      </c>
      <c r="CS120">
        <v>0</v>
      </c>
      <c r="CT120" t="s">
        <v>400</v>
      </c>
      <c r="CV120">
        <v>0</v>
      </c>
      <c r="CX120" t="s">
        <v>1609</v>
      </c>
      <c r="CY120" t="s">
        <v>400</v>
      </c>
      <c r="DA120">
        <v>0</v>
      </c>
      <c r="DB120">
        <v>0</v>
      </c>
      <c r="DC120">
        <v>0</v>
      </c>
      <c r="DD120">
        <v>15000</v>
      </c>
      <c r="DK120" t="s">
        <v>2166</v>
      </c>
      <c r="DM120" t="s">
        <v>2028</v>
      </c>
      <c r="EG120" t="s">
        <v>1513</v>
      </c>
      <c r="EN120">
        <v>0</v>
      </c>
      <c r="ET120" t="s">
        <v>549</v>
      </c>
      <c r="HN120" t="s">
        <v>2167</v>
      </c>
      <c r="HO120" t="s">
        <v>2167</v>
      </c>
      <c r="HP120" t="s">
        <v>2167</v>
      </c>
      <c r="HQ120" t="s">
        <v>546</v>
      </c>
      <c r="HR120" t="s">
        <v>674</v>
      </c>
      <c r="HS120" t="s">
        <v>2192</v>
      </c>
      <c r="HT120" t="s">
        <v>2807</v>
      </c>
      <c r="HU120" t="s">
        <v>2170</v>
      </c>
      <c r="HV120" t="s">
        <v>2192</v>
      </c>
      <c r="HW120" t="s">
        <v>2171</v>
      </c>
      <c r="HX120" t="s">
        <v>2172</v>
      </c>
      <c r="HY120" t="s">
        <v>2193</v>
      </c>
      <c r="HZ120" t="s">
        <v>2174</v>
      </c>
      <c r="IA120" t="s">
        <v>2175</v>
      </c>
      <c r="IB120" t="s">
        <v>674</v>
      </c>
      <c r="IC120" t="s">
        <v>402</v>
      </c>
      <c r="ID120" t="s">
        <v>2176</v>
      </c>
      <c r="IE120" t="s">
        <v>2037</v>
      </c>
      <c r="IF120" t="s">
        <v>2177</v>
      </c>
      <c r="IG120" t="s">
        <v>2007</v>
      </c>
      <c r="IM120" t="s">
        <v>395</v>
      </c>
      <c r="IN120" t="s">
        <v>2178</v>
      </c>
      <c r="IO120" t="s">
        <v>395</v>
      </c>
      <c r="IP120" t="s">
        <v>402</v>
      </c>
      <c r="IQ120" t="s">
        <v>2179</v>
      </c>
    </row>
    <row r="121" spans="1:255" x14ac:dyDescent="0.25">
      <c r="A121" t="s">
        <v>2819</v>
      </c>
      <c r="B121" t="str">
        <f>"801542719623"</f>
        <v>801542719623</v>
      </c>
      <c r="C121" t="s">
        <v>2820</v>
      </c>
      <c r="D121" t="s">
        <v>835</v>
      </c>
      <c r="E121" t="s">
        <v>2388</v>
      </c>
      <c r="G121" t="str">
        <f t="shared" ref="G121:H125" si="25">"36"</f>
        <v>36</v>
      </c>
      <c r="H121" t="str">
        <f t="shared" si="25"/>
        <v>36</v>
      </c>
      <c r="I121" t="str">
        <f>"14.5"</f>
        <v>14.5</v>
      </c>
      <c r="J121" t="str">
        <f>"26.46"</f>
        <v>26.46</v>
      </c>
      <c r="K121" t="s">
        <v>2389</v>
      </c>
      <c r="L121" t="s">
        <v>1932</v>
      </c>
      <c r="N121" t="s">
        <v>416</v>
      </c>
      <c r="O121" t="s">
        <v>519</v>
      </c>
      <c r="T121" t="s">
        <v>373</v>
      </c>
      <c r="U121" t="s">
        <v>373</v>
      </c>
      <c r="V121" t="s">
        <v>2821</v>
      </c>
      <c r="W121" t="s">
        <v>2822</v>
      </c>
      <c r="X121" t="s">
        <v>2823</v>
      </c>
      <c r="Y121" t="s">
        <v>2824</v>
      </c>
      <c r="Z121" t="s">
        <v>2825</v>
      </c>
      <c r="AA121" t="s">
        <v>2826</v>
      </c>
      <c r="AB121" t="s">
        <v>2827</v>
      </c>
      <c r="AC121" t="s">
        <v>2828</v>
      </c>
      <c r="AD121" t="s">
        <v>2829</v>
      </c>
      <c r="AE121" t="s">
        <v>2830</v>
      </c>
      <c r="BA121" t="str">
        <f>"1449"</f>
        <v>1449</v>
      </c>
      <c r="BB121" t="str">
        <f>"610"</f>
        <v>610</v>
      </c>
      <c r="BC121" t="s">
        <v>388</v>
      </c>
      <c r="BD121" t="str">
        <f>"1"</f>
        <v>1</v>
      </c>
      <c r="BE121" t="s">
        <v>389</v>
      </c>
      <c r="BF121" t="str">
        <f t="shared" ref="BF121:BG125" si="26">"37.4"</f>
        <v>37.4</v>
      </c>
      <c r="BG121" t="str">
        <f t="shared" si="26"/>
        <v>37.4</v>
      </c>
      <c r="BH121" t="str">
        <f>"17.32"</f>
        <v>17.32</v>
      </c>
      <c r="BI121" t="str">
        <f>"44.09"</f>
        <v>44.09</v>
      </c>
      <c r="BY121" t="str">
        <f>"14.02"</f>
        <v>14.02</v>
      </c>
      <c r="BZ121" t="str">
        <f>"0.397"</f>
        <v>0.397</v>
      </c>
      <c r="CA121" t="s">
        <v>495</v>
      </c>
      <c r="CK121" t="s">
        <v>859</v>
      </c>
      <c r="CL121" t="s">
        <v>950</v>
      </c>
      <c r="CM121" t="s">
        <v>859</v>
      </c>
      <c r="CO121">
        <v>0</v>
      </c>
      <c r="CQ121" t="s">
        <v>438</v>
      </c>
      <c r="CX121" t="s">
        <v>667</v>
      </c>
      <c r="CY121" t="s">
        <v>400</v>
      </c>
      <c r="CZ121">
        <v>0</v>
      </c>
      <c r="DD121">
        <v>0</v>
      </c>
      <c r="DE121" t="s">
        <v>570</v>
      </c>
      <c r="DH121">
        <v>0</v>
      </c>
      <c r="DI121">
        <v>1</v>
      </c>
      <c r="DJ121" t="s">
        <v>471</v>
      </c>
      <c r="DK121" t="s">
        <v>2399</v>
      </c>
      <c r="DL121">
        <v>0</v>
      </c>
      <c r="DM121" t="s">
        <v>538</v>
      </c>
      <c r="EG121" t="s">
        <v>2029</v>
      </c>
    </row>
    <row r="122" spans="1:255" x14ac:dyDescent="0.25">
      <c r="A122" t="s">
        <v>2831</v>
      </c>
      <c r="B122" t="str">
        <f>"801542994037"</f>
        <v>801542994037</v>
      </c>
      <c r="C122" t="s">
        <v>2832</v>
      </c>
      <c r="D122" t="s">
        <v>835</v>
      </c>
      <c r="E122" t="s">
        <v>2388</v>
      </c>
      <c r="G122" t="str">
        <f t="shared" si="25"/>
        <v>36</v>
      </c>
      <c r="H122" t="str">
        <f t="shared" si="25"/>
        <v>36</v>
      </c>
      <c r="I122" t="str">
        <f>"14.5"</f>
        <v>14.5</v>
      </c>
      <c r="J122" t="str">
        <f>"26.46"</f>
        <v>26.46</v>
      </c>
      <c r="K122" t="s">
        <v>2833</v>
      </c>
      <c r="L122" t="s">
        <v>1857</v>
      </c>
      <c r="N122" t="s">
        <v>1793</v>
      </c>
      <c r="O122" t="s">
        <v>1794</v>
      </c>
      <c r="P122" t="s">
        <v>775</v>
      </c>
      <c r="T122" t="s">
        <v>373</v>
      </c>
      <c r="U122" t="s">
        <v>373</v>
      </c>
      <c r="V122" t="s">
        <v>2834</v>
      </c>
      <c r="W122" t="s">
        <v>2835</v>
      </c>
      <c r="X122" t="s">
        <v>2836</v>
      </c>
      <c r="Y122" t="s">
        <v>2837</v>
      </c>
      <c r="Z122" t="s">
        <v>2838</v>
      </c>
      <c r="AA122" t="s">
        <v>2839</v>
      </c>
      <c r="AB122" t="s">
        <v>2840</v>
      </c>
      <c r="AC122" t="s">
        <v>2841</v>
      </c>
      <c r="BA122" t="str">
        <f>"799"</f>
        <v>799</v>
      </c>
      <c r="BB122" t="str">
        <f>"340"</f>
        <v>340</v>
      </c>
      <c r="BC122" t="s">
        <v>388</v>
      </c>
      <c r="BD122" t="str">
        <f>"1"</f>
        <v>1</v>
      </c>
      <c r="BE122" t="s">
        <v>389</v>
      </c>
      <c r="BF122" t="str">
        <f t="shared" si="26"/>
        <v>37.4</v>
      </c>
      <c r="BG122" t="str">
        <f t="shared" si="26"/>
        <v>37.4</v>
      </c>
      <c r="BH122" t="str">
        <f>"17.32"</f>
        <v>17.32</v>
      </c>
      <c r="BI122" t="str">
        <f>"44.09"</f>
        <v>44.09</v>
      </c>
      <c r="BY122" t="str">
        <f>"14.02"</f>
        <v>14.02</v>
      </c>
      <c r="BZ122" t="str">
        <f>"0.397"</f>
        <v>0.397</v>
      </c>
      <c r="CA122" t="s">
        <v>495</v>
      </c>
      <c r="CK122" t="s">
        <v>859</v>
      </c>
      <c r="CL122" t="s">
        <v>950</v>
      </c>
      <c r="CM122" t="s">
        <v>859</v>
      </c>
      <c r="CO122">
        <v>0</v>
      </c>
      <c r="CQ122" t="s">
        <v>438</v>
      </c>
      <c r="CX122" t="s">
        <v>667</v>
      </c>
      <c r="CY122" t="s">
        <v>400</v>
      </c>
      <c r="CZ122">
        <v>0</v>
      </c>
      <c r="DD122">
        <v>30000</v>
      </c>
      <c r="DE122" t="s">
        <v>570</v>
      </c>
      <c r="DH122">
        <v>0</v>
      </c>
      <c r="DI122">
        <v>1</v>
      </c>
      <c r="DJ122" t="s">
        <v>471</v>
      </c>
      <c r="DK122" t="s">
        <v>2399</v>
      </c>
      <c r="DL122">
        <v>0</v>
      </c>
      <c r="DM122" t="s">
        <v>538</v>
      </c>
      <c r="EG122" t="s">
        <v>2029</v>
      </c>
    </row>
    <row r="123" spans="1:255" x14ac:dyDescent="0.25">
      <c r="A123" t="s">
        <v>2842</v>
      </c>
      <c r="B123" t="str">
        <f>"801542995591"</f>
        <v>801542995591</v>
      </c>
      <c r="C123" t="s">
        <v>2843</v>
      </c>
      <c r="D123" t="s">
        <v>835</v>
      </c>
      <c r="E123" t="s">
        <v>2388</v>
      </c>
      <c r="G123" t="str">
        <f t="shared" si="25"/>
        <v>36</v>
      </c>
      <c r="H123" t="str">
        <f t="shared" si="25"/>
        <v>36</v>
      </c>
      <c r="I123" t="str">
        <f>"14.5"</f>
        <v>14.5</v>
      </c>
      <c r="J123" t="str">
        <f>"26.46"</f>
        <v>26.46</v>
      </c>
      <c r="K123" t="s">
        <v>2447</v>
      </c>
      <c r="L123" t="s">
        <v>1857</v>
      </c>
      <c r="N123" t="s">
        <v>2448</v>
      </c>
      <c r="O123" t="s">
        <v>775</v>
      </c>
      <c r="T123" t="s">
        <v>373</v>
      </c>
      <c r="U123" t="s">
        <v>373</v>
      </c>
      <c r="V123" t="s">
        <v>2844</v>
      </c>
      <c r="W123" t="s">
        <v>2845</v>
      </c>
      <c r="X123" t="s">
        <v>2846</v>
      </c>
      <c r="Y123" t="s">
        <v>2847</v>
      </c>
      <c r="Z123" t="s">
        <v>2848</v>
      </c>
      <c r="AA123" t="s">
        <v>2849</v>
      </c>
      <c r="AB123" t="s">
        <v>2850</v>
      </c>
      <c r="AC123" t="s">
        <v>2851</v>
      </c>
      <c r="AD123" t="s">
        <v>2852</v>
      </c>
      <c r="AE123" t="s">
        <v>2853</v>
      </c>
      <c r="BA123" t="str">
        <f>"899"</f>
        <v>899</v>
      </c>
      <c r="BB123" t="str">
        <f>"380"</f>
        <v>380</v>
      </c>
      <c r="BC123" t="s">
        <v>388</v>
      </c>
      <c r="BD123" t="str">
        <f>"1"</f>
        <v>1</v>
      </c>
      <c r="BE123" t="s">
        <v>389</v>
      </c>
      <c r="BF123" t="str">
        <f t="shared" si="26"/>
        <v>37.4</v>
      </c>
      <c r="BG123" t="str">
        <f t="shared" si="26"/>
        <v>37.4</v>
      </c>
      <c r="BH123" t="str">
        <f>"17.32"</f>
        <v>17.32</v>
      </c>
      <c r="BI123" t="str">
        <f>"44.09"</f>
        <v>44.09</v>
      </c>
      <c r="BY123" t="str">
        <f>"14.02"</f>
        <v>14.02</v>
      </c>
      <c r="BZ123" t="str">
        <f>"0.397"</f>
        <v>0.397</v>
      </c>
      <c r="CA123" t="s">
        <v>390</v>
      </c>
      <c r="CK123" t="s">
        <v>859</v>
      </c>
      <c r="CL123" t="s">
        <v>950</v>
      </c>
      <c r="CM123" t="s">
        <v>859</v>
      </c>
      <c r="CO123">
        <v>0</v>
      </c>
      <c r="CQ123" t="s">
        <v>631</v>
      </c>
      <c r="CX123" t="s">
        <v>667</v>
      </c>
      <c r="CY123" t="s">
        <v>400</v>
      </c>
      <c r="CZ123">
        <v>0</v>
      </c>
      <c r="DD123">
        <v>15000</v>
      </c>
      <c r="DE123" t="s">
        <v>570</v>
      </c>
      <c r="DH123">
        <v>0</v>
      </c>
      <c r="DI123">
        <v>1</v>
      </c>
      <c r="DJ123" t="s">
        <v>471</v>
      </c>
      <c r="DK123" t="s">
        <v>2399</v>
      </c>
      <c r="DL123">
        <v>0</v>
      </c>
      <c r="DM123" t="s">
        <v>538</v>
      </c>
      <c r="EG123" t="s">
        <v>2029</v>
      </c>
    </row>
    <row r="124" spans="1:255" x14ac:dyDescent="0.25">
      <c r="A124" t="s">
        <v>2854</v>
      </c>
      <c r="B124" t="str">
        <f>"801542815936"</f>
        <v>801542815936</v>
      </c>
      <c r="C124" t="s">
        <v>2855</v>
      </c>
      <c r="D124" t="s">
        <v>835</v>
      </c>
      <c r="E124" t="s">
        <v>2388</v>
      </c>
      <c r="G124" t="str">
        <f t="shared" si="25"/>
        <v>36</v>
      </c>
      <c r="H124" t="str">
        <f t="shared" si="25"/>
        <v>36</v>
      </c>
      <c r="I124" t="str">
        <f>"14.5"</f>
        <v>14.5</v>
      </c>
      <c r="J124" t="str">
        <f>"26.46"</f>
        <v>26.46</v>
      </c>
      <c r="K124" t="s">
        <v>2462</v>
      </c>
      <c r="L124" t="s">
        <v>1857</v>
      </c>
      <c r="N124" t="s">
        <v>2463</v>
      </c>
      <c r="O124" t="s">
        <v>2464</v>
      </c>
      <c r="P124" t="s">
        <v>775</v>
      </c>
      <c r="T124" t="s">
        <v>373</v>
      </c>
      <c r="U124" t="s">
        <v>373</v>
      </c>
      <c r="V124" t="s">
        <v>2856</v>
      </c>
      <c r="W124" t="s">
        <v>2857</v>
      </c>
      <c r="X124" t="s">
        <v>2858</v>
      </c>
      <c r="Y124" t="s">
        <v>2859</v>
      </c>
      <c r="Z124" t="s">
        <v>2860</v>
      </c>
      <c r="AA124" t="s">
        <v>2861</v>
      </c>
      <c r="AB124" t="s">
        <v>2862</v>
      </c>
      <c r="AC124" t="s">
        <v>2863</v>
      </c>
      <c r="AD124" t="s">
        <v>2864</v>
      </c>
      <c r="AE124" t="s">
        <v>2865</v>
      </c>
      <c r="AF124" t="s">
        <v>2866</v>
      </c>
      <c r="AG124" t="s">
        <v>2867</v>
      </c>
      <c r="AH124" t="s">
        <v>2868</v>
      </c>
      <c r="AI124" t="s">
        <v>2869</v>
      </c>
      <c r="BA124" t="str">
        <f>"799"</f>
        <v>799</v>
      </c>
      <c r="BB124" t="str">
        <f>"340"</f>
        <v>340</v>
      </c>
      <c r="BC124" t="s">
        <v>388</v>
      </c>
      <c r="BD124" t="str">
        <f>"1"</f>
        <v>1</v>
      </c>
      <c r="BE124" t="s">
        <v>389</v>
      </c>
      <c r="BF124" t="str">
        <f t="shared" si="26"/>
        <v>37.4</v>
      </c>
      <c r="BG124" t="str">
        <f t="shared" si="26"/>
        <v>37.4</v>
      </c>
      <c r="BH124" t="str">
        <f>"17.32"</f>
        <v>17.32</v>
      </c>
      <c r="BI124" t="str">
        <f>"44.09"</f>
        <v>44.09</v>
      </c>
      <c r="BY124" t="str">
        <f>"14.02"</f>
        <v>14.02</v>
      </c>
      <c r="BZ124" t="str">
        <f>"0.397"</f>
        <v>0.397</v>
      </c>
      <c r="CA124" t="s">
        <v>495</v>
      </c>
      <c r="CK124" t="s">
        <v>859</v>
      </c>
      <c r="CL124" t="s">
        <v>950</v>
      </c>
      <c r="CM124" t="s">
        <v>859</v>
      </c>
      <c r="CO124">
        <v>0</v>
      </c>
      <c r="CQ124" t="s">
        <v>631</v>
      </c>
      <c r="CX124" t="s">
        <v>667</v>
      </c>
      <c r="CY124" t="s">
        <v>400</v>
      </c>
      <c r="CZ124">
        <v>0</v>
      </c>
      <c r="DD124">
        <v>35000</v>
      </c>
      <c r="DE124" t="s">
        <v>570</v>
      </c>
      <c r="DH124">
        <v>0</v>
      </c>
      <c r="DI124">
        <v>1</v>
      </c>
      <c r="DJ124" t="s">
        <v>471</v>
      </c>
      <c r="DK124" t="s">
        <v>2399</v>
      </c>
      <c r="DL124">
        <v>0</v>
      </c>
      <c r="DM124" t="s">
        <v>538</v>
      </c>
      <c r="EG124" t="s">
        <v>2029</v>
      </c>
    </row>
    <row r="125" spans="1:255" x14ac:dyDescent="0.25">
      <c r="A125" t="s">
        <v>2870</v>
      </c>
      <c r="B125" t="str">
        <f>"801542816322"</f>
        <v>801542816322</v>
      </c>
      <c r="C125" t="s">
        <v>2871</v>
      </c>
      <c r="D125" t="s">
        <v>835</v>
      </c>
      <c r="E125" t="s">
        <v>2388</v>
      </c>
      <c r="G125" t="str">
        <f t="shared" si="25"/>
        <v>36</v>
      </c>
      <c r="H125" t="str">
        <f t="shared" si="25"/>
        <v>36</v>
      </c>
      <c r="I125" t="str">
        <f>"14.5"</f>
        <v>14.5</v>
      </c>
      <c r="J125" t="str">
        <f>"26.46"</f>
        <v>26.46</v>
      </c>
      <c r="K125" t="s">
        <v>369</v>
      </c>
      <c r="L125" t="s">
        <v>1857</v>
      </c>
      <c r="N125" t="s">
        <v>371</v>
      </c>
      <c r="O125" t="s">
        <v>775</v>
      </c>
      <c r="T125" t="s">
        <v>373</v>
      </c>
      <c r="U125" t="s">
        <v>373</v>
      </c>
      <c r="V125" t="s">
        <v>2872</v>
      </c>
      <c r="W125" t="s">
        <v>2873</v>
      </c>
      <c r="X125" t="s">
        <v>2874</v>
      </c>
      <c r="Y125" t="s">
        <v>2875</v>
      </c>
      <c r="Z125" t="s">
        <v>2876</v>
      </c>
      <c r="AA125" t="s">
        <v>2877</v>
      </c>
      <c r="AB125" t="s">
        <v>2878</v>
      </c>
      <c r="AC125" t="s">
        <v>2879</v>
      </c>
      <c r="AD125" t="s">
        <v>2880</v>
      </c>
      <c r="AE125" t="s">
        <v>2881</v>
      </c>
      <c r="AF125" t="s">
        <v>2882</v>
      </c>
      <c r="BA125" t="str">
        <f>"749"</f>
        <v>749</v>
      </c>
      <c r="BB125" t="str">
        <f>"315"</f>
        <v>315</v>
      </c>
      <c r="BC125" t="s">
        <v>388</v>
      </c>
      <c r="BD125" t="str">
        <f>"1"</f>
        <v>1</v>
      </c>
      <c r="BE125" t="s">
        <v>389</v>
      </c>
      <c r="BF125" t="str">
        <f t="shared" si="26"/>
        <v>37.4</v>
      </c>
      <c r="BG125" t="str">
        <f t="shared" si="26"/>
        <v>37.4</v>
      </c>
      <c r="BH125" t="str">
        <f>"17.32"</f>
        <v>17.32</v>
      </c>
      <c r="BI125" t="str">
        <f>"44.09"</f>
        <v>44.09</v>
      </c>
      <c r="BY125" t="str">
        <f>"14.02"</f>
        <v>14.02</v>
      </c>
      <c r="BZ125" t="str">
        <f>"0.397"</f>
        <v>0.397</v>
      </c>
      <c r="CA125" t="s">
        <v>390</v>
      </c>
      <c r="CK125" t="s">
        <v>859</v>
      </c>
      <c r="CL125" t="s">
        <v>950</v>
      </c>
      <c r="CM125" t="s">
        <v>859</v>
      </c>
      <c r="CO125">
        <v>0</v>
      </c>
      <c r="CQ125" t="s">
        <v>399</v>
      </c>
      <c r="CX125" t="s">
        <v>667</v>
      </c>
      <c r="CY125" t="s">
        <v>400</v>
      </c>
      <c r="CZ125">
        <v>0</v>
      </c>
      <c r="DD125">
        <v>15000</v>
      </c>
      <c r="DE125" t="s">
        <v>570</v>
      </c>
      <c r="DH125">
        <v>0</v>
      </c>
      <c r="DI125">
        <v>1</v>
      </c>
      <c r="DJ125" t="s">
        <v>471</v>
      </c>
      <c r="DK125" t="s">
        <v>2399</v>
      </c>
      <c r="DL125">
        <v>0</v>
      </c>
      <c r="DM125" t="s">
        <v>538</v>
      </c>
      <c r="EG125" t="s">
        <v>2029</v>
      </c>
    </row>
    <row r="126" spans="1:255" x14ac:dyDescent="0.25">
      <c r="A126" t="s">
        <v>2883</v>
      </c>
      <c r="B126" t="str">
        <f>"801542627898"</f>
        <v>801542627898</v>
      </c>
      <c r="C126" t="s">
        <v>2884</v>
      </c>
      <c r="D126" t="s">
        <v>769</v>
      </c>
      <c r="E126" t="s">
        <v>2006</v>
      </c>
      <c r="F126" t="s">
        <v>2040</v>
      </c>
      <c r="G126" t="str">
        <f>"82.5"</f>
        <v>82.5</v>
      </c>
      <c r="H126" t="str">
        <f t="shared" ref="H126:H131" si="27">"90"</f>
        <v>90</v>
      </c>
      <c r="I126" t="str">
        <f t="shared" ref="I126:I132" si="28">"55"</f>
        <v>55</v>
      </c>
      <c r="J126" t="str">
        <f>"165.35"</f>
        <v>165.35</v>
      </c>
      <c r="K126" t="s">
        <v>618</v>
      </c>
      <c r="L126" t="s">
        <v>585</v>
      </c>
      <c r="N126" t="s">
        <v>619</v>
      </c>
      <c r="O126" t="s">
        <v>620</v>
      </c>
      <c r="P126" t="s">
        <v>621</v>
      </c>
      <c r="Q126" t="s">
        <v>775</v>
      </c>
      <c r="T126" t="s">
        <v>402</v>
      </c>
      <c r="U126" t="s">
        <v>402</v>
      </c>
      <c r="V126" t="s">
        <v>2885</v>
      </c>
      <c r="W126" t="s">
        <v>2886</v>
      </c>
      <c r="X126" t="s">
        <v>2887</v>
      </c>
      <c r="Y126" t="s">
        <v>2888</v>
      </c>
      <c r="Z126" t="s">
        <v>2889</v>
      </c>
      <c r="AA126" t="s">
        <v>2890</v>
      </c>
      <c r="AB126" t="s">
        <v>2891</v>
      </c>
      <c r="AC126" t="s">
        <v>2892</v>
      </c>
      <c r="AD126" t="s">
        <v>2893</v>
      </c>
      <c r="AE126" t="s">
        <v>2894</v>
      </c>
      <c r="AF126" t="s">
        <v>2895</v>
      </c>
      <c r="AG126" t="s">
        <v>2896</v>
      </c>
      <c r="AH126" t="s">
        <v>2897</v>
      </c>
      <c r="AI126" t="s">
        <v>2898</v>
      </c>
      <c r="AJ126" t="s">
        <v>2899</v>
      </c>
      <c r="AK126" t="s">
        <v>2900</v>
      </c>
      <c r="BA126" t="str">
        <f>"2399"</f>
        <v>2399</v>
      </c>
      <c r="BB126" t="str">
        <f>"1010"</f>
        <v>1010</v>
      </c>
      <c r="BC126" t="s">
        <v>388</v>
      </c>
      <c r="BD126" t="str">
        <f t="shared" ref="BD126:BD132" si="29">"3"</f>
        <v>3</v>
      </c>
      <c r="BE126" t="s">
        <v>2025</v>
      </c>
      <c r="BF126" t="str">
        <f>"83.86"</f>
        <v>83.86</v>
      </c>
      <c r="BG126" t="str">
        <f>"14.17"</f>
        <v>14.17</v>
      </c>
      <c r="BH126" t="str">
        <f>"50.98"</f>
        <v>50.98</v>
      </c>
      <c r="BI126" t="str">
        <f>"110.23"</f>
        <v>110.23</v>
      </c>
      <c r="BJ126" t="s">
        <v>2901</v>
      </c>
      <c r="BK126" t="str">
        <f t="shared" ref="BK126:BK131" si="30">"85.75"</f>
        <v>85.75</v>
      </c>
      <c r="BL126" t="str">
        <f t="shared" ref="BL126:BL132" si="31">"9.06"</f>
        <v>9.06</v>
      </c>
      <c r="BM126" t="str">
        <f t="shared" ref="BM126:BM131" si="32">"10.24"</f>
        <v>10.24</v>
      </c>
      <c r="BN126" t="str">
        <f t="shared" ref="BN126:BN131" si="33">"47.84"</f>
        <v>47.84</v>
      </c>
      <c r="BO126" t="s">
        <v>2902</v>
      </c>
      <c r="BP126" t="str">
        <f t="shared" ref="BP126:BP131" si="34">"81.73"</f>
        <v>81.73</v>
      </c>
      <c r="BQ126" t="str">
        <f t="shared" ref="BQ126:BQ131" si="35">"5.39"</f>
        <v>5.39</v>
      </c>
      <c r="BR126" t="str">
        <f>"40.35"</f>
        <v>40.35</v>
      </c>
      <c r="BS126" t="str">
        <f>"52.91"</f>
        <v>52.91</v>
      </c>
      <c r="BY126" t="str">
        <f>"49.97"</f>
        <v>49.97</v>
      </c>
      <c r="BZ126" t="str">
        <f>"1.415"</f>
        <v>1.415</v>
      </c>
      <c r="CA126" t="s">
        <v>431</v>
      </c>
      <c r="CQ126" t="s">
        <v>631</v>
      </c>
      <c r="CR126" t="s">
        <v>400</v>
      </c>
      <c r="CS126">
        <v>0</v>
      </c>
      <c r="CT126" t="s">
        <v>400</v>
      </c>
      <c r="CV126">
        <v>0</v>
      </c>
      <c r="CX126" t="s">
        <v>403</v>
      </c>
      <c r="CY126" t="s">
        <v>400</v>
      </c>
      <c r="DA126">
        <v>0</v>
      </c>
      <c r="DB126">
        <v>0</v>
      </c>
      <c r="DC126">
        <v>0</v>
      </c>
      <c r="DD126">
        <v>25000</v>
      </c>
      <c r="DK126" t="s">
        <v>2903</v>
      </c>
      <c r="DM126" t="s">
        <v>2028</v>
      </c>
      <c r="EG126" t="s">
        <v>2904</v>
      </c>
      <c r="EN126">
        <v>0</v>
      </c>
      <c r="HN126" t="s">
        <v>450</v>
      </c>
      <c r="HO126" t="s">
        <v>450</v>
      </c>
      <c r="HP126" t="s">
        <v>450</v>
      </c>
      <c r="HQ126" t="s">
        <v>613</v>
      </c>
      <c r="HR126" t="s">
        <v>475</v>
      </c>
      <c r="HS126" t="s">
        <v>2905</v>
      </c>
      <c r="HT126" t="s">
        <v>2807</v>
      </c>
      <c r="HU126" t="s">
        <v>1056</v>
      </c>
      <c r="HV126" t="s">
        <v>2905</v>
      </c>
      <c r="HW126" t="s">
        <v>2906</v>
      </c>
      <c r="HX126" t="s">
        <v>827</v>
      </c>
      <c r="HY126" t="s">
        <v>2907</v>
      </c>
      <c r="HZ126" t="s">
        <v>797</v>
      </c>
      <c r="IA126" t="s">
        <v>792</v>
      </c>
      <c r="IB126" t="s">
        <v>475</v>
      </c>
      <c r="IC126" t="s">
        <v>402</v>
      </c>
      <c r="ID126" t="s">
        <v>2176</v>
      </c>
      <c r="IE126" t="s">
        <v>2037</v>
      </c>
      <c r="IF126" t="s">
        <v>2177</v>
      </c>
      <c r="IG126" t="s">
        <v>2040</v>
      </c>
      <c r="IM126" t="s">
        <v>1156</v>
      </c>
      <c r="IN126" t="s">
        <v>2908</v>
      </c>
      <c r="IP126" t="s">
        <v>402</v>
      </c>
      <c r="IQ126" t="s">
        <v>2179</v>
      </c>
      <c r="IT126" t="s">
        <v>2906</v>
      </c>
      <c r="IU126" t="s">
        <v>2909</v>
      </c>
    </row>
    <row r="127" spans="1:255" x14ac:dyDescent="0.25">
      <c r="A127" t="s">
        <v>2910</v>
      </c>
      <c r="B127" t="str">
        <f>"801542618544"</f>
        <v>801542618544</v>
      </c>
      <c r="C127" t="s">
        <v>2884</v>
      </c>
      <c r="D127" t="s">
        <v>769</v>
      </c>
      <c r="E127" t="s">
        <v>2006</v>
      </c>
      <c r="F127" t="s">
        <v>2007</v>
      </c>
      <c r="G127" t="str">
        <f>"66"</f>
        <v>66</v>
      </c>
      <c r="H127" t="str">
        <f t="shared" si="27"/>
        <v>90</v>
      </c>
      <c r="I127" t="str">
        <f t="shared" si="28"/>
        <v>55</v>
      </c>
      <c r="J127" t="str">
        <f>"156.53"</f>
        <v>156.53</v>
      </c>
      <c r="K127" t="s">
        <v>618</v>
      </c>
      <c r="L127" t="s">
        <v>585</v>
      </c>
      <c r="N127" t="s">
        <v>619</v>
      </c>
      <c r="O127" t="s">
        <v>620</v>
      </c>
      <c r="P127" t="s">
        <v>621</v>
      </c>
      <c r="Q127" t="s">
        <v>775</v>
      </c>
      <c r="T127" t="s">
        <v>402</v>
      </c>
      <c r="U127" t="s">
        <v>402</v>
      </c>
      <c r="V127" t="s">
        <v>2885</v>
      </c>
      <c r="W127" t="s">
        <v>2911</v>
      </c>
      <c r="X127" t="s">
        <v>2912</v>
      </c>
      <c r="Y127" t="s">
        <v>2913</v>
      </c>
      <c r="Z127" t="s">
        <v>2914</v>
      </c>
      <c r="AA127" t="s">
        <v>2890</v>
      </c>
      <c r="AB127" t="s">
        <v>2915</v>
      </c>
      <c r="AC127" t="s">
        <v>2916</v>
      </c>
      <c r="AD127" t="s">
        <v>2917</v>
      </c>
      <c r="AE127" t="s">
        <v>2918</v>
      </c>
      <c r="AF127" t="s">
        <v>2919</v>
      </c>
      <c r="AG127" t="s">
        <v>2920</v>
      </c>
      <c r="AH127" t="s">
        <v>2921</v>
      </c>
      <c r="AI127" t="s">
        <v>2922</v>
      </c>
      <c r="AJ127" t="s">
        <v>2923</v>
      </c>
      <c r="AK127" t="s">
        <v>2924</v>
      </c>
      <c r="BA127" t="str">
        <f>"2099"</f>
        <v>2099</v>
      </c>
      <c r="BB127" t="str">
        <f>"885"</f>
        <v>885</v>
      </c>
      <c r="BC127" t="s">
        <v>388</v>
      </c>
      <c r="BD127" t="str">
        <f t="shared" si="29"/>
        <v>3</v>
      </c>
      <c r="BE127" t="s">
        <v>2925</v>
      </c>
      <c r="BF127" t="str">
        <f>"67.32"</f>
        <v>67.32</v>
      </c>
      <c r="BG127" t="str">
        <f>"50.98"</f>
        <v>50.98</v>
      </c>
      <c r="BH127" t="str">
        <f>"14.17"</f>
        <v>14.17</v>
      </c>
      <c r="BI127" t="str">
        <f>"99.65"</f>
        <v>99.65</v>
      </c>
      <c r="BJ127" t="s">
        <v>2026</v>
      </c>
      <c r="BK127" t="str">
        <f t="shared" si="30"/>
        <v>85.75</v>
      </c>
      <c r="BL127" t="str">
        <f t="shared" si="31"/>
        <v>9.06</v>
      </c>
      <c r="BM127" t="str">
        <f t="shared" si="32"/>
        <v>10.24</v>
      </c>
      <c r="BN127" t="str">
        <f t="shared" si="33"/>
        <v>47.84</v>
      </c>
      <c r="BO127" t="s">
        <v>2902</v>
      </c>
      <c r="BP127" t="str">
        <f t="shared" si="34"/>
        <v>81.73</v>
      </c>
      <c r="BQ127" t="str">
        <f t="shared" si="35"/>
        <v>5.39</v>
      </c>
      <c r="BR127" t="str">
        <f>"32.28"</f>
        <v>32.28</v>
      </c>
      <c r="BS127" t="str">
        <f>"43.87"</f>
        <v>43.87</v>
      </c>
      <c r="BY127" t="str">
        <f>"40.97"</f>
        <v>40.97</v>
      </c>
      <c r="BZ127" t="str">
        <f>"1.16"</f>
        <v>1.16</v>
      </c>
      <c r="CA127" t="s">
        <v>431</v>
      </c>
      <c r="CQ127" t="s">
        <v>631</v>
      </c>
      <c r="CR127" t="s">
        <v>400</v>
      </c>
      <c r="CS127">
        <v>0</v>
      </c>
      <c r="CT127" t="s">
        <v>400</v>
      </c>
      <c r="CV127">
        <v>0</v>
      </c>
      <c r="CX127" t="s">
        <v>403</v>
      </c>
      <c r="CY127" t="s">
        <v>400</v>
      </c>
      <c r="DA127">
        <v>0</v>
      </c>
      <c r="DB127">
        <v>0</v>
      </c>
      <c r="DC127">
        <v>0</v>
      </c>
      <c r="DD127">
        <v>25000</v>
      </c>
      <c r="DK127" t="s">
        <v>2903</v>
      </c>
      <c r="DM127" t="s">
        <v>2028</v>
      </c>
      <c r="EG127" t="s">
        <v>2904</v>
      </c>
      <c r="EN127">
        <v>0</v>
      </c>
      <c r="HN127" t="s">
        <v>450</v>
      </c>
      <c r="HO127" t="s">
        <v>450</v>
      </c>
      <c r="HP127" t="s">
        <v>450</v>
      </c>
      <c r="HQ127" t="s">
        <v>613</v>
      </c>
      <c r="HR127" t="s">
        <v>475</v>
      </c>
      <c r="HS127" t="s">
        <v>2926</v>
      </c>
      <c r="HT127" t="s">
        <v>2807</v>
      </c>
      <c r="HU127" t="s">
        <v>1056</v>
      </c>
      <c r="HV127" t="s">
        <v>2926</v>
      </c>
      <c r="HW127" t="s">
        <v>2906</v>
      </c>
      <c r="HX127" t="s">
        <v>827</v>
      </c>
      <c r="HY127" t="s">
        <v>2927</v>
      </c>
      <c r="HZ127" t="s">
        <v>797</v>
      </c>
      <c r="IA127" t="s">
        <v>792</v>
      </c>
      <c r="IB127" t="s">
        <v>475</v>
      </c>
      <c r="IC127" t="s">
        <v>402</v>
      </c>
      <c r="ID127" t="s">
        <v>2176</v>
      </c>
      <c r="IE127" t="s">
        <v>2037</v>
      </c>
      <c r="IF127" t="s">
        <v>2177</v>
      </c>
      <c r="IG127" t="s">
        <v>2007</v>
      </c>
      <c r="IM127" t="s">
        <v>1156</v>
      </c>
      <c r="IN127" t="s">
        <v>2908</v>
      </c>
      <c r="IP127" t="s">
        <v>402</v>
      </c>
      <c r="IQ127" t="s">
        <v>2179</v>
      </c>
      <c r="IT127" t="s">
        <v>2906</v>
      </c>
      <c r="IU127" t="s">
        <v>2928</v>
      </c>
    </row>
    <row r="128" spans="1:255" x14ac:dyDescent="0.25">
      <c r="A128" t="s">
        <v>2929</v>
      </c>
      <c r="B128" t="str">
        <f>"801542678401"</f>
        <v>801542678401</v>
      </c>
      <c r="C128" t="s">
        <v>2930</v>
      </c>
      <c r="D128" t="s">
        <v>769</v>
      </c>
      <c r="E128" t="s">
        <v>2006</v>
      </c>
      <c r="F128" t="s">
        <v>2007</v>
      </c>
      <c r="G128" t="str">
        <f>"66"</f>
        <v>66</v>
      </c>
      <c r="H128" t="str">
        <f t="shared" si="27"/>
        <v>90</v>
      </c>
      <c r="I128" t="str">
        <f t="shared" si="28"/>
        <v>55</v>
      </c>
      <c r="J128" t="str">
        <f>"156.53"</f>
        <v>156.53</v>
      </c>
      <c r="K128" t="s">
        <v>2931</v>
      </c>
      <c r="L128" t="s">
        <v>585</v>
      </c>
      <c r="N128" t="s">
        <v>371</v>
      </c>
      <c r="O128" t="s">
        <v>775</v>
      </c>
      <c r="T128" t="s">
        <v>373</v>
      </c>
      <c r="U128" t="s">
        <v>373</v>
      </c>
      <c r="V128" t="s">
        <v>2932</v>
      </c>
      <c r="W128" t="s">
        <v>2933</v>
      </c>
      <c r="X128" t="s">
        <v>2934</v>
      </c>
      <c r="Y128" t="s">
        <v>2935</v>
      </c>
      <c r="Z128" t="s">
        <v>2936</v>
      </c>
      <c r="AA128" t="s">
        <v>2937</v>
      </c>
      <c r="AB128" t="s">
        <v>2938</v>
      </c>
      <c r="AC128" t="s">
        <v>2939</v>
      </c>
      <c r="AD128" t="s">
        <v>2940</v>
      </c>
      <c r="AE128" t="s">
        <v>2941</v>
      </c>
      <c r="AF128" t="s">
        <v>2942</v>
      </c>
      <c r="AG128" t="s">
        <v>2943</v>
      </c>
      <c r="AH128" t="s">
        <v>2944</v>
      </c>
      <c r="BA128" t="str">
        <f>"2099"</f>
        <v>2099</v>
      </c>
      <c r="BB128" t="str">
        <f>"885"</f>
        <v>885</v>
      </c>
      <c r="BC128" t="s">
        <v>388</v>
      </c>
      <c r="BD128" t="str">
        <f t="shared" si="29"/>
        <v>3</v>
      </c>
      <c r="BE128" t="s">
        <v>2025</v>
      </c>
      <c r="BF128" t="str">
        <f>"67.32"</f>
        <v>67.32</v>
      </c>
      <c r="BG128" t="str">
        <f>"50.98"</f>
        <v>50.98</v>
      </c>
      <c r="BH128" t="str">
        <f>"14.17"</f>
        <v>14.17</v>
      </c>
      <c r="BI128" t="str">
        <f>"99.65"</f>
        <v>99.65</v>
      </c>
      <c r="BJ128" t="s">
        <v>2901</v>
      </c>
      <c r="BK128" t="str">
        <f t="shared" si="30"/>
        <v>85.75</v>
      </c>
      <c r="BL128" t="str">
        <f t="shared" si="31"/>
        <v>9.06</v>
      </c>
      <c r="BM128" t="str">
        <f t="shared" si="32"/>
        <v>10.24</v>
      </c>
      <c r="BN128" t="str">
        <f t="shared" si="33"/>
        <v>47.84</v>
      </c>
      <c r="BO128" t="s">
        <v>2902</v>
      </c>
      <c r="BP128" t="str">
        <f t="shared" si="34"/>
        <v>81.73</v>
      </c>
      <c r="BQ128" t="str">
        <f t="shared" si="35"/>
        <v>5.39</v>
      </c>
      <c r="BR128" t="str">
        <f>"32.28"</f>
        <v>32.28</v>
      </c>
      <c r="BS128" t="str">
        <f>"43.87"</f>
        <v>43.87</v>
      </c>
      <c r="BY128" t="str">
        <f>"40.97"</f>
        <v>40.97</v>
      </c>
      <c r="BZ128" t="str">
        <f>"1.16"</f>
        <v>1.16</v>
      </c>
      <c r="CA128" t="s">
        <v>390</v>
      </c>
      <c r="CQ128" t="s">
        <v>399</v>
      </c>
      <c r="CR128" t="s">
        <v>400</v>
      </c>
      <c r="CS128">
        <v>0</v>
      </c>
      <c r="CT128" t="s">
        <v>400</v>
      </c>
      <c r="CV128">
        <v>0</v>
      </c>
      <c r="CX128" t="s">
        <v>403</v>
      </c>
      <c r="CY128" t="s">
        <v>400</v>
      </c>
      <c r="DA128">
        <v>0</v>
      </c>
      <c r="DB128">
        <v>0</v>
      </c>
      <c r="DC128">
        <v>0</v>
      </c>
      <c r="DD128">
        <v>25000</v>
      </c>
      <c r="DK128" t="s">
        <v>2903</v>
      </c>
      <c r="DM128" t="s">
        <v>2028</v>
      </c>
      <c r="EG128" t="s">
        <v>2904</v>
      </c>
      <c r="EN128">
        <v>0</v>
      </c>
      <c r="HN128" t="s">
        <v>450</v>
      </c>
      <c r="HO128" t="s">
        <v>450</v>
      </c>
      <c r="HP128" t="s">
        <v>450</v>
      </c>
      <c r="HQ128" t="s">
        <v>613</v>
      </c>
      <c r="HR128" t="s">
        <v>475</v>
      </c>
      <c r="HS128" t="s">
        <v>2926</v>
      </c>
      <c r="HT128" t="s">
        <v>2807</v>
      </c>
      <c r="HU128" t="s">
        <v>1056</v>
      </c>
      <c r="HV128" t="s">
        <v>2926</v>
      </c>
      <c r="HW128" t="s">
        <v>2906</v>
      </c>
      <c r="HX128" t="s">
        <v>827</v>
      </c>
      <c r="HY128" t="s">
        <v>2927</v>
      </c>
      <c r="HZ128" t="s">
        <v>797</v>
      </c>
      <c r="IA128" t="s">
        <v>792</v>
      </c>
      <c r="IB128" t="s">
        <v>475</v>
      </c>
      <c r="IC128" t="s">
        <v>402</v>
      </c>
      <c r="ID128" t="s">
        <v>2176</v>
      </c>
      <c r="IE128" t="s">
        <v>2037</v>
      </c>
      <c r="IF128" t="s">
        <v>2177</v>
      </c>
      <c r="IG128" t="s">
        <v>2007</v>
      </c>
      <c r="IM128" t="s">
        <v>1156</v>
      </c>
      <c r="IN128" t="s">
        <v>2908</v>
      </c>
      <c r="IP128" t="s">
        <v>402</v>
      </c>
      <c r="IQ128" t="s">
        <v>2179</v>
      </c>
      <c r="IT128" t="s">
        <v>2906</v>
      </c>
      <c r="IU128" t="s">
        <v>2928</v>
      </c>
    </row>
    <row r="129" spans="1:260" x14ac:dyDescent="0.25">
      <c r="A129" t="s">
        <v>2945</v>
      </c>
      <c r="B129" t="str">
        <f>"801542678371"</f>
        <v>801542678371</v>
      </c>
      <c r="C129" t="s">
        <v>2930</v>
      </c>
      <c r="D129" t="s">
        <v>769</v>
      </c>
      <c r="E129" t="s">
        <v>2006</v>
      </c>
      <c r="F129" t="s">
        <v>2040</v>
      </c>
      <c r="G129" t="str">
        <f>"82.5"</f>
        <v>82.5</v>
      </c>
      <c r="H129" t="str">
        <f t="shared" si="27"/>
        <v>90</v>
      </c>
      <c r="I129" t="str">
        <f t="shared" si="28"/>
        <v>55</v>
      </c>
      <c r="J129" t="str">
        <f>"165.35"</f>
        <v>165.35</v>
      </c>
      <c r="K129" t="s">
        <v>2931</v>
      </c>
      <c r="L129" t="s">
        <v>585</v>
      </c>
      <c r="N129" t="s">
        <v>371</v>
      </c>
      <c r="O129" t="s">
        <v>775</v>
      </c>
      <c r="T129" t="s">
        <v>373</v>
      </c>
      <c r="U129" t="s">
        <v>373</v>
      </c>
      <c r="V129" t="s">
        <v>2932</v>
      </c>
      <c r="W129" t="s">
        <v>2946</v>
      </c>
      <c r="X129" t="s">
        <v>2947</v>
      </c>
      <c r="Y129" t="s">
        <v>2948</v>
      </c>
      <c r="Z129" t="s">
        <v>2949</v>
      </c>
      <c r="AA129" t="s">
        <v>2937</v>
      </c>
      <c r="AB129" t="s">
        <v>2950</v>
      </c>
      <c r="AC129" t="s">
        <v>2951</v>
      </c>
      <c r="AD129" t="s">
        <v>2952</v>
      </c>
      <c r="AE129" t="s">
        <v>2953</v>
      </c>
      <c r="AF129" t="s">
        <v>2954</v>
      </c>
      <c r="AG129" t="s">
        <v>2955</v>
      </c>
      <c r="AH129" t="s">
        <v>2956</v>
      </c>
      <c r="AI129" t="s">
        <v>2957</v>
      </c>
      <c r="BA129" t="str">
        <f>"2399"</f>
        <v>2399</v>
      </c>
      <c r="BB129" t="str">
        <f>"1010"</f>
        <v>1010</v>
      </c>
      <c r="BC129" t="s">
        <v>388</v>
      </c>
      <c r="BD129" t="str">
        <f t="shared" si="29"/>
        <v>3</v>
      </c>
      <c r="BE129" t="s">
        <v>2025</v>
      </c>
      <c r="BF129" t="str">
        <f>"83.86"</f>
        <v>83.86</v>
      </c>
      <c r="BG129" t="str">
        <f>"14.17"</f>
        <v>14.17</v>
      </c>
      <c r="BH129" t="str">
        <f>"50.98"</f>
        <v>50.98</v>
      </c>
      <c r="BI129" t="str">
        <f>"110.23"</f>
        <v>110.23</v>
      </c>
      <c r="BJ129" t="s">
        <v>2901</v>
      </c>
      <c r="BK129" t="str">
        <f t="shared" si="30"/>
        <v>85.75</v>
      </c>
      <c r="BL129" t="str">
        <f t="shared" si="31"/>
        <v>9.06</v>
      </c>
      <c r="BM129" t="str">
        <f t="shared" si="32"/>
        <v>10.24</v>
      </c>
      <c r="BN129" t="str">
        <f t="shared" si="33"/>
        <v>47.84</v>
      </c>
      <c r="BO129" t="s">
        <v>2902</v>
      </c>
      <c r="BP129" t="str">
        <f t="shared" si="34"/>
        <v>81.73</v>
      </c>
      <c r="BQ129" t="str">
        <f t="shared" si="35"/>
        <v>5.39</v>
      </c>
      <c r="BR129" t="str">
        <f>"40.35"</f>
        <v>40.35</v>
      </c>
      <c r="BS129" t="str">
        <f>"52.91"</f>
        <v>52.91</v>
      </c>
      <c r="BY129" t="str">
        <f>"49.97"</f>
        <v>49.97</v>
      </c>
      <c r="BZ129" t="str">
        <f>"1.415"</f>
        <v>1.415</v>
      </c>
      <c r="CA129" t="s">
        <v>390</v>
      </c>
      <c r="CQ129" t="s">
        <v>399</v>
      </c>
      <c r="CR129" t="s">
        <v>400</v>
      </c>
      <c r="CS129">
        <v>0</v>
      </c>
      <c r="CT129" t="s">
        <v>400</v>
      </c>
      <c r="CV129">
        <v>0</v>
      </c>
      <c r="CX129" t="s">
        <v>403</v>
      </c>
      <c r="CY129" t="s">
        <v>400</v>
      </c>
      <c r="DA129">
        <v>0</v>
      </c>
      <c r="DB129">
        <v>0</v>
      </c>
      <c r="DC129">
        <v>0</v>
      </c>
      <c r="DD129">
        <v>25000</v>
      </c>
      <c r="DK129" t="s">
        <v>2903</v>
      </c>
      <c r="DM129" t="s">
        <v>2028</v>
      </c>
      <c r="EG129" t="s">
        <v>2904</v>
      </c>
      <c r="EN129">
        <v>0</v>
      </c>
      <c r="HN129" t="s">
        <v>450</v>
      </c>
      <c r="HO129" t="s">
        <v>450</v>
      </c>
      <c r="HP129" t="s">
        <v>450</v>
      </c>
      <c r="HQ129" t="s">
        <v>613</v>
      </c>
      <c r="HR129" t="s">
        <v>475</v>
      </c>
      <c r="HS129" t="s">
        <v>2905</v>
      </c>
      <c r="HT129" t="s">
        <v>2807</v>
      </c>
      <c r="HU129" t="s">
        <v>1056</v>
      </c>
      <c r="HV129" t="s">
        <v>2905</v>
      </c>
      <c r="HW129" t="s">
        <v>2906</v>
      </c>
      <c r="HX129" t="s">
        <v>827</v>
      </c>
      <c r="HY129" t="s">
        <v>2907</v>
      </c>
      <c r="HZ129" t="s">
        <v>797</v>
      </c>
      <c r="IA129" t="s">
        <v>792</v>
      </c>
      <c r="IB129" t="s">
        <v>475</v>
      </c>
      <c r="IC129" t="s">
        <v>402</v>
      </c>
      <c r="ID129" t="s">
        <v>2176</v>
      </c>
      <c r="IE129" t="s">
        <v>2037</v>
      </c>
      <c r="IF129" t="s">
        <v>2177</v>
      </c>
      <c r="IG129" t="s">
        <v>2040</v>
      </c>
      <c r="IM129" t="s">
        <v>1156</v>
      </c>
      <c r="IN129" t="s">
        <v>2908</v>
      </c>
      <c r="IP129" t="s">
        <v>402</v>
      </c>
      <c r="IQ129" t="s">
        <v>2179</v>
      </c>
      <c r="IT129" t="s">
        <v>2906</v>
      </c>
      <c r="IU129" t="s">
        <v>2909</v>
      </c>
    </row>
    <row r="130" spans="1:260" x14ac:dyDescent="0.25">
      <c r="A130" t="s">
        <v>2958</v>
      </c>
      <c r="B130" t="str">
        <f>"801542058524"</f>
        <v>801542058524</v>
      </c>
      <c r="C130" t="s">
        <v>2959</v>
      </c>
      <c r="D130" t="s">
        <v>769</v>
      </c>
      <c r="E130" t="s">
        <v>2006</v>
      </c>
      <c r="F130" t="s">
        <v>2040</v>
      </c>
      <c r="G130" t="str">
        <f>"82.5"</f>
        <v>82.5</v>
      </c>
      <c r="H130" t="str">
        <f t="shared" si="27"/>
        <v>90</v>
      </c>
      <c r="I130" t="str">
        <f t="shared" si="28"/>
        <v>55</v>
      </c>
      <c r="J130" t="str">
        <f>"165.35"</f>
        <v>165.35</v>
      </c>
      <c r="K130" t="s">
        <v>2833</v>
      </c>
      <c r="L130" t="s">
        <v>2960</v>
      </c>
      <c r="N130" t="s">
        <v>1793</v>
      </c>
      <c r="O130" t="s">
        <v>1794</v>
      </c>
      <c r="P130" t="s">
        <v>372</v>
      </c>
      <c r="T130" t="s">
        <v>402</v>
      </c>
      <c r="U130" t="s">
        <v>373</v>
      </c>
      <c r="V130" t="s">
        <v>2961</v>
      </c>
      <c r="W130" t="s">
        <v>2962</v>
      </c>
      <c r="X130" t="s">
        <v>2963</v>
      </c>
      <c r="Y130" t="s">
        <v>2964</v>
      </c>
      <c r="Z130" t="s">
        <v>2965</v>
      </c>
      <c r="AA130" t="s">
        <v>2966</v>
      </c>
      <c r="AB130" t="s">
        <v>2967</v>
      </c>
      <c r="AC130" t="s">
        <v>2968</v>
      </c>
      <c r="AD130" t="s">
        <v>2969</v>
      </c>
      <c r="BA130" t="str">
        <f>"2399"</f>
        <v>2399</v>
      </c>
      <c r="BB130" t="str">
        <f>"1010"</f>
        <v>1010</v>
      </c>
      <c r="BC130" t="s">
        <v>388</v>
      </c>
      <c r="BD130" t="str">
        <f t="shared" si="29"/>
        <v>3</v>
      </c>
      <c r="BE130" t="s">
        <v>2025</v>
      </c>
      <c r="BF130" t="str">
        <f>"83.86"</f>
        <v>83.86</v>
      </c>
      <c r="BG130" t="str">
        <f>"14.17"</f>
        <v>14.17</v>
      </c>
      <c r="BH130" t="str">
        <f>"50.98"</f>
        <v>50.98</v>
      </c>
      <c r="BI130" t="str">
        <f>"110.23"</f>
        <v>110.23</v>
      </c>
      <c r="BJ130" t="s">
        <v>2901</v>
      </c>
      <c r="BK130" t="str">
        <f t="shared" si="30"/>
        <v>85.75</v>
      </c>
      <c r="BL130" t="str">
        <f t="shared" si="31"/>
        <v>9.06</v>
      </c>
      <c r="BM130" t="str">
        <f t="shared" si="32"/>
        <v>10.24</v>
      </c>
      <c r="BN130" t="str">
        <f t="shared" si="33"/>
        <v>47.84</v>
      </c>
      <c r="BO130" t="s">
        <v>2902</v>
      </c>
      <c r="BP130" t="str">
        <f t="shared" si="34"/>
        <v>81.73</v>
      </c>
      <c r="BQ130" t="str">
        <f t="shared" si="35"/>
        <v>5.39</v>
      </c>
      <c r="BR130" t="str">
        <f>"40.35"</f>
        <v>40.35</v>
      </c>
      <c r="BS130" t="str">
        <f>"52.91"</f>
        <v>52.91</v>
      </c>
      <c r="BY130" t="str">
        <f>"49.97"</f>
        <v>49.97</v>
      </c>
      <c r="BZ130" t="str">
        <f>"1.415"</f>
        <v>1.415</v>
      </c>
      <c r="CA130" t="s">
        <v>431</v>
      </c>
      <c r="CQ130" t="s">
        <v>438</v>
      </c>
      <c r="CR130" t="s">
        <v>400</v>
      </c>
      <c r="CS130">
        <v>0</v>
      </c>
      <c r="CT130" t="s">
        <v>400</v>
      </c>
      <c r="CV130">
        <v>0</v>
      </c>
      <c r="CX130" t="s">
        <v>403</v>
      </c>
      <c r="CY130" t="s">
        <v>400</v>
      </c>
      <c r="DA130">
        <v>0</v>
      </c>
      <c r="DB130">
        <v>0</v>
      </c>
      <c r="DC130">
        <v>0</v>
      </c>
      <c r="DD130">
        <v>30000</v>
      </c>
      <c r="DK130" t="s">
        <v>2903</v>
      </c>
      <c r="DM130" t="s">
        <v>2028</v>
      </c>
      <c r="EG130" t="s">
        <v>2904</v>
      </c>
      <c r="EN130">
        <v>0</v>
      </c>
      <c r="HN130" t="s">
        <v>450</v>
      </c>
      <c r="HO130" t="s">
        <v>450</v>
      </c>
      <c r="HP130" t="s">
        <v>450</v>
      </c>
      <c r="HQ130" t="s">
        <v>613</v>
      </c>
      <c r="HR130" t="s">
        <v>475</v>
      </c>
      <c r="HS130" t="s">
        <v>2905</v>
      </c>
      <c r="HT130" t="s">
        <v>2807</v>
      </c>
      <c r="HU130" t="s">
        <v>1056</v>
      </c>
      <c r="HV130" t="s">
        <v>2905</v>
      </c>
      <c r="HW130" t="s">
        <v>2906</v>
      </c>
      <c r="HX130" t="s">
        <v>827</v>
      </c>
      <c r="HY130" t="s">
        <v>2907</v>
      </c>
      <c r="HZ130" t="s">
        <v>797</v>
      </c>
      <c r="IA130" t="s">
        <v>792</v>
      </c>
      <c r="IB130" t="s">
        <v>475</v>
      </c>
      <c r="IC130" t="s">
        <v>402</v>
      </c>
      <c r="ID130" t="s">
        <v>2176</v>
      </c>
      <c r="IE130" t="s">
        <v>2037</v>
      </c>
      <c r="IF130" t="s">
        <v>2177</v>
      </c>
      <c r="IG130" t="s">
        <v>2040</v>
      </c>
      <c r="IM130" t="s">
        <v>1156</v>
      </c>
      <c r="IN130" t="s">
        <v>2908</v>
      </c>
      <c r="IP130" t="s">
        <v>402</v>
      </c>
      <c r="IQ130" t="s">
        <v>2179</v>
      </c>
      <c r="IT130" t="s">
        <v>2906</v>
      </c>
      <c r="IU130" t="s">
        <v>2909</v>
      </c>
    </row>
    <row r="131" spans="1:260" x14ac:dyDescent="0.25">
      <c r="A131" t="s">
        <v>2970</v>
      </c>
      <c r="B131" t="str">
        <f>"801542058555"</f>
        <v>801542058555</v>
      </c>
      <c r="C131" t="s">
        <v>2959</v>
      </c>
      <c r="D131" t="s">
        <v>769</v>
      </c>
      <c r="E131" t="s">
        <v>2006</v>
      </c>
      <c r="F131" t="s">
        <v>2007</v>
      </c>
      <c r="G131" t="str">
        <f>"66"</f>
        <v>66</v>
      </c>
      <c r="H131" t="str">
        <f t="shared" si="27"/>
        <v>90</v>
      </c>
      <c r="I131" t="str">
        <f t="shared" si="28"/>
        <v>55</v>
      </c>
      <c r="J131" t="str">
        <f>"156.53"</f>
        <v>156.53</v>
      </c>
      <c r="K131" t="s">
        <v>2833</v>
      </c>
      <c r="L131" t="s">
        <v>2960</v>
      </c>
      <c r="N131" t="s">
        <v>1793</v>
      </c>
      <c r="O131" t="s">
        <v>1794</v>
      </c>
      <c r="P131" t="s">
        <v>372</v>
      </c>
      <c r="T131" t="s">
        <v>402</v>
      </c>
      <c r="U131" t="s">
        <v>373</v>
      </c>
      <c r="V131" t="s">
        <v>2961</v>
      </c>
      <c r="W131" t="s">
        <v>2971</v>
      </c>
      <c r="X131" t="s">
        <v>2972</v>
      </c>
      <c r="Y131" t="s">
        <v>2973</v>
      </c>
      <c r="Z131" t="s">
        <v>2974</v>
      </c>
      <c r="AA131" t="s">
        <v>2975</v>
      </c>
      <c r="AB131" t="s">
        <v>2976</v>
      </c>
      <c r="AC131" t="s">
        <v>2977</v>
      </c>
      <c r="AD131" t="s">
        <v>2978</v>
      </c>
      <c r="AE131" t="s">
        <v>2979</v>
      </c>
      <c r="BA131" t="str">
        <f>"2099"</f>
        <v>2099</v>
      </c>
      <c r="BB131" t="str">
        <f>"885"</f>
        <v>885</v>
      </c>
      <c r="BC131" t="s">
        <v>388</v>
      </c>
      <c r="BD131" t="str">
        <f t="shared" si="29"/>
        <v>3</v>
      </c>
      <c r="BE131" t="s">
        <v>2025</v>
      </c>
      <c r="BF131" t="str">
        <f>"67.32"</f>
        <v>67.32</v>
      </c>
      <c r="BG131" t="str">
        <f>"50.98"</f>
        <v>50.98</v>
      </c>
      <c r="BH131" t="str">
        <f>"14.17"</f>
        <v>14.17</v>
      </c>
      <c r="BI131" t="str">
        <f>"99.65"</f>
        <v>99.65</v>
      </c>
      <c r="BJ131" t="s">
        <v>2901</v>
      </c>
      <c r="BK131" t="str">
        <f t="shared" si="30"/>
        <v>85.75</v>
      </c>
      <c r="BL131" t="str">
        <f t="shared" si="31"/>
        <v>9.06</v>
      </c>
      <c r="BM131" t="str">
        <f t="shared" si="32"/>
        <v>10.24</v>
      </c>
      <c r="BN131" t="str">
        <f t="shared" si="33"/>
        <v>47.84</v>
      </c>
      <c r="BO131" t="s">
        <v>2902</v>
      </c>
      <c r="BP131" t="str">
        <f t="shared" si="34"/>
        <v>81.73</v>
      </c>
      <c r="BQ131" t="str">
        <f t="shared" si="35"/>
        <v>5.39</v>
      </c>
      <c r="BR131" t="str">
        <f>"32.28"</f>
        <v>32.28</v>
      </c>
      <c r="BS131" t="str">
        <f>"43.87"</f>
        <v>43.87</v>
      </c>
      <c r="BY131" t="str">
        <f>"40.97"</f>
        <v>40.97</v>
      </c>
      <c r="BZ131" t="str">
        <f>"1.16"</f>
        <v>1.16</v>
      </c>
      <c r="CA131" t="s">
        <v>495</v>
      </c>
      <c r="CQ131" t="s">
        <v>438</v>
      </c>
      <c r="CR131" t="s">
        <v>400</v>
      </c>
      <c r="CS131">
        <v>0</v>
      </c>
      <c r="CT131" t="s">
        <v>400</v>
      </c>
      <c r="CV131">
        <v>0</v>
      </c>
      <c r="CX131" t="s">
        <v>403</v>
      </c>
      <c r="CY131" t="s">
        <v>400</v>
      </c>
      <c r="DA131">
        <v>0</v>
      </c>
      <c r="DB131">
        <v>0</v>
      </c>
      <c r="DC131">
        <v>0</v>
      </c>
      <c r="DD131">
        <v>30000</v>
      </c>
      <c r="DK131" t="s">
        <v>2903</v>
      </c>
      <c r="DM131" t="s">
        <v>2028</v>
      </c>
      <c r="EG131" t="s">
        <v>2904</v>
      </c>
      <c r="EN131">
        <v>0</v>
      </c>
      <c r="HN131" t="s">
        <v>450</v>
      </c>
      <c r="HO131" t="s">
        <v>450</v>
      </c>
      <c r="HP131" t="s">
        <v>450</v>
      </c>
      <c r="HQ131" t="s">
        <v>613</v>
      </c>
      <c r="HR131" t="s">
        <v>475</v>
      </c>
      <c r="HS131" t="s">
        <v>2926</v>
      </c>
      <c r="HT131" t="s">
        <v>2807</v>
      </c>
      <c r="HU131" t="s">
        <v>1056</v>
      </c>
      <c r="HV131" t="s">
        <v>2926</v>
      </c>
      <c r="HW131" t="s">
        <v>2906</v>
      </c>
      <c r="HX131" t="s">
        <v>827</v>
      </c>
      <c r="HY131" t="s">
        <v>2927</v>
      </c>
      <c r="HZ131" t="s">
        <v>797</v>
      </c>
      <c r="IA131" t="s">
        <v>792</v>
      </c>
      <c r="IB131" t="s">
        <v>475</v>
      </c>
      <c r="IC131" t="s">
        <v>402</v>
      </c>
      <c r="ID131" t="s">
        <v>2176</v>
      </c>
      <c r="IE131" t="s">
        <v>2037</v>
      </c>
      <c r="IF131" t="s">
        <v>2177</v>
      </c>
      <c r="IG131" t="s">
        <v>2007</v>
      </c>
      <c r="IM131" t="s">
        <v>1156</v>
      </c>
      <c r="IN131" t="s">
        <v>2908</v>
      </c>
      <c r="IP131" t="s">
        <v>402</v>
      </c>
      <c r="IQ131" t="s">
        <v>2179</v>
      </c>
      <c r="IT131" t="s">
        <v>2906</v>
      </c>
      <c r="IU131" t="s">
        <v>2928</v>
      </c>
    </row>
    <row r="132" spans="1:260" x14ac:dyDescent="0.25">
      <c r="A132" t="s">
        <v>2980</v>
      </c>
      <c r="B132" t="str">
        <f>"198394083386"</f>
        <v>198394083386</v>
      </c>
      <c r="C132" t="s">
        <v>2884</v>
      </c>
      <c r="D132" t="s">
        <v>769</v>
      </c>
      <c r="E132" t="s">
        <v>2006</v>
      </c>
      <c r="F132" t="s">
        <v>2981</v>
      </c>
      <c r="G132" t="str">
        <f>"45"</f>
        <v>45</v>
      </c>
      <c r="H132" t="str">
        <f>"85.5"</f>
        <v>85.5</v>
      </c>
      <c r="I132" t="str">
        <f t="shared" si="28"/>
        <v>55</v>
      </c>
      <c r="J132" t="str">
        <f>"114.42"</f>
        <v>114.42</v>
      </c>
      <c r="K132" t="s">
        <v>618</v>
      </c>
      <c r="L132" t="s">
        <v>585</v>
      </c>
      <c r="N132" t="s">
        <v>619</v>
      </c>
      <c r="O132" t="s">
        <v>620</v>
      </c>
      <c r="P132" t="s">
        <v>621</v>
      </c>
      <c r="Q132" t="s">
        <v>775</v>
      </c>
      <c r="T132" t="s">
        <v>402</v>
      </c>
      <c r="U132" t="s">
        <v>402</v>
      </c>
      <c r="V132" t="s">
        <v>2982</v>
      </c>
      <c r="W132" t="s">
        <v>2983</v>
      </c>
      <c r="X132" t="s">
        <v>2984</v>
      </c>
      <c r="Y132" t="s">
        <v>2985</v>
      </c>
      <c r="Z132" t="s">
        <v>2986</v>
      </c>
      <c r="AA132" t="s">
        <v>2987</v>
      </c>
      <c r="AB132" t="s">
        <v>2988</v>
      </c>
      <c r="AC132" t="s">
        <v>2989</v>
      </c>
      <c r="AD132" t="s">
        <v>2990</v>
      </c>
      <c r="AE132" t="s">
        <v>2991</v>
      </c>
      <c r="AF132" t="s">
        <v>2992</v>
      </c>
      <c r="AG132" t="s">
        <v>2993</v>
      </c>
      <c r="AH132" t="s">
        <v>2994</v>
      </c>
      <c r="AI132" t="s">
        <v>2995</v>
      </c>
      <c r="BA132" t="str">
        <f>"1449"</f>
        <v>1449</v>
      </c>
      <c r="BB132" t="str">
        <f>"610"</f>
        <v>610</v>
      </c>
      <c r="BC132" t="s">
        <v>388</v>
      </c>
      <c r="BD132" t="str">
        <f t="shared" si="29"/>
        <v>3</v>
      </c>
      <c r="BE132" t="s">
        <v>2025</v>
      </c>
      <c r="BF132" t="str">
        <f>"45.28"</f>
        <v>45.28</v>
      </c>
      <c r="BG132" t="str">
        <f>"14.17"</f>
        <v>14.17</v>
      </c>
      <c r="BH132" t="str">
        <f>"50.98"</f>
        <v>50.98</v>
      </c>
      <c r="BI132" t="str">
        <f>"74.3"</f>
        <v>74.3</v>
      </c>
      <c r="BJ132" t="s">
        <v>2026</v>
      </c>
      <c r="BK132" t="str">
        <f>"70.87"</f>
        <v>70.87</v>
      </c>
      <c r="BL132" t="str">
        <f t="shared" si="31"/>
        <v>9.06</v>
      </c>
      <c r="BM132" t="str">
        <f>"9.06"</f>
        <v>9.06</v>
      </c>
      <c r="BN132" t="str">
        <f>"33.51"</f>
        <v>33.51</v>
      </c>
      <c r="BO132" t="s">
        <v>2902</v>
      </c>
      <c r="BP132" t="str">
        <f>"75.98"</f>
        <v>75.98</v>
      </c>
      <c r="BQ132" t="str">
        <f>"3.94"</f>
        <v>3.94</v>
      </c>
      <c r="BR132" t="str">
        <f>"40.55"</f>
        <v>40.55</v>
      </c>
      <c r="BS132" t="str">
        <f>"32.41"</f>
        <v>32.41</v>
      </c>
      <c r="BY132" t="str">
        <f>"29.31"</f>
        <v>29.31</v>
      </c>
      <c r="BZ132" t="str">
        <f>"0.83"</f>
        <v>0.83</v>
      </c>
      <c r="CA132" t="s">
        <v>495</v>
      </c>
      <c r="CQ132" t="s">
        <v>631</v>
      </c>
      <c r="CR132" t="s">
        <v>400</v>
      </c>
      <c r="CS132">
        <v>0</v>
      </c>
      <c r="CT132" t="s">
        <v>400</v>
      </c>
      <c r="CV132">
        <v>0</v>
      </c>
      <c r="CX132" t="s">
        <v>403</v>
      </c>
      <c r="CY132" t="s">
        <v>400</v>
      </c>
      <c r="DA132">
        <v>0</v>
      </c>
      <c r="DB132">
        <v>0</v>
      </c>
      <c r="DC132">
        <v>0</v>
      </c>
      <c r="DD132">
        <v>25000</v>
      </c>
      <c r="DK132" t="s">
        <v>2903</v>
      </c>
      <c r="DM132" t="s">
        <v>2028</v>
      </c>
      <c r="EG132" t="s">
        <v>2904</v>
      </c>
      <c r="EN132">
        <v>0</v>
      </c>
      <c r="HN132" t="s">
        <v>450</v>
      </c>
      <c r="HO132" t="s">
        <v>450</v>
      </c>
      <c r="HP132" t="s">
        <v>450</v>
      </c>
      <c r="HQ132" t="s">
        <v>613</v>
      </c>
      <c r="HR132" t="s">
        <v>475</v>
      </c>
      <c r="HS132" t="s">
        <v>1158</v>
      </c>
      <c r="HT132" t="s">
        <v>2807</v>
      </c>
      <c r="HU132" t="s">
        <v>1056</v>
      </c>
      <c r="HV132" t="s">
        <v>1158</v>
      </c>
      <c r="HW132" t="s">
        <v>2909</v>
      </c>
      <c r="HX132" t="s">
        <v>827</v>
      </c>
      <c r="HY132" t="s">
        <v>2996</v>
      </c>
      <c r="HZ132" t="s">
        <v>797</v>
      </c>
      <c r="IA132" t="s">
        <v>792</v>
      </c>
      <c r="IB132" t="s">
        <v>475</v>
      </c>
      <c r="IC132" t="s">
        <v>402</v>
      </c>
      <c r="ID132" t="s">
        <v>2176</v>
      </c>
      <c r="IE132" t="s">
        <v>2037</v>
      </c>
      <c r="IF132" t="s">
        <v>2177</v>
      </c>
      <c r="IG132" t="s">
        <v>2981</v>
      </c>
      <c r="IM132" t="s">
        <v>1156</v>
      </c>
      <c r="IN132" t="s">
        <v>2908</v>
      </c>
      <c r="IP132" t="s">
        <v>402</v>
      </c>
      <c r="IQ132" t="s">
        <v>2179</v>
      </c>
      <c r="IT132" t="s">
        <v>2909</v>
      </c>
      <c r="IU132" t="s">
        <v>2146</v>
      </c>
    </row>
    <row r="133" spans="1:260" x14ac:dyDescent="0.25">
      <c r="A133" t="s">
        <v>2997</v>
      </c>
      <c r="B133" t="str">
        <f>"801542046934"</f>
        <v>801542046934</v>
      </c>
      <c r="C133" t="s">
        <v>2998</v>
      </c>
      <c r="D133" t="s">
        <v>1139</v>
      </c>
      <c r="E133" t="s">
        <v>413</v>
      </c>
      <c r="G133" t="str">
        <f>"90"</f>
        <v>90</v>
      </c>
      <c r="H133" t="str">
        <f>"39"</f>
        <v>39</v>
      </c>
      <c r="I133" t="str">
        <f>"31"</f>
        <v>31</v>
      </c>
      <c r="J133" t="str">
        <f>"145.5"</f>
        <v>145.5</v>
      </c>
      <c r="K133" t="s">
        <v>2999</v>
      </c>
      <c r="L133" t="s">
        <v>3000</v>
      </c>
      <c r="N133" t="s">
        <v>371</v>
      </c>
      <c r="O133" t="s">
        <v>3001</v>
      </c>
      <c r="T133" t="s">
        <v>373</v>
      </c>
      <c r="U133" t="s">
        <v>373</v>
      </c>
      <c r="V133" t="s">
        <v>3002</v>
      </c>
      <c r="W133" t="s">
        <v>3003</v>
      </c>
      <c r="X133" t="s">
        <v>3004</v>
      </c>
      <c r="Y133" t="s">
        <v>3005</v>
      </c>
      <c r="Z133" t="s">
        <v>3006</v>
      </c>
      <c r="AA133" t="s">
        <v>3007</v>
      </c>
      <c r="AB133" t="s">
        <v>3008</v>
      </c>
      <c r="AC133" t="s">
        <v>3009</v>
      </c>
      <c r="AD133" t="s">
        <v>3010</v>
      </c>
      <c r="AE133" t="s">
        <v>3011</v>
      </c>
      <c r="AF133" t="s">
        <v>3012</v>
      </c>
      <c r="AG133" t="s">
        <v>3013</v>
      </c>
      <c r="AH133" t="s">
        <v>3014</v>
      </c>
      <c r="AI133" t="s">
        <v>3015</v>
      </c>
      <c r="AJ133" t="s">
        <v>3016</v>
      </c>
      <c r="AK133" t="s">
        <v>3017</v>
      </c>
      <c r="BA133" t="str">
        <f>"2399"</f>
        <v>2399</v>
      </c>
      <c r="BB133" t="str">
        <f>"1010"</f>
        <v>1010</v>
      </c>
      <c r="BC133" t="s">
        <v>1149</v>
      </c>
      <c r="BD133" t="str">
        <f t="shared" ref="BD133:BD144" si="36">"1"</f>
        <v>1</v>
      </c>
      <c r="BE133" t="s">
        <v>389</v>
      </c>
      <c r="BF133" t="str">
        <f>"93"</f>
        <v>93</v>
      </c>
      <c r="BG133" t="str">
        <f>"42"</f>
        <v>42</v>
      </c>
      <c r="BH133" t="str">
        <f>"28"</f>
        <v>28</v>
      </c>
      <c r="BI133" t="str">
        <f>"154.32"</f>
        <v>154.32</v>
      </c>
      <c r="BY133" t="str">
        <f>"63.28"</f>
        <v>63.28</v>
      </c>
      <c r="BZ133" t="str">
        <f>"1.792"</f>
        <v>1.792</v>
      </c>
      <c r="CA133" t="s">
        <v>390</v>
      </c>
      <c r="CH133" t="s">
        <v>3018</v>
      </c>
      <c r="CI133" t="s">
        <v>830</v>
      </c>
      <c r="CJ133" t="s">
        <v>2996</v>
      </c>
      <c r="CK133" t="s">
        <v>3019</v>
      </c>
      <c r="CL133" t="s">
        <v>3020</v>
      </c>
      <c r="CM133" t="s">
        <v>3021</v>
      </c>
      <c r="CN133">
        <v>2</v>
      </c>
      <c r="CO133">
        <v>2</v>
      </c>
      <c r="CP133" t="s">
        <v>437</v>
      </c>
      <c r="CQ133" t="s">
        <v>399</v>
      </c>
      <c r="CU133" t="s">
        <v>2143</v>
      </c>
      <c r="CX133" t="s">
        <v>403</v>
      </c>
      <c r="CY133" t="s">
        <v>400</v>
      </c>
      <c r="CZ133">
        <v>0</v>
      </c>
      <c r="DD133">
        <v>100000</v>
      </c>
      <c r="DE133" t="s">
        <v>439</v>
      </c>
      <c r="DF133" t="s">
        <v>406</v>
      </c>
      <c r="DG133" t="s">
        <v>454</v>
      </c>
      <c r="DH133">
        <v>2</v>
      </c>
      <c r="DI133">
        <v>3</v>
      </c>
      <c r="DK133" t="s">
        <v>3022</v>
      </c>
      <c r="DL133">
        <v>0</v>
      </c>
      <c r="DM133" t="s">
        <v>410</v>
      </c>
      <c r="DN133" t="s">
        <v>2083</v>
      </c>
      <c r="DO133" t="s">
        <v>453</v>
      </c>
      <c r="DP133" t="s">
        <v>3023</v>
      </c>
      <c r="DQ133" t="s">
        <v>610</v>
      </c>
      <c r="DR133" t="s">
        <v>1151</v>
      </c>
      <c r="DS133" t="s">
        <v>3024</v>
      </c>
      <c r="DT133" t="s">
        <v>827</v>
      </c>
      <c r="DU133" t="s">
        <v>610</v>
      </c>
      <c r="DV133" t="s">
        <v>511</v>
      </c>
      <c r="DW133" t="s">
        <v>790</v>
      </c>
      <c r="DX133" t="s">
        <v>827</v>
      </c>
      <c r="DY133" t="s">
        <v>1553</v>
      </c>
      <c r="DZ133" t="s">
        <v>642</v>
      </c>
      <c r="EA133" t="s">
        <v>3025</v>
      </c>
      <c r="EB133" t="s">
        <v>454</v>
      </c>
      <c r="EC133" t="s">
        <v>402</v>
      </c>
      <c r="ED133" t="s">
        <v>406</v>
      </c>
      <c r="EE133" t="s">
        <v>454</v>
      </c>
      <c r="EF133" t="s">
        <v>831</v>
      </c>
      <c r="EG133" t="s">
        <v>1710</v>
      </c>
      <c r="EM133" t="s">
        <v>402</v>
      </c>
      <c r="EP133" t="s">
        <v>3021</v>
      </c>
      <c r="EQ133" t="s">
        <v>3021</v>
      </c>
    </row>
    <row r="134" spans="1:260" x14ac:dyDescent="0.25">
      <c r="A134" t="s">
        <v>3026</v>
      </c>
      <c r="B134" t="str">
        <f>"801542046941"</f>
        <v>801542046941</v>
      </c>
      <c r="C134" t="s">
        <v>3027</v>
      </c>
      <c r="D134" t="s">
        <v>1139</v>
      </c>
      <c r="E134" t="s">
        <v>413</v>
      </c>
      <c r="G134" t="str">
        <f>"90"</f>
        <v>90</v>
      </c>
      <c r="H134" t="str">
        <f>"39"</f>
        <v>39</v>
      </c>
      <c r="I134" t="str">
        <f>"31"</f>
        <v>31</v>
      </c>
      <c r="J134" t="str">
        <f>"145.5"</f>
        <v>145.5</v>
      </c>
      <c r="K134" t="s">
        <v>3028</v>
      </c>
      <c r="L134" t="s">
        <v>3000</v>
      </c>
      <c r="N134" t="s">
        <v>371</v>
      </c>
      <c r="O134" t="s">
        <v>3001</v>
      </c>
      <c r="T134" t="s">
        <v>373</v>
      </c>
      <c r="U134" t="s">
        <v>373</v>
      </c>
      <c r="V134" t="s">
        <v>3029</v>
      </c>
      <c r="W134" t="s">
        <v>3030</v>
      </c>
      <c r="X134" t="s">
        <v>3031</v>
      </c>
      <c r="Y134" t="s">
        <v>3032</v>
      </c>
      <c r="Z134" t="s">
        <v>3033</v>
      </c>
      <c r="AA134" t="s">
        <v>3034</v>
      </c>
      <c r="AB134" t="s">
        <v>3035</v>
      </c>
      <c r="AC134" t="s">
        <v>3036</v>
      </c>
      <c r="AD134" t="s">
        <v>3037</v>
      </c>
      <c r="AE134" t="s">
        <v>3038</v>
      </c>
      <c r="AF134" t="s">
        <v>3039</v>
      </c>
      <c r="AG134" t="s">
        <v>3040</v>
      </c>
      <c r="AH134" t="s">
        <v>3041</v>
      </c>
      <c r="BA134" t="str">
        <f>"2399"</f>
        <v>2399</v>
      </c>
      <c r="BB134" t="str">
        <f>"1010"</f>
        <v>1010</v>
      </c>
      <c r="BC134" t="s">
        <v>1149</v>
      </c>
      <c r="BD134" t="str">
        <f t="shared" si="36"/>
        <v>1</v>
      </c>
      <c r="BE134" t="s">
        <v>389</v>
      </c>
      <c r="BF134" t="str">
        <f>"93"</f>
        <v>93</v>
      </c>
      <c r="BG134" t="str">
        <f>"42"</f>
        <v>42</v>
      </c>
      <c r="BH134" t="str">
        <f>"28"</f>
        <v>28</v>
      </c>
      <c r="BI134" t="str">
        <f>"154.32"</f>
        <v>154.32</v>
      </c>
      <c r="BY134" t="str">
        <f>"63.28"</f>
        <v>63.28</v>
      </c>
      <c r="BZ134" t="str">
        <f>"1.792"</f>
        <v>1.792</v>
      </c>
      <c r="CA134" t="s">
        <v>390</v>
      </c>
      <c r="CH134" t="s">
        <v>3018</v>
      </c>
      <c r="CI134" t="s">
        <v>830</v>
      </c>
      <c r="CJ134" t="s">
        <v>2996</v>
      </c>
      <c r="CK134" t="s">
        <v>3019</v>
      </c>
      <c r="CL134" t="s">
        <v>3020</v>
      </c>
      <c r="CM134" t="s">
        <v>3021</v>
      </c>
      <c r="CN134">
        <v>2</v>
      </c>
      <c r="CO134">
        <v>2</v>
      </c>
      <c r="CP134" t="s">
        <v>437</v>
      </c>
      <c r="CQ134" t="s">
        <v>399</v>
      </c>
      <c r="CU134" t="s">
        <v>2143</v>
      </c>
      <c r="CX134" t="s">
        <v>403</v>
      </c>
      <c r="CY134" t="s">
        <v>400</v>
      </c>
      <c r="CZ134">
        <v>0</v>
      </c>
      <c r="DD134">
        <v>100000</v>
      </c>
      <c r="DE134" t="s">
        <v>439</v>
      </c>
      <c r="DF134" t="s">
        <v>406</v>
      </c>
      <c r="DG134" t="s">
        <v>454</v>
      </c>
      <c r="DH134">
        <v>2</v>
      </c>
      <c r="DI134">
        <v>3</v>
      </c>
      <c r="DK134" t="s">
        <v>3022</v>
      </c>
      <c r="DL134">
        <v>0</v>
      </c>
      <c r="DM134" t="s">
        <v>410</v>
      </c>
      <c r="DN134" t="s">
        <v>2083</v>
      </c>
      <c r="DO134" t="s">
        <v>453</v>
      </c>
      <c r="DP134" t="s">
        <v>3023</v>
      </c>
      <c r="DQ134" t="s">
        <v>610</v>
      </c>
      <c r="DR134" t="s">
        <v>1151</v>
      </c>
      <c r="DS134" t="s">
        <v>3024</v>
      </c>
      <c r="DT134" t="s">
        <v>827</v>
      </c>
      <c r="DU134" t="s">
        <v>610</v>
      </c>
      <c r="DV134" t="s">
        <v>511</v>
      </c>
      <c r="DW134" t="s">
        <v>790</v>
      </c>
      <c r="DX134" t="s">
        <v>827</v>
      </c>
      <c r="DY134" t="s">
        <v>1553</v>
      </c>
      <c r="DZ134" t="s">
        <v>642</v>
      </c>
      <c r="EA134" t="s">
        <v>3025</v>
      </c>
      <c r="EB134" t="s">
        <v>454</v>
      </c>
      <c r="EC134" t="s">
        <v>402</v>
      </c>
      <c r="ED134" t="s">
        <v>406</v>
      </c>
      <c r="EE134" t="s">
        <v>454</v>
      </c>
      <c r="EF134" t="s">
        <v>831</v>
      </c>
      <c r="EG134" t="s">
        <v>1710</v>
      </c>
      <c r="EM134" t="s">
        <v>402</v>
      </c>
      <c r="EP134" t="s">
        <v>3021</v>
      </c>
      <c r="EQ134" t="s">
        <v>3021</v>
      </c>
    </row>
    <row r="135" spans="1:260" x14ac:dyDescent="0.25">
      <c r="A135" t="s">
        <v>3042</v>
      </c>
      <c r="B135" t="str">
        <f>"801542932640"</f>
        <v>801542932640</v>
      </c>
      <c r="C135" t="s">
        <v>3043</v>
      </c>
      <c r="D135" t="s">
        <v>769</v>
      </c>
      <c r="E135" t="s">
        <v>515</v>
      </c>
      <c r="F135" t="s">
        <v>516</v>
      </c>
      <c r="G135" t="str">
        <f>"34.75"</f>
        <v>34.75</v>
      </c>
      <c r="H135" t="str">
        <f>"34.75"</f>
        <v>34.75</v>
      </c>
      <c r="I135" t="str">
        <f>"25.25"</f>
        <v>25.25</v>
      </c>
      <c r="J135" t="str">
        <f>"57.54"</f>
        <v>57.54</v>
      </c>
      <c r="K135" t="s">
        <v>584</v>
      </c>
      <c r="L135" t="s">
        <v>1857</v>
      </c>
      <c r="N135" t="s">
        <v>416</v>
      </c>
      <c r="O135" t="s">
        <v>775</v>
      </c>
      <c r="T135" t="s">
        <v>373</v>
      </c>
      <c r="U135" t="s">
        <v>373</v>
      </c>
      <c r="W135" t="s">
        <v>3044</v>
      </c>
      <c r="X135" t="s">
        <v>3045</v>
      </c>
      <c r="Y135" t="s">
        <v>3046</v>
      </c>
      <c r="Z135" t="s">
        <v>3047</v>
      </c>
      <c r="AA135" t="s">
        <v>3048</v>
      </c>
      <c r="AB135" t="s">
        <v>3049</v>
      </c>
      <c r="AC135" t="s">
        <v>3050</v>
      </c>
      <c r="AD135" t="s">
        <v>3051</v>
      </c>
      <c r="AE135" t="s">
        <v>3052</v>
      </c>
      <c r="AF135" t="s">
        <v>3053</v>
      </c>
      <c r="AG135" t="s">
        <v>3054</v>
      </c>
      <c r="BA135" t="str">
        <f>"1899"</f>
        <v>1899</v>
      </c>
      <c r="BB135" t="str">
        <f>"800"</f>
        <v>800</v>
      </c>
      <c r="BC135" t="s">
        <v>388</v>
      </c>
      <c r="BD135" t="str">
        <f t="shared" si="36"/>
        <v>1</v>
      </c>
      <c r="BE135" t="s">
        <v>389</v>
      </c>
      <c r="BF135" t="str">
        <f>"36.02"</f>
        <v>36.02</v>
      </c>
      <c r="BG135" t="str">
        <f>"36.02"</f>
        <v>36.02</v>
      </c>
      <c r="BH135" t="str">
        <f>"22.24"</f>
        <v>22.24</v>
      </c>
      <c r="BI135" t="str">
        <f>"71.21"</f>
        <v>71.21</v>
      </c>
      <c r="BY135" t="str">
        <f>"16.7"</f>
        <v>16.7</v>
      </c>
      <c r="BZ135" t="str">
        <f>"0.473"</f>
        <v>0.473</v>
      </c>
      <c r="CA135" t="s">
        <v>390</v>
      </c>
      <c r="CK135" t="s">
        <v>603</v>
      </c>
      <c r="CL135" t="s">
        <v>2261</v>
      </c>
      <c r="CN135">
        <v>0</v>
      </c>
      <c r="CO135">
        <v>1</v>
      </c>
      <c r="CP135" t="s">
        <v>437</v>
      </c>
      <c r="CQ135" t="s">
        <v>438</v>
      </c>
      <c r="CX135" t="s">
        <v>403</v>
      </c>
      <c r="CY135" t="s">
        <v>400</v>
      </c>
      <c r="CZ135">
        <v>0</v>
      </c>
      <c r="DD135">
        <v>0</v>
      </c>
      <c r="DE135" t="s">
        <v>439</v>
      </c>
      <c r="DF135" t="s">
        <v>632</v>
      </c>
      <c r="DG135" t="s">
        <v>1808</v>
      </c>
      <c r="DH135">
        <v>1</v>
      </c>
      <c r="DI135">
        <v>1</v>
      </c>
      <c r="DK135" t="s">
        <v>2262</v>
      </c>
      <c r="DL135">
        <v>0</v>
      </c>
      <c r="DM135" t="s">
        <v>538</v>
      </c>
      <c r="DN135" t="s">
        <v>1092</v>
      </c>
      <c r="DO135" t="s">
        <v>1037</v>
      </c>
      <c r="DP135" t="s">
        <v>3055</v>
      </c>
      <c r="DT135" t="s">
        <v>576</v>
      </c>
      <c r="DX135" t="s">
        <v>1489</v>
      </c>
      <c r="DY135" t="s">
        <v>3056</v>
      </c>
      <c r="DZ135" t="s">
        <v>3057</v>
      </c>
      <c r="EA135" t="s">
        <v>1037</v>
      </c>
      <c r="ED135" t="s">
        <v>632</v>
      </c>
      <c r="EE135" t="s">
        <v>1808</v>
      </c>
      <c r="EG135" t="s">
        <v>749</v>
      </c>
      <c r="EP135" t="s">
        <v>3058</v>
      </c>
      <c r="EQ135" t="s">
        <v>3059</v>
      </c>
      <c r="ER135">
        <v>0</v>
      </c>
      <c r="ES135">
        <v>0</v>
      </c>
      <c r="ET135" t="s">
        <v>549</v>
      </c>
      <c r="EU135">
        <v>0</v>
      </c>
    </row>
    <row r="136" spans="1:260" x14ac:dyDescent="0.25">
      <c r="A136" t="s">
        <v>3060</v>
      </c>
      <c r="B136" t="str">
        <f>"801542616557"</f>
        <v>801542616557</v>
      </c>
      <c r="C136" t="s">
        <v>3061</v>
      </c>
      <c r="D136" t="s">
        <v>1592</v>
      </c>
      <c r="E136" t="s">
        <v>515</v>
      </c>
      <c r="F136" t="s">
        <v>516</v>
      </c>
      <c r="G136" t="str">
        <f>"28"</f>
        <v>28</v>
      </c>
      <c r="H136" t="str">
        <f>"35.75"</f>
        <v>35.75</v>
      </c>
      <c r="I136" t="str">
        <f>"43"</f>
        <v>43</v>
      </c>
      <c r="J136" t="str">
        <f>"73.85"</f>
        <v>73.85</v>
      </c>
      <c r="K136" t="s">
        <v>3062</v>
      </c>
      <c r="N136" t="s">
        <v>3063</v>
      </c>
      <c r="O136" t="s">
        <v>3064</v>
      </c>
      <c r="P136" t="s">
        <v>3065</v>
      </c>
      <c r="T136" t="s">
        <v>373</v>
      </c>
      <c r="U136" t="s">
        <v>373</v>
      </c>
      <c r="V136" t="s">
        <v>3066</v>
      </c>
      <c r="W136" t="s">
        <v>3067</v>
      </c>
      <c r="X136" t="s">
        <v>3068</v>
      </c>
      <c r="Y136" t="s">
        <v>3069</v>
      </c>
      <c r="Z136" t="s">
        <v>3070</v>
      </c>
      <c r="AA136" t="s">
        <v>3071</v>
      </c>
      <c r="AB136" t="s">
        <v>3072</v>
      </c>
      <c r="AC136" t="s">
        <v>3073</v>
      </c>
      <c r="AD136" t="s">
        <v>3074</v>
      </c>
      <c r="AE136" t="s">
        <v>3075</v>
      </c>
      <c r="BA136" t="str">
        <f>"899"</f>
        <v>899</v>
      </c>
      <c r="BB136" t="str">
        <f>"380"</f>
        <v>380</v>
      </c>
      <c r="BC136" t="s">
        <v>665</v>
      </c>
      <c r="BD136" t="str">
        <f t="shared" si="36"/>
        <v>1</v>
      </c>
      <c r="BE136" t="s">
        <v>389</v>
      </c>
      <c r="BF136" t="str">
        <f>"36.02"</f>
        <v>36.02</v>
      </c>
      <c r="BG136" t="str">
        <f>"28.35"</f>
        <v>28.35</v>
      </c>
      <c r="BH136" t="str">
        <f>"43.9"</f>
        <v>43.9</v>
      </c>
      <c r="BI136" t="str">
        <f>"88.18"</f>
        <v>88.18</v>
      </c>
      <c r="BY136" t="str">
        <f>"20.41"</f>
        <v>20.41</v>
      </c>
      <c r="BZ136" t="str">
        <f>"0.578"</f>
        <v>0.578</v>
      </c>
      <c r="CA136" t="s">
        <v>495</v>
      </c>
      <c r="CH136" t="s">
        <v>3076</v>
      </c>
      <c r="CI136" t="s">
        <v>575</v>
      </c>
      <c r="CJ136" t="s">
        <v>2289</v>
      </c>
      <c r="CK136" t="s">
        <v>3077</v>
      </c>
      <c r="CL136" t="s">
        <v>602</v>
      </c>
      <c r="CM136" t="s">
        <v>1291</v>
      </c>
      <c r="CN136">
        <v>0</v>
      </c>
      <c r="CO136">
        <v>1</v>
      </c>
      <c r="CP136" t="s">
        <v>437</v>
      </c>
      <c r="CQ136" t="s">
        <v>631</v>
      </c>
      <c r="CU136" t="s">
        <v>749</v>
      </c>
      <c r="CX136" t="s">
        <v>1609</v>
      </c>
      <c r="CY136" t="s">
        <v>1753</v>
      </c>
      <c r="CZ136">
        <v>1</v>
      </c>
      <c r="DD136">
        <v>15000</v>
      </c>
      <c r="DE136" t="s">
        <v>570</v>
      </c>
      <c r="DF136" t="s">
        <v>406</v>
      </c>
      <c r="DG136" t="s">
        <v>407</v>
      </c>
      <c r="DH136">
        <v>1</v>
      </c>
      <c r="DI136">
        <v>1</v>
      </c>
      <c r="DK136" t="s">
        <v>1753</v>
      </c>
      <c r="DL136">
        <v>0</v>
      </c>
      <c r="DM136" t="s">
        <v>538</v>
      </c>
      <c r="DN136" t="s">
        <v>2071</v>
      </c>
      <c r="DO136" t="s">
        <v>542</v>
      </c>
      <c r="DP136" t="s">
        <v>602</v>
      </c>
      <c r="DQ136" t="s">
        <v>2241</v>
      </c>
      <c r="DR136" t="s">
        <v>2241</v>
      </c>
      <c r="DS136" t="s">
        <v>2241</v>
      </c>
      <c r="DT136" t="s">
        <v>1292</v>
      </c>
      <c r="DU136" t="s">
        <v>2241</v>
      </c>
      <c r="DV136" t="s">
        <v>2241</v>
      </c>
      <c r="DW136" t="s">
        <v>2241</v>
      </c>
      <c r="DX136" t="s">
        <v>1358</v>
      </c>
      <c r="DY136" t="s">
        <v>2241</v>
      </c>
      <c r="DZ136" t="s">
        <v>2241</v>
      </c>
      <c r="EA136" t="s">
        <v>3078</v>
      </c>
      <c r="ED136" t="s">
        <v>632</v>
      </c>
      <c r="EE136" t="s">
        <v>454</v>
      </c>
      <c r="EF136" t="s">
        <v>749</v>
      </c>
      <c r="EG136" t="s">
        <v>749</v>
      </c>
      <c r="EM136" t="s">
        <v>402</v>
      </c>
      <c r="EP136" t="s">
        <v>1291</v>
      </c>
      <c r="EQ136" t="s">
        <v>1291</v>
      </c>
      <c r="ER136">
        <v>0</v>
      </c>
      <c r="ES136">
        <v>0</v>
      </c>
      <c r="EU136">
        <v>0</v>
      </c>
      <c r="HM136" t="s">
        <v>1754</v>
      </c>
      <c r="IH136" t="s">
        <v>3079</v>
      </c>
      <c r="II136" t="s">
        <v>3080</v>
      </c>
      <c r="IJ136" t="s">
        <v>534</v>
      </c>
      <c r="IK136" t="s">
        <v>454</v>
      </c>
      <c r="IL136" t="s">
        <v>402</v>
      </c>
      <c r="IV136" t="s">
        <v>2241</v>
      </c>
      <c r="IW136" t="s">
        <v>2241</v>
      </c>
      <c r="IX136" t="s">
        <v>2241</v>
      </c>
      <c r="IY136" t="s">
        <v>2241</v>
      </c>
      <c r="IZ136" t="s">
        <v>2241</v>
      </c>
    </row>
    <row r="137" spans="1:260" x14ac:dyDescent="0.25">
      <c r="A137" t="s">
        <v>3081</v>
      </c>
      <c r="B137" t="str">
        <f>"801542251215"</f>
        <v>801542251215</v>
      </c>
      <c r="C137" t="s">
        <v>3082</v>
      </c>
      <c r="D137" t="s">
        <v>769</v>
      </c>
      <c r="E137" t="s">
        <v>413</v>
      </c>
      <c r="G137" t="str">
        <f>"91.25"</f>
        <v>91.25</v>
      </c>
      <c r="H137" t="str">
        <f>"34.75"</f>
        <v>34.75</v>
      </c>
      <c r="I137" t="str">
        <f>"25.25"</f>
        <v>25.25</v>
      </c>
      <c r="J137" t="str">
        <f>"120.15"</f>
        <v>120.15</v>
      </c>
      <c r="K137" t="s">
        <v>3083</v>
      </c>
      <c r="L137" t="s">
        <v>1857</v>
      </c>
      <c r="N137" t="s">
        <v>1170</v>
      </c>
      <c r="O137" t="s">
        <v>3084</v>
      </c>
      <c r="P137" t="s">
        <v>775</v>
      </c>
      <c r="T137" t="s">
        <v>373</v>
      </c>
      <c r="U137" t="s">
        <v>373</v>
      </c>
      <c r="W137" t="s">
        <v>3085</v>
      </c>
      <c r="X137" t="s">
        <v>3086</v>
      </c>
      <c r="Y137" t="s">
        <v>3087</v>
      </c>
      <c r="Z137" t="s">
        <v>3088</v>
      </c>
      <c r="AA137" t="s">
        <v>3089</v>
      </c>
      <c r="AB137" t="s">
        <v>3090</v>
      </c>
      <c r="AC137" t="s">
        <v>3091</v>
      </c>
      <c r="AD137" t="s">
        <v>3092</v>
      </c>
      <c r="AE137" t="s">
        <v>3093</v>
      </c>
      <c r="AF137" t="s">
        <v>3094</v>
      </c>
      <c r="AG137" t="s">
        <v>3095</v>
      </c>
      <c r="BA137" t="str">
        <f>"2099"</f>
        <v>2099</v>
      </c>
      <c r="BB137" t="str">
        <f>"885"</f>
        <v>885</v>
      </c>
      <c r="BC137" t="s">
        <v>388</v>
      </c>
      <c r="BD137" t="str">
        <f t="shared" si="36"/>
        <v>1</v>
      </c>
      <c r="BE137" t="s">
        <v>389</v>
      </c>
      <c r="BF137" t="str">
        <f>"90.55"</f>
        <v>90.55</v>
      </c>
      <c r="BG137" t="str">
        <f>"36.02"</f>
        <v>36.02</v>
      </c>
      <c r="BH137" t="str">
        <f>"22.05"</f>
        <v>22.05</v>
      </c>
      <c r="BI137" t="str">
        <f>"139.99"</f>
        <v>139.99</v>
      </c>
      <c r="BY137" t="str">
        <f>"41.64"</f>
        <v>41.64</v>
      </c>
      <c r="BZ137" t="str">
        <f>"1.179"</f>
        <v>1.179</v>
      </c>
      <c r="CA137" t="s">
        <v>495</v>
      </c>
      <c r="CK137" t="s">
        <v>603</v>
      </c>
      <c r="CL137" t="s">
        <v>511</v>
      </c>
      <c r="CN137">
        <v>0</v>
      </c>
      <c r="CO137">
        <v>0</v>
      </c>
      <c r="CP137" t="s">
        <v>437</v>
      </c>
      <c r="CQ137" t="s">
        <v>399</v>
      </c>
      <c r="CX137" t="s">
        <v>403</v>
      </c>
      <c r="CZ137">
        <v>0</v>
      </c>
      <c r="DD137">
        <v>100000</v>
      </c>
      <c r="DE137" t="s">
        <v>439</v>
      </c>
      <c r="DH137">
        <v>0</v>
      </c>
      <c r="DI137">
        <v>4</v>
      </c>
      <c r="DK137" t="s">
        <v>2262</v>
      </c>
      <c r="DL137">
        <v>0</v>
      </c>
      <c r="DM137" t="s">
        <v>795</v>
      </c>
      <c r="DN137" t="s">
        <v>1092</v>
      </c>
      <c r="DO137" t="s">
        <v>2263</v>
      </c>
      <c r="DP137" t="s">
        <v>611</v>
      </c>
      <c r="DT137" t="s">
        <v>446</v>
      </c>
      <c r="DX137" t="s">
        <v>1709</v>
      </c>
      <c r="DY137" t="s">
        <v>3096</v>
      </c>
      <c r="DZ137" t="s">
        <v>3097</v>
      </c>
      <c r="EA137" t="s">
        <v>2263</v>
      </c>
      <c r="EG137" t="s">
        <v>749</v>
      </c>
      <c r="EP137" t="s">
        <v>3098</v>
      </c>
      <c r="EQ137" t="s">
        <v>3099</v>
      </c>
      <c r="ET137" t="s">
        <v>2003</v>
      </c>
    </row>
    <row r="138" spans="1:260" x14ac:dyDescent="0.25">
      <c r="A138" t="s">
        <v>3100</v>
      </c>
      <c r="B138" t="str">
        <f>"801542932688"</f>
        <v>801542932688</v>
      </c>
      <c r="C138" t="s">
        <v>3101</v>
      </c>
      <c r="D138" t="s">
        <v>769</v>
      </c>
      <c r="E138" t="s">
        <v>413</v>
      </c>
      <c r="G138" t="str">
        <f>"91.25"</f>
        <v>91.25</v>
      </c>
      <c r="H138" t="str">
        <f>"34.75"</f>
        <v>34.75</v>
      </c>
      <c r="I138" t="str">
        <f>"25.25"</f>
        <v>25.25</v>
      </c>
      <c r="J138" t="str">
        <f>"120.15"</f>
        <v>120.15</v>
      </c>
      <c r="K138" t="s">
        <v>584</v>
      </c>
      <c r="L138" t="s">
        <v>1857</v>
      </c>
      <c r="N138" t="s">
        <v>416</v>
      </c>
      <c r="O138" t="s">
        <v>775</v>
      </c>
      <c r="T138" t="s">
        <v>373</v>
      </c>
      <c r="U138" t="s">
        <v>373</v>
      </c>
      <c r="W138" t="s">
        <v>3102</v>
      </c>
      <c r="X138" t="s">
        <v>3103</v>
      </c>
      <c r="Y138" t="s">
        <v>3104</v>
      </c>
      <c r="Z138" t="s">
        <v>3105</v>
      </c>
      <c r="AA138" t="s">
        <v>3106</v>
      </c>
      <c r="AB138" t="s">
        <v>3107</v>
      </c>
      <c r="AC138" t="s">
        <v>3108</v>
      </c>
      <c r="AD138" t="s">
        <v>3109</v>
      </c>
      <c r="AE138" t="s">
        <v>3110</v>
      </c>
      <c r="AF138" t="s">
        <v>3111</v>
      </c>
      <c r="AG138" t="s">
        <v>3112</v>
      </c>
      <c r="AH138" t="s">
        <v>3113</v>
      </c>
      <c r="AI138" t="s">
        <v>3114</v>
      </c>
      <c r="AJ138" t="s">
        <v>3115</v>
      </c>
      <c r="AK138" t="s">
        <v>3116</v>
      </c>
      <c r="AL138" t="s">
        <v>3117</v>
      </c>
      <c r="AM138" t="s">
        <v>3118</v>
      </c>
      <c r="BA138" t="str">
        <f>"3499"</f>
        <v>3499</v>
      </c>
      <c r="BB138" t="str">
        <f>"1470"</f>
        <v>1470</v>
      </c>
      <c r="BC138" t="s">
        <v>388</v>
      </c>
      <c r="BD138" t="str">
        <f t="shared" si="36"/>
        <v>1</v>
      </c>
      <c r="BE138" t="s">
        <v>389</v>
      </c>
      <c r="BF138" t="str">
        <f>"90.55"</f>
        <v>90.55</v>
      </c>
      <c r="BG138" t="str">
        <f>"36.02"</f>
        <v>36.02</v>
      </c>
      <c r="BH138" t="str">
        <f>"22.05"</f>
        <v>22.05</v>
      </c>
      <c r="BI138" t="str">
        <f>"139.99"</f>
        <v>139.99</v>
      </c>
      <c r="BY138" t="str">
        <f>"41.64"</f>
        <v>41.64</v>
      </c>
      <c r="BZ138" t="str">
        <f>"1.179"</f>
        <v>1.179</v>
      </c>
      <c r="CA138" t="s">
        <v>431</v>
      </c>
      <c r="CK138" t="s">
        <v>603</v>
      </c>
      <c r="CL138" t="s">
        <v>511</v>
      </c>
      <c r="CN138">
        <v>0</v>
      </c>
      <c r="CO138">
        <v>0</v>
      </c>
      <c r="CP138" t="s">
        <v>437</v>
      </c>
      <c r="CQ138" t="s">
        <v>438</v>
      </c>
      <c r="CX138" t="s">
        <v>403</v>
      </c>
      <c r="CZ138">
        <v>0</v>
      </c>
      <c r="DD138">
        <v>0</v>
      </c>
      <c r="DE138" t="s">
        <v>439</v>
      </c>
      <c r="DH138">
        <v>0</v>
      </c>
      <c r="DI138">
        <v>4</v>
      </c>
      <c r="DK138" t="s">
        <v>2262</v>
      </c>
      <c r="DL138">
        <v>0</v>
      </c>
      <c r="DM138" t="s">
        <v>795</v>
      </c>
      <c r="DN138" t="s">
        <v>1092</v>
      </c>
      <c r="DO138" t="s">
        <v>2263</v>
      </c>
      <c r="DP138" t="s">
        <v>611</v>
      </c>
      <c r="DT138" t="s">
        <v>446</v>
      </c>
      <c r="DX138" t="s">
        <v>1709</v>
      </c>
      <c r="DY138" t="s">
        <v>3096</v>
      </c>
      <c r="DZ138" t="s">
        <v>3097</v>
      </c>
      <c r="EA138" t="s">
        <v>2263</v>
      </c>
      <c r="EG138" t="s">
        <v>749</v>
      </c>
      <c r="EP138" t="s">
        <v>3098</v>
      </c>
      <c r="EQ138" t="s">
        <v>3099</v>
      </c>
      <c r="ET138" t="s">
        <v>2003</v>
      </c>
    </row>
    <row r="139" spans="1:260" x14ac:dyDescent="0.25">
      <c r="A139" t="s">
        <v>3119</v>
      </c>
      <c r="B139" t="str">
        <f>"801542932671"</f>
        <v>801542932671</v>
      </c>
      <c r="C139" t="s">
        <v>3120</v>
      </c>
      <c r="D139" t="s">
        <v>769</v>
      </c>
      <c r="E139" t="s">
        <v>413</v>
      </c>
      <c r="G139" t="str">
        <f>"91.25"</f>
        <v>91.25</v>
      </c>
      <c r="H139" t="str">
        <f>"34.75"</f>
        <v>34.75</v>
      </c>
      <c r="I139" t="str">
        <f>"25.25"</f>
        <v>25.25</v>
      </c>
      <c r="J139" t="str">
        <f>"120.15"</f>
        <v>120.15</v>
      </c>
      <c r="K139" t="s">
        <v>3121</v>
      </c>
      <c r="L139" t="s">
        <v>3122</v>
      </c>
      <c r="N139" t="s">
        <v>839</v>
      </c>
      <c r="O139" t="s">
        <v>840</v>
      </c>
      <c r="P139" t="s">
        <v>775</v>
      </c>
      <c r="T139" t="s">
        <v>373</v>
      </c>
      <c r="U139" t="s">
        <v>402</v>
      </c>
      <c r="W139" t="s">
        <v>3123</v>
      </c>
      <c r="X139" t="s">
        <v>3124</v>
      </c>
      <c r="Y139" t="s">
        <v>3125</v>
      </c>
      <c r="Z139" t="s">
        <v>3126</v>
      </c>
      <c r="AA139" t="s">
        <v>3127</v>
      </c>
      <c r="AB139" t="s">
        <v>3128</v>
      </c>
      <c r="AC139" t="s">
        <v>3129</v>
      </c>
      <c r="AD139" t="s">
        <v>3130</v>
      </c>
      <c r="AE139" t="s">
        <v>3131</v>
      </c>
      <c r="AF139" t="s">
        <v>3132</v>
      </c>
      <c r="AG139" t="s">
        <v>3133</v>
      </c>
      <c r="AH139" t="s">
        <v>3134</v>
      </c>
      <c r="AI139" t="s">
        <v>3135</v>
      </c>
      <c r="BA139" t="str">
        <f>"2099"</f>
        <v>2099</v>
      </c>
      <c r="BB139" t="str">
        <f>"885"</f>
        <v>885</v>
      </c>
      <c r="BC139" t="s">
        <v>388</v>
      </c>
      <c r="BD139" t="str">
        <f t="shared" si="36"/>
        <v>1</v>
      </c>
      <c r="BE139" t="s">
        <v>389</v>
      </c>
      <c r="BF139" t="str">
        <f>"90.55"</f>
        <v>90.55</v>
      </c>
      <c r="BG139" t="str">
        <f>"36.02"</f>
        <v>36.02</v>
      </c>
      <c r="BH139" t="str">
        <f>"22.05"</f>
        <v>22.05</v>
      </c>
      <c r="BI139" t="str">
        <f>"139.99"</f>
        <v>139.99</v>
      </c>
      <c r="BY139" t="str">
        <f>"41.64"</f>
        <v>41.64</v>
      </c>
      <c r="BZ139" t="str">
        <f>"1.179"</f>
        <v>1.179</v>
      </c>
      <c r="CA139" t="s">
        <v>495</v>
      </c>
      <c r="CK139" t="s">
        <v>603</v>
      </c>
      <c r="CL139" t="s">
        <v>511</v>
      </c>
      <c r="CN139">
        <v>0</v>
      </c>
      <c r="CO139">
        <v>0</v>
      </c>
      <c r="CP139" t="s">
        <v>437</v>
      </c>
      <c r="CQ139" t="s">
        <v>631</v>
      </c>
      <c r="CX139" t="s">
        <v>403</v>
      </c>
      <c r="CZ139">
        <v>0</v>
      </c>
      <c r="DD139">
        <v>25000</v>
      </c>
      <c r="DE139" t="s">
        <v>439</v>
      </c>
      <c r="DH139">
        <v>0</v>
      </c>
      <c r="DI139">
        <v>4</v>
      </c>
      <c r="DK139" t="s">
        <v>2262</v>
      </c>
      <c r="DL139">
        <v>0</v>
      </c>
      <c r="DM139" t="s">
        <v>795</v>
      </c>
      <c r="DN139" t="s">
        <v>1092</v>
      </c>
      <c r="DO139" t="s">
        <v>2263</v>
      </c>
      <c r="DP139" t="s">
        <v>611</v>
      </c>
      <c r="DT139" t="s">
        <v>446</v>
      </c>
      <c r="DX139" t="s">
        <v>1709</v>
      </c>
      <c r="DY139" t="s">
        <v>3096</v>
      </c>
      <c r="DZ139" t="s">
        <v>3097</v>
      </c>
      <c r="EA139" t="s">
        <v>2263</v>
      </c>
      <c r="EG139" t="s">
        <v>749</v>
      </c>
      <c r="EP139" t="s">
        <v>3098</v>
      </c>
      <c r="EQ139" t="s">
        <v>3099</v>
      </c>
      <c r="ET139" t="s">
        <v>2003</v>
      </c>
    </row>
    <row r="140" spans="1:260" x14ac:dyDescent="0.25">
      <c r="A140" t="s">
        <v>3136</v>
      </c>
      <c r="B140" t="str">
        <f>"801542742201"</f>
        <v>801542742201</v>
      </c>
      <c r="C140" t="s">
        <v>3137</v>
      </c>
      <c r="D140" t="s">
        <v>769</v>
      </c>
      <c r="E140" t="s">
        <v>515</v>
      </c>
      <c r="F140" t="s">
        <v>516</v>
      </c>
      <c r="G140" t="str">
        <f>"33.5"</f>
        <v>33.5</v>
      </c>
      <c r="H140" t="str">
        <f>"33.75"</f>
        <v>33.75</v>
      </c>
      <c r="I140" t="str">
        <f>"26"</f>
        <v>26</v>
      </c>
      <c r="J140" t="str">
        <f>"77.16"</f>
        <v>77.16</v>
      </c>
      <c r="K140" t="s">
        <v>2310</v>
      </c>
      <c r="L140" t="s">
        <v>1533</v>
      </c>
      <c r="M140" t="s">
        <v>3138</v>
      </c>
      <c r="N140" t="s">
        <v>416</v>
      </c>
      <c r="O140" t="s">
        <v>775</v>
      </c>
      <c r="P140" t="s">
        <v>555</v>
      </c>
      <c r="T140" t="s">
        <v>373</v>
      </c>
      <c r="U140" t="s">
        <v>373</v>
      </c>
      <c r="V140" t="s">
        <v>3139</v>
      </c>
      <c r="W140" t="s">
        <v>3140</v>
      </c>
      <c r="X140" t="s">
        <v>3141</v>
      </c>
      <c r="Y140" t="s">
        <v>3142</v>
      </c>
      <c r="Z140" t="s">
        <v>3143</v>
      </c>
      <c r="AA140" t="s">
        <v>3144</v>
      </c>
      <c r="AB140" t="s">
        <v>3145</v>
      </c>
      <c r="AC140" t="s">
        <v>3146</v>
      </c>
      <c r="AD140" t="s">
        <v>2319</v>
      </c>
      <c r="AE140" t="s">
        <v>3147</v>
      </c>
      <c r="AF140" t="s">
        <v>3148</v>
      </c>
      <c r="AG140" t="s">
        <v>3149</v>
      </c>
      <c r="AH140" t="s">
        <v>3150</v>
      </c>
      <c r="AI140" t="s">
        <v>3151</v>
      </c>
      <c r="AJ140" t="s">
        <v>3152</v>
      </c>
      <c r="BA140" t="str">
        <f>"2099"</f>
        <v>2099</v>
      </c>
      <c r="BB140" t="str">
        <f>"885"</f>
        <v>885</v>
      </c>
      <c r="BC140" t="s">
        <v>388</v>
      </c>
      <c r="BD140" t="str">
        <f t="shared" si="36"/>
        <v>1</v>
      </c>
      <c r="BE140" t="s">
        <v>389</v>
      </c>
      <c r="BF140" t="str">
        <f>"35.83"</f>
        <v>35.83</v>
      </c>
      <c r="BG140" t="str">
        <f>"35.94"</f>
        <v>35.94</v>
      </c>
      <c r="BH140" t="str">
        <f>"26.97"</f>
        <v>26.97</v>
      </c>
      <c r="BI140" t="str">
        <f>"88.18"</f>
        <v>88.18</v>
      </c>
      <c r="BY140" t="str">
        <f>"20.09"</f>
        <v>20.09</v>
      </c>
      <c r="BZ140" t="str">
        <f>"0.569"</f>
        <v>0.569</v>
      </c>
      <c r="CA140" t="s">
        <v>431</v>
      </c>
      <c r="CK140" t="s">
        <v>638</v>
      </c>
      <c r="CL140" t="s">
        <v>474</v>
      </c>
      <c r="CM140" t="s">
        <v>435</v>
      </c>
      <c r="CN140">
        <v>0</v>
      </c>
      <c r="CO140">
        <v>0</v>
      </c>
      <c r="CP140" t="s">
        <v>437</v>
      </c>
      <c r="CQ140" t="s">
        <v>438</v>
      </c>
      <c r="CX140" t="s">
        <v>403</v>
      </c>
      <c r="CY140" t="s">
        <v>1753</v>
      </c>
      <c r="CZ140">
        <v>0</v>
      </c>
      <c r="DD140">
        <v>0</v>
      </c>
      <c r="DE140" t="s">
        <v>439</v>
      </c>
      <c r="DH140">
        <v>0</v>
      </c>
      <c r="DI140">
        <v>1</v>
      </c>
      <c r="DK140" t="s">
        <v>3153</v>
      </c>
      <c r="DL140">
        <v>0</v>
      </c>
      <c r="DM140" t="s">
        <v>538</v>
      </c>
      <c r="DN140" t="s">
        <v>796</v>
      </c>
      <c r="DO140" t="s">
        <v>635</v>
      </c>
      <c r="DP140" t="s">
        <v>3154</v>
      </c>
      <c r="DT140" t="s">
        <v>450</v>
      </c>
      <c r="DX140" t="s">
        <v>956</v>
      </c>
      <c r="EA140" t="s">
        <v>635</v>
      </c>
      <c r="EG140" t="s">
        <v>1513</v>
      </c>
      <c r="EP140" t="s">
        <v>435</v>
      </c>
      <c r="EQ140" t="s">
        <v>435</v>
      </c>
      <c r="ER140">
        <v>0</v>
      </c>
      <c r="ES140">
        <v>0</v>
      </c>
      <c r="ET140" t="s">
        <v>549</v>
      </c>
      <c r="EU140">
        <v>0</v>
      </c>
      <c r="HM140" t="s">
        <v>1754</v>
      </c>
    </row>
    <row r="141" spans="1:260" x14ac:dyDescent="0.25">
      <c r="A141" t="s">
        <v>3155</v>
      </c>
      <c r="B141" t="str">
        <f>"801542845407"</f>
        <v>801542845407</v>
      </c>
      <c r="C141" t="s">
        <v>3156</v>
      </c>
      <c r="D141" t="s">
        <v>769</v>
      </c>
      <c r="E141" t="s">
        <v>515</v>
      </c>
      <c r="F141" t="s">
        <v>516</v>
      </c>
      <c r="G141" t="str">
        <f>"33.5"</f>
        <v>33.5</v>
      </c>
      <c r="H141" t="str">
        <f>"33.75"</f>
        <v>33.75</v>
      </c>
      <c r="I141" t="str">
        <f>"26"</f>
        <v>26</v>
      </c>
      <c r="J141" t="str">
        <f>"77.16"</f>
        <v>77.16</v>
      </c>
      <c r="K141" t="s">
        <v>1576</v>
      </c>
      <c r="L141" t="s">
        <v>1533</v>
      </c>
      <c r="M141" t="s">
        <v>3138</v>
      </c>
      <c r="N141" t="s">
        <v>416</v>
      </c>
      <c r="O141" t="s">
        <v>775</v>
      </c>
      <c r="P141" t="s">
        <v>555</v>
      </c>
      <c r="T141" t="s">
        <v>373</v>
      </c>
      <c r="U141" t="s">
        <v>373</v>
      </c>
      <c r="W141" t="s">
        <v>3157</v>
      </c>
      <c r="X141" t="s">
        <v>3158</v>
      </c>
      <c r="Y141" t="s">
        <v>3159</v>
      </c>
      <c r="Z141" t="s">
        <v>3160</v>
      </c>
      <c r="AA141" t="s">
        <v>3161</v>
      </c>
      <c r="AB141" t="s">
        <v>3162</v>
      </c>
      <c r="AC141" t="s">
        <v>3163</v>
      </c>
      <c r="AD141" t="s">
        <v>3164</v>
      </c>
      <c r="AE141" t="s">
        <v>3165</v>
      </c>
      <c r="AF141" t="s">
        <v>3166</v>
      </c>
      <c r="AG141" t="s">
        <v>3167</v>
      </c>
      <c r="BA141" t="str">
        <f>"2099"</f>
        <v>2099</v>
      </c>
      <c r="BB141" t="str">
        <f>"885"</f>
        <v>885</v>
      </c>
      <c r="BC141" t="s">
        <v>388</v>
      </c>
      <c r="BD141" t="str">
        <f t="shared" si="36"/>
        <v>1</v>
      </c>
      <c r="BE141" t="s">
        <v>389</v>
      </c>
      <c r="BF141" t="str">
        <f>"35.83"</f>
        <v>35.83</v>
      </c>
      <c r="BG141" t="str">
        <f>"35.94"</f>
        <v>35.94</v>
      </c>
      <c r="BH141" t="str">
        <f>"26.97"</f>
        <v>26.97</v>
      </c>
      <c r="BI141" t="str">
        <f>"88.18"</f>
        <v>88.18</v>
      </c>
      <c r="BY141" t="str">
        <f>"20.09"</f>
        <v>20.09</v>
      </c>
      <c r="BZ141" t="str">
        <f>"0.569"</f>
        <v>0.569</v>
      </c>
      <c r="CA141" t="s">
        <v>495</v>
      </c>
      <c r="CK141" t="s">
        <v>638</v>
      </c>
      <c r="CL141" t="s">
        <v>474</v>
      </c>
      <c r="CM141" t="s">
        <v>435</v>
      </c>
      <c r="CN141">
        <v>0</v>
      </c>
      <c r="CO141">
        <v>0</v>
      </c>
      <c r="CP141" t="s">
        <v>437</v>
      </c>
      <c r="CQ141" t="s">
        <v>438</v>
      </c>
      <c r="CX141" t="s">
        <v>403</v>
      </c>
      <c r="CY141" t="s">
        <v>1753</v>
      </c>
      <c r="CZ141">
        <v>0</v>
      </c>
      <c r="DD141">
        <v>0</v>
      </c>
      <c r="DE141" t="s">
        <v>439</v>
      </c>
      <c r="DH141">
        <v>0</v>
      </c>
      <c r="DI141">
        <v>1</v>
      </c>
      <c r="DK141" t="s">
        <v>3153</v>
      </c>
      <c r="DL141">
        <v>0</v>
      </c>
      <c r="DM141" t="s">
        <v>538</v>
      </c>
      <c r="DN141" t="s">
        <v>796</v>
      </c>
      <c r="DO141" t="s">
        <v>635</v>
      </c>
      <c r="DP141" t="s">
        <v>3154</v>
      </c>
      <c r="DT141" t="s">
        <v>450</v>
      </c>
      <c r="DX141" t="s">
        <v>956</v>
      </c>
      <c r="EA141" t="s">
        <v>635</v>
      </c>
      <c r="EG141" t="s">
        <v>1513</v>
      </c>
      <c r="EP141" t="s">
        <v>435</v>
      </c>
      <c r="EQ141" t="s">
        <v>435</v>
      </c>
      <c r="ER141">
        <v>0</v>
      </c>
      <c r="ES141">
        <v>0</v>
      </c>
      <c r="ET141" t="s">
        <v>549</v>
      </c>
      <c r="EU141">
        <v>0</v>
      </c>
      <c r="HM141" t="s">
        <v>1754</v>
      </c>
    </row>
    <row r="142" spans="1:260" x14ac:dyDescent="0.25">
      <c r="A142" t="s">
        <v>3168</v>
      </c>
      <c r="B142" t="str">
        <f>"801542658373"</f>
        <v>801542658373</v>
      </c>
      <c r="C142" t="s">
        <v>3169</v>
      </c>
      <c r="D142" t="s">
        <v>1592</v>
      </c>
      <c r="E142" t="s">
        <v>515</v>
      </c>
      <c r="F142" t="s">
        <v>516</v>
      </c>
      <c r="G142" t="str">
        <f>"27"</f>
        <v>27</v>
      </c>
      <c r="H142" t="str">
        <f>"35.5"</f>
        <v>35.5</v>
      </c>
      <c r="I142" t="str">
        <f>"32.75"</f>
        <v>32.75</v>
      </c>
      <c r="J142" t="str">
        <f>"54.5"</f>
        <v>54.5</v>
      </c>
      <c r="K142" t="s">
        <v>1532</v>
      </c>
      <c r="N142" t="s">
        <v>1534</v>
      </c>
      <c r="O142" t="s">
        <v>1535</v>
      </c>
      <c r="T142" t="s">
        <v>373</v>
      </c>
      <c r="U142" t="s">
        <v>402</v>
      </c>
      <c r="V142" t="s">
        <v>3170</v>
      </c>
      <c r="W142" t="s">
        <v>3171</v>
      </c>
      <c r="X142" t="s">
        <v>3172</v>
      </c>
      <c r="Y142" t="s">
        <v>3173</v>
      </c>
      <c r="Z142" t="s">
        <v>3174</v>
      </c>
      <c r="AA142" t="s">
        <v>3175</v>
      </c>
      <c r="AB142" t="s">
        <v>3176</v>
      </c>
      <c r="AC142" t="s">
        <v>3177</v>
      </c>
      <c r="AD142" t="s">
        <v>3178</v>
      </c>
      <c r="AE142" t="s">
        <v>3179</v>
      </c>
      <c r="AF142" t="s">
        <v>3180</v>
      </c>
      <c r="AG142" t="s">
        <v>3181</v>
      </c>
      <c r="AH142" t="s">
        <v>3182</v>
      </c>
      <c r="AI142" t="s">
        <v>3183</v>
      </c>
      <c r="AJ142" t="s">
        <v>3184</v>
      </c>
      <c r="AK142" t="s">
        <v>3185</v>
      </c>
      <c r="BA142" t="str">
        <f>"849"</f>
        <v>849</v>
      </c>
      <c r="BB142" t="str">
        <f>"360"</f>
        <v>360</v>
      </c>
      <c r="BC142" t="s">
        <v>665</v>
      </c>
      <c r="BD142" t="str">
        <f t="shared" si="36"/>
        <v>1</v>
      </c>
      <c r="BE142" t="s">
        <v>3186</v>
      </c>
      <c r="BF142" t="str">
        <f>"27.17"</f>
        <v>27.17</v>
      </c>
      <c r="BG142" t="str">
        <f>"35.63"</f>
        <v>35.63</v>
      </c>
      <c r="BH142" t="str">
        <f>"32.28"</f>
        <v>32.28</v>
      </c>
      <c r="BI142" t="str">
        <f>"61.73"</f>
        <v>61.73</v>
      </c>
      <c r="BY142" t="str">
        <f>"16.21"</f>
        <v>16.21</v>
      </c>
      <c r="BZ142" t="str">
        <f>"0.459"</f>
        <v>0.459</v>
      </c>
      <c r="CA142" t="s">
        <v>431</v>
      </c>
      <c r="CH142" t="s">
        <v>3187</v>
      </c>
      <c r="CI142" t="s">
        <v>3188</v>
      </c>
      <c r="CJ142" t="s">
        <v>3189</v>
      </c>
      <c r="CK142" t="s">
        <v>602</v>
      </c>
      <c r="CL142" t="s">
        <v>2595</v>
      </c>
      <c r="CM142" t="s">
        <v>602</v>
      </c>
      <c r="CN142">
        <v>0</v>
      </c>
      <c r="CO142">
        <v>1</v>
      </c>
      <c r="CP142" t="s">
        <v>437</v>
      </c>
      <c r="CQ142" t="s">
        <v>631</v>
      </c>
      <c r="CU142" t="s">
        <v>3190</v>
      </c>
      <c r="CX142" t="s">
        <v>1609</v>
      </c>
      <c r="CY142" t="s">
        <v>1753</v>
      </c>
      <c r="CZ142">
        <v>0</v>
      </c>
      <c r="DD142">
        <v>90000</v>
      </c>
      <c r="DE142" t="s">
        <v>439</v>
      </c>
      <c r="DF142" t="s">
        <v>406</v>
      </c>
      <c r="DG142" t="s">
        <v>407</v>
      </c>
      <c r="DH142">
        <v>1</v>
      </c>
      <c r="DI142">
        <v>1</v>
      </c>
      <c r="DK142" t="s">
        <v>3191</v>
      </c>
      <c r="DL142">
        <v>0</v>
      </c>
      <c r="DM142" t="s">
        <v>538</v>
      </c>
      <c r="DN142" t="s">
        <v>3192</v>
      </c>
      <c r="DO142" t="s">
        <v>3079</v>
      </c>
      <c r="DP142" t="s">
        <v>539</v>
      </c>
      <c r="DT142" t="s">
        <v>1156</v>
      </c>
      <c r="DU142" t="s">
        <v>1037</v>
      </c>
      <c r="DV142" t="s">
        <v>3193</v>
      </c>
      <c r="DW142" t="s">
        <v>3192</v>
      </c>
      <c r="DX142" t="s">
        <v>392</v>
      </c>
      <c r="EA142" t="s">
        <v>3194</v>
      </c>
      <c r="ED142" t="s">
        <v>406</v>
      </c>
      <c r="EE142" t="s">
        <v>454</v>
      </c>
      <c r="EF142" t="s">
        <v>3195</v>
      </c>
      <c r="EG142" t="s">
        <v>615</v>
      </c>
      <c r="ER142">
        <v>0</v>
      </c>
      <c r="ES142">
        <v>0</v>
      </c>
      <c r="ET142" t="s">
        <v>3196</v>
      </c>
      <c r="EU142">
        <v>0</v>
      </c>
      <c r="HM142" t="s">
        <v>1754</v>
      </c>
    </row>
    <row r="143" spans="1:260" x14ac:dyDescent="0.25">
      <c r="A143" t="s">
        <v>3197</v>
      </c>
      <c r="B143" t="str">
        <f>"801542690571"</f>
        <v>801542690571</v>
      </c>
      <c r="C143" t="s">
        <v>3198</v>
      </c>
      <c r="D143" t="s">
        <v>1592</v>
      </c>
      <c r="E143" t="s">
        <v>515</v>
      </c>
      <c r="F143" t="s">
        <v>516</v>
      </c>
      <c r="G143" t="str">
        <f>"27"</f>
        <v>27</v>
      </c>
      <c r="H143" t="str">
        <f>"35.5"</f>
        <v>35.5</v>
      </c>
      <c r="I143" t="str">
        <f>"32.75"</f>
        <v>32.75</v>
      </c>
      <c r="J143" t="str">
        <f>"54.5"</f>
        <v>54.5</v>
      </c>
      <c r="K143" t="s">
        <v>584</v>
      </c>
      <c r="N143" t="s">
        <v>416</v>
      </c>
      <c r="T143" t="s">
        <v>373</v>
      </c>
      <c r="U143" t="s">
        <v>373</v>
      </c>
      <c r="V143" t="s">
        <v>3199</v>
      </c>
      <c r="W143" t="s">
        <v>3200</v>
      </c>
      <c r="X143" t="s">
        <v>3201</v>
      </c>
      <c r="Y143" t="s">
        <v>3202</v>
      </c>
      <c r="Z143" t="s">
        <v>3203</v>
      </c>
      <c r="AA143" t="s">
        <v>3204</v>
      </c>
      <c r="AB143" t="s">
        <v>3205</v>
      </c>
      <c r="AC143" t="s">
        <v>3206</v>
      </c>
      <c r="AD143" t="s">
        <v>3207</v>
      </c>
      <c r="AE143" t="s">
        <v>3208</v>
      </c>
      <c r="AF143" t="s">
        <v>3209</v>
      </c>
      <c r="AG143" t="s">
        <v>3210</v>
      </c>
      <c r="AH143" t="s">
        <v>3211</v>
      </c>
      <c r="BA143" t="str">
        <f>"1549"</f>
        <v>1549</v>
      </c>
      <c r="BB143" t="str">
        <f>"655"</f>
        <v>655</v>
      </c>
      <c r="BC143" t="s">
        <v>665</v>
      </c>
      <c r="BD143" t="str">
        <f t="shared" si="36"/>
        <v>1</v>
      </c>
      <c r="BE143" t="s">
        <v>3186</v>
      </c>
      <c r="BF143" t="str">
        <f>"27.17"</f>
        <v>27.17</v>
      </c>
      <c r="BG143" t="str">
        <f>"35.63"</f>
        <v>35.63</v>
      </c>
      <c r="BH143" t="str">
        <f>"32.28"</f>
        <v>32.28</v>
      </c>
      <c r="BI143" t="str">
        <f>"61.73"</f>
        <v>61.73</v>
      </c>
      <c r="BY143" t="str">
        <f>"16.21"</f>
        <v>16.21</v>
      </c>
      <c r="BZ143" t="str">
        <f>"0.459"</f>
        <v>0.459</v>
      </c>
      <c r="CA143" t="s">
        <v>495</v>
      </c>
      <c r="CH143" t="s">
        <v>3187</v>
      </c>
      <c r="CI143" t="s">
        <v>3188</v>
      </c>
      <c r="CJ143" t="s">
        <v>3189</v>
      </c>
      <c r="CK143" t="s">
        <v>602</v>
      </c>
      <c r="CL143" t="s">
        <v>2595</v>
      </c>
      <c r="CM143" t="s">
        <v>602</v>
      </c>
      <c r="CN143">
        <v>0</v>
      </c>
      <c r="CO143">
        <v>1</v>
      </c>
      <c r="CP143" t="s">
        <v>437</v>
      </c>
      <c r="CQ143" t="s">
        <v>438</v>
      </c>
      <c r="CU143" t="s">
        <v>3190</v>
      </c>
      <c r="CX143" t="s">
        <v>1609</v>
      </c>
      <c r="CY143" t="s">
        <v>1753</v>
      </c>
      <c r="CZ143">
        <v>0</v>
      </c>
      <c r="DD143">
        <v>0</v>
      </c>
      <c r="DE143" t="s">
        <v>439</v>
      </c>
      <c r="DF143" t="s">
        <v>406</v>
      </c>
      <c r="DG143" t="s">
        <v>407</v>
      </c>
      <c r="DH143">
        <v>1</v>
      </c>
      <c r="DI143">
        <v>1</v>
      </c>
      <c r="DK143" t="s">
        <v>3191</v>
      </c>
      <c r="DL143">
        <v>0</v>
      </c>
      <c r="DM143" t="s">
        <v>538</v>
      </c>
      <c r="DN143" t="s">
        <v>3192</v>
      </c>
      <c r="DO143" t="s">
        <v>3079</v>
      </c>
      <c r="DP143" t="s">
        <v>539</v>
      </c>
      <c r="DT143" t="s">
        <v>1156</v>
      </c>
      <c r="DU143" t="s">
        <v>1037</v>
      </c>
      <c r="DV143" t="s">
        <v>3193</v>
      </c>
      <c r="DW143" t="s">
        <v>3192</v>
      </c>
      <c r="DX143" t="s">
        <v>392</v>
      </c>
      <c r="EA143" t="s">
        <v>3194</v>
      </c>
      <c r="ED143" t="s">
        <v>406</v>
      </c>
      <c r="EE143" t="s">
        <v>454</v>
      </c>
      <c r="EF143" t="s">
        <v>3195</v>
      </c>
      <c r="EG143" t="s">
        <v>615</v>
      </c>
      <c r="ER143">
        <v>0</v>
      </c>
      <c r="ES143">
        <v>0</v>
      </c>
      <c r="ET143" t="s">
        <v>3196</v>
      </c>
      <c r="EU143">
        <v>0</v>
      </c>
      <c r="HM143" t="s">
        <v>1754</v>
      </c>
    </row>
    <row r="144" spans="1:260" x14ac:dyDescent="0.25">
      <c r="A144" t="s">
        <v>3212</v>
      </c>
      <c r="B144" t="str">
        <f>"801542035365"</f>
        <v>801542035365</v>
      </c>
      <c r="C144" t="s">
        <v>3213</v>
      </c>
      <c r="D144" t="s">
        <v>1592</v>
      </c>
      <c r="E144" t="s">
        <v>515</v>
      </c>
      <c r="F144" t="s">
        <v>516</v>
      </c>
      <c r="G144" t="str">
        <f>"27"</f>
        <v>27</v>
      </c>
      <c r="H144" t="str">
        <f>"35.5"</f>
        <v>35.5</v>
      </c>
      <c r="I144" t="str">
        <f>"32.75"</f>
        <v>32.75</v>
      </c>
      <c r="J144" t="str">
        <f>"54.5"</f>
        <v>54.5</v>
      </c>
      <c r="K144" t="s">
        <v>3214</v>
      </c>
      <c r="N144" t="s">
        <v>1949</v>
      </c>
      <c r="O144" t="s">
        <v>1950</v>
      </c>
      <c r="P144" t="s">
        <v>1535</v>
      </c>
      <c r="T144" t="s">
        <v>373</v>
      </c>
      <c r="U144" t="s">
        <v>402</v>
      </c>
      <c r="V144" t="s">
        <v>3215</v>
      </c>
      <c r="W144" t="s">
        <v>3216</v>
      </c>
      <c r="X144" t="s">
        <v>3217</v>
      </c>
      <c r="Y144" t="s">
        <v>3218</v>
      </c>
      <c r="Z144" t="s">
        <v>3219</v>
      </c>
      <c r="AA144" t="s">
        <v>3220</v>
      </c>
      <c r="AB144" t="s">
        <v>3221</v>
      </c>
      <c r="AC144" t="s">
        <v>3222</v>
      </c>
      <c r="AD144" t="s">
        <v>3223</v>
      </c>
      <c r="AE144" t="s">
        <v>3224</v>
      </c>
      <c r="AF144" t="s">
        <v>3225</v>
      </c>
      <c r="AG144" t="s">
        <v>3226</v>
      </c>
      <c r="AH144" t="s">
        <v>3227</v>
      </c>
      <c r="AI144" t="s">
        <v>3228</v>
      </c>
      <c r="BA144" t="str">
        <f>"949"</f>
        <v>949</v>
      </c>
      <c r="BB144" t="str">
        <f>"400"</f>
        <v>400</v>
      </c>
      <c r="BC144" t="s">
        <v>665</v>
      </c>
      <c r="BD144" t="str">
        <f t="shared" si="36"/>
        <v>1</v>
      </c>
      <c r="BE144" t="s">
        <v>3229</v>
      </c>
      <c r="BF144" t="str">
        <f>"27.17"</f>
        <v>27.17</v>
      </c>
      <c r="BG144" t="str">
        <f>"35.63"</f>
        <v>35.63</v>
      </c>
      <c r="BH144" t="str">
        <f>"32.28"</f>
        <v>32.28</v>
      </c>
      <c r="BI144" t="str">
        <f>"61.73"</f>
        <v>61.73</v>
      </c>
      <c r="BY144" t="str">
        <f>"16.21"</f>
        <v>16.21</v>
      </c>
      <c r="BZ144" t="str">
        <f>"0.459"</f>
        <v>0.459</v>
      </c>
      <c r="CA144" t="s">
        <v>495</v>
      </c>
      <c r="CH144" t="s">
        <v>3187</v>
      </c>
      <c r="CI144" t="s">
        <v>3188</v>
      </c>
      <c r="CJ144" t="s">
        <v>3189</v>
      </c>
      <c r="CK144" t="s">
        <v>602</v>
      </c>
      <c r="CL144" t="s">
        <v>2595</v>
      </c>
      <c r="CM144" t="s">
        <v>602</v>
      </c>
      <c r="CN144">
        <v>0</v>
      </c>
      <c r="CO144">
        <v>1</v>
      </c>
      <c r="CP144" t="s">
        <v>437</v>
      </c>
      <c r="CQ144" t="s">
        <v>631</v>
      </c>
      <c r="CU144" t="s">
        <v>3190</v>
      </c>
      <c r="CX144" t="s">
        <v>1609</v>
      </c>
      <c r="CY144" t="s">
        <v>1753</v>
      </c>
      <c r="CZ144">
        <v>0</v>
      </c>
      <c r="DD144">
        <v>25000</v>
      </c>
      <c r="DE144" t="s">
        <v>439</v>
      </c>
      <c r="DF144" t="s">
        <v>406</v>
      </c>
      <c r="DG144" t="s">
        <v>407</v>
      </c>
      <c r="DH144">
        <v>1</v>
      </c>
      <c r="DI144">
        <v>1</v>
      </c>
      <c r="DK144" t="s">
        <v>3191</v>
      </c>
      <c r="DL144">
        <v>0</v>
      </c>
      <c r="DM144" t="s">
        <v>538</v>
      </c>
      <c r="DN144" t="s">
        <v>3192</v>
      </c>
      <c r="DO144" t="s">
        <v>3079</v>
      </c>
      <c r="DP144" t="s">
        <v>539</v>
      </c>
      <c r="DT144" t="s">
        <v>1156</v>
      </c>
      <c r="DU144" t="s">
        <v>1037</v>
      </c>
      <c r="DV144" t="s">
        <v>3193</v>
      </c>
      <c r="DW144" t="s">
        <v>3192</v>
      </c>
      <c r="DX144" t="s">
        <v>392</v>
      </c>
      <c r="EA144" t="s">
        <v>3194</v>
      </c>
      <c r="ED144" t="s">
        <v>406</v>
      </c>
      <c r="EE144" t="s">
        <v>454</v>
      </c>
      <c r="EF144" t="s">
        <v>3195</v>
      </c>
      <c r="EG144" t="s">
        <v>615</v>
      </c>
      <c r="ER144">
        <v>0</v>
      </c>
      <c r="ES144">
        <v>0</v>
      </c>
      <c r="ET144" t="s">
        <v>3196</v>
      </c>
      <c r="EU144">
        <v>0</v>
      </c>
      <c r="HM144" t="s">
        <v>1754</v>
      </c>
    </row>
    <row r="145" spans="1:262" x14ac:dyDescent="0.25">
      <c r="A145" t="s">
        <v>3230</v>
      </c>
      <c r="B145" t="str">
        <f>"801542029081"</f>
        <v>801542029081</v>
      </c>
      <c r="C145" t="s">
        <v>3231</v>
      </c>
      <c r="D145" t="s">
        <v>1592</v>
      </c>
      <c r="E145" t="s">
        <v>2006</v>
      </c>
      <c r="F145" t="s">
        <v>2040</v>
      </c>
      <c r="G145" t="str">
        <f>"82.75"</f>
        <v>82.75</v>
      </c>
      <c r="H145" t="str">
        <f>"94"</f>
        <v>94</v>
      </c>
      <c r="I145" t="str">
        <f>"35.25"</f>
        <v>35.25</v>
      </c>
      <c r="J145" t="str">
        <f>"169.97"</f>
        <v>169.97</v>
      </c>
      <c r="K145" t="s">
        <v>2150</v>
      </c>
      <c r="L145" t="s">
        <v>1017</v>
      </c>
      <c r="N145" t="s">
        <v>371</v>
      </c>
      <c r="O145" t="s">
        <v>775</v>
      </c>
      <c r="T145" t="s">
        <v>402</v>
      </c>
      <c r="U145" t="s">
        <v>402</v>
      </c>
      <c r="V145" t="s">
        <v>3232</v>
      </c>
      <c r="W145" t="s">
        <v>3233</v>
      </c>
      <c r="X145" t="s">
        <v>3234</v>
      </c>
      <c r="Y145" t="s">
        <v>3235</v>
      </c>
      <c r="Z145" t="s">
        <v>3236</v>
      </c>
      <c r="AA145" t="s">
        <v>3237</v>
      </c>
      <c r="AB145" t="s">
        <v>3238</v>
      </c>
      <c r="AC145" t="s">
        <v>3239</v>
      </c>
      <c r="AD145" t="s">
        <v>3240</v>
      </c>
      <c r="AE145" t="s">
        <v>3241</v>
      </c>
      <c r="AF145" t="s">
        <v>3242</v>
      </c>
      <c r="AG145" t="s">
        <v>3243</v>
      </c>
      <c r="AH145" t="s">
        <v>3244</v>
      </c>
      <c r="BA145" t="str">
        <f>"1499"</f>
        <v>1499</v>
      </c>
      <c r="BB145" t="str">
        <f>"630"</f>
        <v>630</v>
      </c>
      <c r="BC145" t="s">
        <v>665</v>
      </c>
      <c r="BD145" t="str">
        <f>"3"</f>
        <v>3</v>
      </c>
      <c r="BE145" t="s">
        <v>2163</v>
      </c>
      <c r="BF145" t="str">
        <f>"83.9"</f>
        <v>83.9</v>
      </c>
      <c r="BG145" t="str">
        <f>"34.45"</f>
        <v>34.45</v>
      </c>
      <c r="BH145" t="str">
        <f>"12.01"</f>
        <v>12.01</v>
      </c>
      <c r="BI145" t="str">
        <f>"70.55"</f>
        <v>70.55</v>
      </c>
      <c r="BJ145" t="s">
        <v>3245</v>
      </c>
      <c r="BK145" t="str">
        <f>"85.24"</f>
        <v>85.24</v>
      </c>
      <c r="BL145" t="str">
        <f>"11.22"</f>
        <v>11.22</v>
      </c>
      <c r="BM145" t="str">
        <f>"8.07"</f>
        <v>8.07</v>
      </c>
      <c r="BN145" t="str">
        <f>"69.67"</f>
        <v>69.67</v>
      </c>
      <c r="BO145" t="s">
        <v>3246</v>
      </c>
      <c r="BP145" t="str">
        <f>"84.65"</f>
        <v>84.65</v>
      </c>
      <c r="BQ145" t="str">
        <f>"11.42"</f>
        <v>11.42</v>
      </c>
      <c r="BR145" t="str">
        <f>"8.07"</f>
        <v>8.07</v>
      </c>
      <c r="BS145" t="str">
        <f>"59.52"</f>
        <v>59.52</v>
      </c>
      <c r="BY145" t="str">
        <f>"29.06"</f>
        <v>29.06</v>
      </c>
      <c r="BZ145" t="str">
        <f>"0.823"</f>
        <v>0.823</v>
      </c>
      <c r="CA145" t="s">
        <v>495</v>
      </c>
      <c r="CQ145" t="s">
        <v>631</v>
      </c>
      <c r="CR145" t="s">
        <v>400</v>
      </c>
      <c r="CS145">
        <v>0</v>
      </c>
      <c r="CT145" t="s">
        <v>400</v>
      </c>
      <c r="CV145">
        <v>0</v>
      </c>
      <c r="CX145" t="s">
        <v>403</v>
      </c>
      <c r="CY145" t="s">
        <v>400</v>
      </c>
      <c r="DA145">
        <v>0</v>
      </c>
      <c r="DB145">
        <v>0</v>
      </c>
      <c r="DC145">
        <v>0</v>
      </c>
      <c r="DD145">
        <v>15000</v>
      </c>
      <c r="DK145" t="s">
        <v>3247</v>
      </c>
      <c r="DM145" t="s">
        <v>2028</v>
      </c>
      <c r="EG145" t="s">
        <v>1513</v>
      </c>
      <c r="EN145">
        <v>0</v>
      </c>
      <c r="HN145" t="s">
        <v>3248</v>
      </c>
      <c r="HO145" t="s">
        <v>3248</v>
      </c>
      <c r="HP145" t="s">
        <v>3248</v>
      </c>
      <c r="HQ145" t="s">
        <v>2034</v>
      </c>
      <c r="HR145" t="s">
        <v>3249</v>
      </c>
      <c r="HS145" t="s">
        <v>3250</v>
      </c>
      <c r="HT145" t="s">
        <v>3251</v>
      </c>
      <c r="HU145" t="s">
        <v>3252</v>
      </c>
      <c r="HV145" t="s">
        <v>3250</v>
      </c>
      <c r="HW145" t="s">
        <v>3253</v>
      </c>
      <c r="HX145" t="s">
        <v>3254</v>
      </c>
      <c r="HY145" t="s">
        <v>3255</v>
      </c>
      <c r="HZ145" t="s">
        <v>3256</v>
      </c>
      <c r="IA145" t="s">
        <v>3253</v>
      </c>
      <c r="IB145" t="s">
        <v>3249</v>
      </c>
      <c r="IC145" t="s">
        <v>402</v>
      </c>
      <c r="ID145" t="s">
        <v>2176</v>
      </c>
      <c r="IE145" t="s">
        <v>2037</v>
      </c>
      <c r="IF145" t="s">
        <v>2177</v>
      </c>
      <c r="IG145" t="s">
        <v>2040</v>
      </c>
      <c r="IM145" t="s">
        <v>395</v>
      </c>
      <c r="IN145" t="s">
        <v>3257</v>
      </c>
      <c r="IO145" t="s">
        <v>395</v>
      </c>
      <c r="IP145" t="s">
        <v>402</v>
      </c>
      <c r="IQ145" t="s">
        <v>2179</v>
      </c>
    </row>
    <row r="146" spans="1:262" x14ac:dyDescent="0.25">
      <c r="A146" t="s">
        <v>3258</v>
      </c>
      <c r="B146" t="str">
        <f>"801542029128"</f>
        <v>801542029128</v>
      </c>
      <c r="C146" t="s">
        <v>3231</v>
      </c>
      <c r="D146" t="s">
        <v>1592</v>
      </c>
      <c r="E146" t="s">
        <v>2006</v>
      </c>
      <c r="F146" t="s">
        <v>2007</v>
      </c>
      <c r="G146" t="str">
        <f>"66.5"</f>
        <v>66.5</v>
      </c>
      <c r="H146" t="str">
        <f>"94"</f>
        <v>94</v>
      </c>
      <c r="I146" t="str">
        <f>"35.25"</f>
        <v>35.25</v>
      </c>
      <c r="J146" t="str">
        <f>"138.89"</f>
        <v>138.89</v>
      </c>
      <c r="K146" t="s">
        <v>2150</v>
      </c>
      <c r="L146" t="s">
        <v>1017</v>
      </c>
      <c r="N146" t="s">
        <v>371</v>
      </c>
      <c r="O146" t="s">
        <v>775</v>
      </c>
      <c r="T146" t="s">
        <v>402</v>
      </c>
      <c r="U146" t="s">
        <v>402</v>
      </c>
      <c r="V146" t="s">
        <v>3232</v>
      </c>
      <c r="W146" t="s">
        <v>3259</v>
      </c>
      <c r="X146" t="s">
        <v>3260</v>
      </c>
      <c r="Y146" t="s">
        <v>3261</v>
      </c>
      <c r="Z146" t="s">
        <v>3262</v>
      </c>
      <c r="AA146" t="s">
        <v>3263</v>
      </c>
      <c r="AB146" t="s">
        <v>3264</v>
      </c>
      <c r="AC146" t="s">
        <v>3265</v>
      </c>
      <c r="AD146" t="s">
        <v>3266</v>
      </c>
      <c r="AE146" t="s">
        <v>3267</v>
      </c>
      <c r="AF146" t="s">
        <v>3268</v>
      </c>
      <c r="AG146" t="s">
        <v>3269</v>
      </c>
      <c r="AH146" t="s">
        <v>3270</v>
      </c>
      <c r="BA146" t="str">
        <f>"1299"</f>
        <v>1299</v>
      </c>
      <c r="BB146" t="str">
        <f>"550"</f>
        <v>550</v>
      </c>
      <c r="BC146" t="s">
        <v>665</v>
      </c>
      <c r="BD146" t="str">
        <f>"3"</f>
        <v>3</v>
      </c>
      <c r="BE146" t="s">
        <v>2163</v>
      </c>
      <c r="BF146" t="str">
        <f>"67.91"</f>
        <v>67.91</v>
      </c>
      <c r="BG146" t="str">
        <f>"34.45"</f>
        <v>34.45</v>
      </c>
      <c r="BH146" t="str">
        <f>"12.01"</f>
        <v>12.01</v>
      </c>
      <c r="BI146" t="str">
        <f>"59.97"</f>
        <v>59.97</v>
      </c>
      <c r="BJ146" t="s">
        <v>3245</v>
      </c>
      <c r="BK146" t="str">
        <f>"69.25"</f>
        <v>69.25</v>
      </c>
      <c r="BL146" t="str">
        <f>"11.22"</f>
        <v>11.22</v>
      </c>
      <c r="BM146" t="str">
        <f>"8.07"</f>
        <v>8.07</v>
      </c>
      <c r="BN146" t="str">
        <f>"54.67"</f>
        <v>54.67</v>
      </c>
      <c r="BO146" t="s">
        <v>3271</v>
      </c>
      <c r="BP146" t="str">
        <f>"84.65"</f>
        <v>84.65</v>
      </c>
      <c r="BQ146" t="str">
        <f>"11.42"</f>
        <v>11.42</v>
      </c>
      <c r="BR146" t="str">
        <f>"8.07"</f>
        <v>8.07</v>
      </c>
      <c r="BS146" t="str">
        <f>"54.01"</f>
        <v>54.01</v>
      </c>
      <c r="BY146" t="str">
        <f>"24.4"</f>
        <v>24.4</v>
      </c>
      <c r="BZ146" t="str">
        <f>"0.691"</f>
        <v>0.691</v>
      </c>
      <c r="CA146" t="s">
        <v>390</v>
      </c>
      <c r="CQ146" t="s">
        <v>631</v>
      </c>
      <c r="CR146" t="s">
        <v>400</v>
      </c>
      <c r="CS146">
        <v>0</v>
      </c>
      <c r="CT146" t="s">
        <v>400</v>
      </c>
      <c r="CV146">
        <v>0</v>
      </c>
      <c r="CX146" t="s">
        <v>403</v>
      </c>
      <c r="CY146" t="s">
        <v>400</v>
      </c>
      <c r="DA146">
        <v>0</v>
      </c>
      <c r="DB146">
        <v>0</v>
      </c>
      <c r="DC146">
        <v>0</v>
      </c>
      <c r="DD146">
        <v>15000</v>
      </c>
      <c r="DK146" t="s">
        <v>3247</v>
      </c>
      <c r="DM146" t="s">
        <v>2028</v>
      </c>
      <c r="EG146" t="s">
        <v>1513</v>
      </c>
      <c r="EN146">
        <v>0</v>
      </c>
      <c r="HN146" t="s">
        <v>3248</v>
      </c>
      <c r="HO146" t="s">
        <v>3248</v>
      </c>
      <c r="HP146" t="s">
        <v>3248</v>
      </c>
      <c r="HQ146" t="s">
        <v>2034</v>
      </c>
      <c r="HR146" t="s">
        <v>3249</v>
      </c>
      <c r="HS146" t="s">
        <v>3272</v>
      </c>
      <c r="HT146" t="s">
        <v>3251</v>
      </c>
      <c r="HU146" t="s">
        <v>3252</v>
      </c>
      <c r="HV146" t="s">
        <v>3272</v>
      </c>
      <c r="HW146" t="s">
        <v>3253</v>
      </c>
      <c r="HX146" t="s">
        <v>3254</v>
      </c>
      <c r="HY146" t="s">
        <v>3273</v>
      </c>
      <c r="HZ146" t="s">
        <v>3256</v>
      </c>
      <c r="IA146" t="s">
        <v>3253</v>
      </c>
      <c r="IB146" t="s">
        <v>3249</v>
      </c>
      <c r="IC146" t="s">
        <v>402</v>
      </c>
      <c r="ID146" t="s">
        <v>2176</v>
      </c>
      <c r="IE146" t="s">
        <v>2037</v>
      </c>
      <c r="IF146" t="s">
        <v>2177</v>
      </c>
      <c r="IG146" t="s">
        <v>2007</v>
      </c>
      <c r="IM146" t="s">
        <v>395</v>
      </c>
      <c r="IN146" t="s">
        <v>3257</v>
      </c>
      <c r="IO146" t="s">
        <v>395</v>
      </c>
      <c r="IP146" t="s">
        <v>402</v>
      </c>
      <c r="IQ146" t="s">
        <v>2179</v>
      </c>
    </row>
    <row r="147" spans="1:262" x14ac:dyDescent="0.25">
      <c r="A147" t="s">
        <v>3274</v>
      </c>
      <c r="B147" t="str">
        <f>"801542029166"</f>
        <v>801542029166</v>
      </c>
      <c r="C147" t="s">
        <v>3275</v>
      </c>
      <c r="D147" t="s">
        <v>1592</v>
      </c>
      <c r="E147" t="s">
        <v>2006</v>
      </c>
      <c r="F147" t="s">
        <v>2040</v>
      </c>
      <c r="G147" t="str">
        <f>"82.75"</f>
        <v>82.75</v>
      </c>
      <c r="H147" t="str">
        <f>"94"</f>
        <v>94</v>
      </c>
      <c r="I147" t="str">
        <f>"35.25"</f>
        <v>35.25</v>
      </c>
      <c r="J147" t="str">
        <f>"169.97"</f>
        <v>169.97</v>
      </c>
      <c r="K147" t="s">
        <v>1594</v>
      </c>
      <c r="L147" t="s">
        <v>1017</v>
      </c>
      <c r="N147" t="s">
        <v>1170</v>
      </c>
      <c r="O147" t="s">
        <v>1595</v>
      </c>
      <c r="P147" t="s">
        <v>775</v>
      </c>
      <c r="T147" t="s">
        <v>373</v>
      </c>
      <c r="U147" t="s">
        <v>373</v>
      </c>
      <c r="V147" t="s">
        <v>3276</v>
      </c>
      <c r="W147" t="s">
        <v>3277</v>
      </c>
      <c r="X147" t="s">
        <v>3278</v>
      </c>
      <c r="Y147" t="s">
        <v>3279</v>
      </c>
      <c r="Z147" t="s">
        <v>3280</v>
      </c>
      <c r="AA147" t="s">
        <v>3281</v>
      </c>
      <c r="AB147" t="s">
        <v>3282</v>
      </c>
      <c r="AC147" t="s">
        <v>3283</v>
      </c>
      <c r="AD147" t="s">
        <v>3284</v>
      </c>
      <c r="AE147" t="s">
        <v>3285</v>
      </c>
      <c r="AF147" t="s">
        <v>3286</v>
      </c>
      <c r="BA147" t="str">
        <f>"1499"</f>
        <v>1499</v>
      </c>
      <c r="BB147" t="str">
        <f>"630"</f>
        <v>630</v>
      </c>
      <c r="BC147" t="s">
        <v>665</v>
      </c>
      <c r="BD147" t="str">
        <f>"3"</f>
        <v>3</v>
      </c>
      <c r="BE147" t="s">
        <v>2163</v>
      </c>
      <c r="BF147" t="str">
        <f>"83.9"</f>
        <v>83.9</v>
      </c>
      <c r="BG147" t="str">
        <f>"34.45"</f>
        <v>34.45</v>
      </c>
      <c r="BH147" t="str">
        <f>"12.01"</f>
        <v>12.01</v>
      </c>
      <c r="BI147" t="str">
        <f>"70.55"</f>
        <v>70.55</v>
      </c>
      <c r="BJ147" t="s">
        <v>3245</v>
      </c>
      <c r="BK147" t="str">
        <f>"85.24"</f>
        <v>85.24</v>
      </c>
      <c r="BL147" t="str">
        <f>"11.22"</f>
        <v>11.22</v>
      </c>
      <c r="BM147" t="str">
        <f>"8.07"</f>
        <v>8.07</v>
      </c>
      <c r="BN147" t="str">
        <f>"69.67"</f>
        <v>69.67</v>
      </c>
      <c r="BO147" t="s">
        <v>3246</v>
      </c>
      <c r="BP147" t="str">
        <f>"84.65"</f>
        <v>84.65</v>
      </c>
      <c r="BQ147" t="str">
        <f>"11.42"</f>
        <v>11.42</v>
      </c>
      <c r="BR147" t="str">
        <f>"8.07"</f>
        <v>8.07</v>
      </c>
      <c r="BS147" t="str">
        <f>"59.52"</f>
        <v>59.52</v>
      </c>
      <c r="BY147" t="str">
        <f>"29.06"</f>
        <v>29.06</v>
      </c>
      <c r="BZ147" t="str">
        <f>"0.823"</f>
        <v>0.823</v>
      </c>
      <c r="CA147" t="s">
        <v>431</v>
      </c>
      <c r="CQ147" t="s">
        <v>399</v>
      </c>
      <c r="CR147" t="s">
        <v>400</v>
      </c>
      <c r="CS147">
        <v>0</v>
      </c>
      <c r="CT147" t="s">
        <v>400</v>
      </c>
      <c r="CV147">
        <v>0</v>
      </c>
      <c r="CX147" t="s">
        <v>403</v>
      </c>
      <c r="CY147" t="s">
        <v>400</v>
      </c>
      <c r="DA147">
        <v>0</v>
      </c>
      <c r="DB147">
        <v>0</v>
      </c>
      <c r="DC147">
        <v>0</v>
      </c>
      <c r="DD147">
        <v>15000</v>
      </c>
      <c r="DK147" t="s">
        <v>3247</v>
      </c>
      <c r="DM147" t="s">
        <v>2028</v>
      </c>
      <c r="EG147" t="s">
        <v>1513</v>
      </c>
      <c r="EN147">
        <v>0</v>
      </c>
      <c r="HN147" t="s">
        <v>3248</v>
      </c>
      <c r="HO147" t="s">
        <v>3248</v>
      </c>
      <c r="HP147" t="s">
        <v>3248</v>
      </c>
      <c r="HQ147" t="s">
        <v>2034</v>
      </c>
      <c r="HR147" t="s">
        <v>3249</v>
      </c>
      <c r="HS147" t="s">
        <v>3250</v>
      </c>
      <c r="HT147" t="s">
        <v>3251</v>
      </c>
      <c r="HU147" t="s">
        <v>3252</v>
      </c>
      <c r="HV147" t="s">
        <v>3250</v>
      </c>
      <c r="HW147" t="s">
        <v>3253</v>
      </c>
      <c r="HX147" t="s">
        <v>3254</v>
      </c>
      <c r="HY147" t="s">
        <v>3255</v>
      </c>
      <c r="HZ147" t="s">
        <v>3256</v>
      </c>
      <c r="IA147" t="s">
        <v>3253</v>
      </c>
      <c r="IB147" t="s">
        <v>3249</v>
      </c>
      <c r="IC147" t="s">
        <v>402</v>
      </c>
      <c r="ID147" t="s">
        <v>2176</v>
      </c>
      <c r="IE147" t="s">
        <v>2037</v>
      </c>
      <c r="IF147" t="s">
        <v>2177</v>
      </c>
      <c r="IG147" t="s">
        <v>2040</v>
      </c>
      <c r="IM147" t="s">
        <v>395</v>
      </c>
      <c r="IN147" t="s">
        <v>3257</v>
      </c>
      <c r="IO147" t="s">
        <v>395</v>
      </c>
      <c r="IP147" t="s">
        <v>402</v>
      </c>
      <c r="IQ147" t="s">
        <v>2179</v>
      </c>
    </row>
    <row r="148" spans="1:262" x14ac:dyDescent="0.25">
      <c r="A148" t="s">
        <v>3287</v>
      </c>
      <c r="B148" t="str">
        <f>"801542029203"</f>
        <v>801542029203</v>
      </c>
      <c r="C148" t="s">
        <v>3275</v>
      </c>
      <c r="D148" t="s">
        <v>1592</v>
      </c>
      <c r="E148" t="s">
        <v>2006</v>
      </c>
      <c r="F148" t="s">
        <v>2007</v>
      </c>
      <c r="G148" t="str">
        <f>"66.5"</f>
        <v>66.5</v>
      </c>
      <c r="H148" t="str">
        <f>"94"</f>
        <v>94</v>
      </c>
      <c r="I148" t="str">
        <f>"35.25"</f>
        <v>35.25</v>
      </c>
      <c r="J148" t="str">
        <f>"138.89"</f>
        <v>138.89</v>
      </c>
      <c r="K148" t="s">
        <v>1594</v>
      </c>
      <c r="L148" t="s">
        <v>1017</v>
      </c>
      <c r="N148" t="s">
        <v>1170</v>
      </c>
      <c r="O148" t="s">
        <v>1595</v>
      </c>
      <c r="P148" t="s">
        <v>775</v>
      </c>
      <c r="T148" t="s">
        <v>373</v>
      </c>
      <c r="U148" t="s">
        <v>373</v>
      </c>
      <c r="V148" t="s">
        <v>3276</v>
      </c>
      <c r="W148" t="s">
        <v>3288</v>
      </c>
      <c r="X148" t="s">
        <v>3289</v>
      </c>
      <c r="Y148" t="s">
        <v>3290</v>
      </c>
      <c r="Z148" t="s">
        <v>3291</v>
      </c>
      <c r="AA148" t="s">
        <v>3292</v>
      </c>
      <c r="AB148" t="s">
        <v>3293</v>
      </c>
      <c r="AC148" t="s">
        <v>3294</v>
      </c>
      <c r="AD148" t="s">
        <v>3295</v>
      </c>
      <c r="AE148" t="s">
        <v>3296</v>
      </c>
      <c r="AF148" t="s">
        <v>3297</v>
      </c>
      <c r="AG148" t="s">
        <v>3298</v>
      </c>
      <c r="AH148" t="s">
        <v>3299</v>
      </c>
      <c r="BA148" t="str">
        <f>"1299"</f>
        <v>1299</v>
      </c>
      <c r="BB148" t="str">
        <f>"550"</f>
        <v>550</v>
      </c>
      <c r="BC148" t="s">
        <v>665</v>
      </c>
      <c r="BD148" t="str">
        <f>"3"</f>
        <v>3</v>
      </c>
      <c r="BE148" t="s">
        <v>2163</v>
      </c>
      <c r="BF148" t="str">
        <f>"67.91"</f>
        <v>67.91</v>
      </c>
      <c r="BG148" t="str">
        <f>"34.45"</f>
        <v>34.45</v>
      </c>
      <c r="BH148" t="str">
        <f>"12.01"</f>
        <v>12.01</v>
      </c>
      <c r="BI148" t="str">
        <f>"59.97"</f>
        <v>59.97</v>
      </c>
      <c r="BJ148" t="s">
        <v>3245</v>
      </c>
      <c r="BK148" t="str">
        <f>"69.25"</f>
        <v>69.25</v>
      </c>
      <c r="BL148" t="str">
        <f>"11.22"</f>
        <v>11.22</v>
      </c>
      <c r="BM148" t="str">
        <f>"8.07"</f>
        <v>8.07</v>
      </c>
      <c r="BN148" t="str">
        <f>"54.67"</f>
        <v>54.67</v>
      </c>
      <c r="BO148" t="s">
        <v>3271</v>
      </c>
      <c r="BP148" t="str">
        <f>"84.65"</f>
        <v>84.65</v>
      </c>
      <c r="BQ148" t="str">
        <f>"11.42"</f>
        <v>11.42</v>
      </c>
      <c r="BR148" t="str">
        <f>"8.07"</f>
        <v>8.07</v>
      </c>
      <c r="BS148" t="str">
        <f>"54.01"</f>
        <v>54.01</v>
      </c>
      <c r="BY148" t="str">
        <f>"24.4"</f>
        <v>24.4</v>
      </c>
      <c r="BZ148" t="str">
        <f>"0.691"</f>
        <v>0.691</v>
      </c>
      <c r="CA148" t="s">
        <v>431</v>
      </c>
      <c r="CQ148" t="s">
        <v>399</v>
      </c>
      <c r="CR148" t="s">
        <v>400</v>
      </c>
      <c r="CS148">
        <v>0</v>
      </c>
      <c r="CT148" t="s">
        <v>400</v>
      </c>
      <c r="CV148">
        <v>0</v>
      </c>
      <c r="CX148" t="s">
        <v>403</v>
      </c>
      <c r="CY148" t="s">
        <v>400</v>
      </c>
      <c r="DA148">
        <v>0</v>
      </c>
      <c r="DB148">
        <v>0</v>
      </c>
      <c r="DC148">
        <v>0</v>
      </c>
      <c r="DD148">
        <v>15000</v>
      </c>
      <c r="DK148" t="s">
        <v>3247</v>
      </c>
      <c r="DM148" t="s">
        <v>2028</v>
      </c>
      <c r="EG148" t="s">
        <v>1513</v>
      </c>
      <c r="EN148">
        <v>0</v>
      </c>
      <c r="HN148" t="s">
        <v>3248</v>
      </c>
      <c r="HO148" t="s">
        <v>3248</v>
      </c>
      <c r="HP148" t="s">
        <v>3248</v>
      </c>
      <c r="HQ148" t="s">
        <v>2034</v>
      </c>
      <c r="HR148" t="s">
        <v>3249</v>
      </c>
      <c r="HS148" t="s">
        <v>3272</v>
      </c>
      <c r="HT148" t="s">
        <v>3251</v>
      </c>
      <c r="HU148" t="s">
        <v>3252</v>
      </c>
      <c r="HV148" t="s">
        <v>3272</v>
      </c>
      <c r="HW148" t="s">
        <v>3253</v>
      </c>
      <c r="HX148" t="s">
        <v>3254</v>
      </c>
      <c r="HY148" t="s">
        <v>3273</v>
      </c>
      <c r="HZ148" t="s">
        <v>3256</v>
      </c>
      <c r="IA148" t="s">
        <v>3253</v>
      </c>
      <c r="IB148" t="s">
        <v>3249</v>
      </c>
      <c r="IC148" t="s">
        <v>402</v>
      </c>
      <c r="ID148" t="s">
        <v>2176</v>
      </c>
      <c r="IE148" t="s">
        <v>2037</v>
      </c>
      <c r="IF148" t="s">
        <v>2177</v>
      </c>
      <c r="IG148" t="s">
        <v>2007</v>
      </c>
      <c r="IM148" t="s">
        <v>395</v>
      </c>
      <c r="IN148" t="s">
        <v>3257</v>
      </c>
      <c r="IO148" t="s">
        <v>395</v>
      </c>
      <c r="IP148" t="s">
        <v>402</v>
      </c>
      <c r="IQ148" t="s">
        <v>2179</v>
      </c>
    </row>
    <row r="149" spans="1:262" x14ac:dyDescent="0.25">
      <c r="A149" t="s">
        <v>3300</v>
      </c>
      <c r="B149" t="str">
        <f>"801542688363"</f>
        <v>801542688363</v>
      </c>
      <c r="C149" t="s">
        <v>3301</v>
      </c>
      <c r="D149" t="s">
        <v>1592</v>
      </c>
      <c r="E149" t="s">
        <v>367</v>
      </c>
      <c r="F149" t="s">
        <v>368</v>
      </c>
      <c r="G149" t="str">
        <f>"63.5"</f>
        <v>63.5</v>
      </c>
      <c r="H149" t="str">
        <f>"17.5"</f>
        <v>17.5</v>
      </c>
      <c r="I149" t="str">
        <f>"17.75"</f>
        <v>17.75</v>
      </c>
      <c r="J149" t="str">
        <f>"42.99"</f>
        <v>42.99</v>
      </c>
      <c r="K149" t="s">
        <v>414</v>
      </c>
      <c r="L149" t="s">
        <v>2151</v>
      </c>
      <c r="N149" t="s">
        <v>416</v>
      </c>
      <c r="O149" t="s">
        <v>555</v>
      </c>
      <c r="T149" t="s">
        <v>373</v>
      </c>
      <c r="U149" t="s">
        <v>373</v>
      </c>
      <c r="V149" t="s">
        <v>3302</v>
      </c>
      <c r="W149" t="s">
        <v>3303</v>
      </c>
      <c r="X149" t="s">
        <v>3304</v>
      </c>
      <c r="Y149" t="s">
        <v>3305</v>
      </c>
      <c r="Z149" t="s">
        <v>3306</v>
      </c>
      <c r="AA149" t="s">
        <v>3307</v>
      </c>
      <c r="AB149" t="s">
        <v>3308</v>
      </c>
      <c r="AC149" t="s">
        <v>426</v>
      </c>
      <c r="AD149" t="s">
        <v>3309</v>
      </c>
      <c r="AE149" t="s">
        <v>3310</v>
      </c>
      <c r="AF149" t="s">
        <v>3311</v>
      </c>
      <c r="AG149" t="s">
        <v>3312</v>
      </c>
      <c r="BA149" t="str">
        <f>"999"</f>
        <v>999</v>
      </c>
      <c r="BB149" t="str">
        <f>"420"</f>
        <v>420</v>
      </c>
      <c r="BC149" t="s">
        <v>665</v>
      </c>
      <c r="BD149" t="str">
        <f>"1"</f>
        <v>1</v>
      </c>
      <c r="BE149" t="s">
        <v>1266</v>
      </c>
      <c r="BF149" t="str">
        <f>"63.78"</f>
        <v>63.78</v>
      </c>
      <c r="BG149" t="str">
        <f>"18.11"</f>
        <v>18.11</v>
      </c>
      <c r="BH149" t="str">
        <f>"21.65"</f>
        <v>21.65</v>
      </c>
      <c r="BI149" t="str">
        <f>"60.19"</f>
        <v>60.19</v>
      </c>
      <c r="BY149" t="str">
        <f>"14.48"</f>
        <v>14.48</v>
      </c>
      <c r="BZ149" t="str">
        <f>"0.41"</f>
        <v>0.41</v>
      </c>
      <c r="CA149" t="s">
        <v>431</v>
      </c>
      <c r="CH149" t="s">
        <v>3313</v>
      </c>
      <c r="CI149" t="s">
        <v>2125</v>
      </c>
      <c r="CJ149" t="s">
        <v>3314</v>
      </c>
      <c r="CK149" t="s">
        <v>3313</v>
      </c>
      <c r="CL149" t="s">
        <v>3315</v>
      </c>
      <c r="CM149" t="s">
        <v>3314</v>
      </c>
      <c r="CN149">
        <v>0</v>
      </c>
      <c r="CO149">
        <v>0</v>
      </c>
      <c r="CP149" t="s">
        <v>398</v>
      </c>
      <c r="CQ149" t="s">
        <v>438</v>
      </c>
      <c r="CR149" t="s">
        <v>400</v>
      </c>
      <c r="CS149">
        <v>0</v>
      </c>
      <c r="CT149" t="s">
        <v>400</v>
      </c>
      <c r="CU149" t="s">
        <v>3316</v>
      </c>
      <c r="CV149">
        <v>0</v>
      </c>
      <c r="CX149" t="s">
        <v>1609</v>
      </c>
      <c r="CY149" t="s">
        <v>400</v>
      </c>
      <c r="CZ149">
        <v>0</v>
      </c>
      <c r="DA149">
        <v>0</v>
      </c>
      <c r="DB149">
        <v>0</v>
      </c>
      <c r="DC149">
        <v>0</v>
      </c>
      <c r="DD149">
        <v>0</v>
      </c>
      <c r="DE149" t="s">
        <v>3317</v>
      </c>
      <c r="DF149" t="s">
        <v>406</v>
      </c>
      <c r="DG149" t="s">
        <v>454</v>
      </c>
      <c r="DH149">
        <v>1</v>
      </c>
      <c r="DI149">
        <v>2</v>
      </c>
      <c r="DJ149" t="s">
        <v>408</v>
      </c>
      <c r="DK149" t="s">
        <v>3318</v>
      </c>
      <c r="DL149">
        <v>0</v>
      </c>
      <c r="DM149" t="s">
        <v>1736</v>
      </c>
      <c r="DX149" t="s">
        <v>546</v>
      </c>
      <c r="DY149" t="s">
        <v>3319</v>
      </c>
      <c r="DZ149" t="s">
        <v>3320</v>
      </c>
      <c r="ET149" t="s">
        <v>3196</v>
      </c>
    </row>
    <row r="150" spans="1:262" x14ac:dyDescent="0.25">
      <c r="A150" t="s">
        <v>3321</v>
      </c>
      <c r="B150" t="str">
        <f>"801542742706"</f>
        <v>801542742706</v>
      </c>
      <c r="C150" t="s">
        <v>3322</v>
      </c>
      <c r="D150" t="s">
        <v>769</v>
      </c>
      <c r="E150" t="s">
        <v>413</v>
      </c>
      <c r="G150" t="str">
        <f>"95"</f>
        <v>95</v>
      </c>
      <c r="H150" t="str">
        <f>"34.75"</f>
        <v>34.75</v>
      </c>
      <c r="I150" t="str">
        <f>"27"</f>
        <v>27</v>
      </c>
      <c r="J150" t="str">
        <f>"134.48"</f>
        <v>134.48</v>
      </c>
      <c r="K150" t="s">
        <v>2310</v>
      </c>
      <c r="L150" t="s">
        <v>1533</v>
      </c>
      <c r="M150" t="s">
        <v>3138</v>
      </c>
      <c r="N150" t="s">
        <v>416</v>
      </c>
      <c r="O150" t="s">
        <v>775</v>
      </c>
      <c r="P150" t="s">
        <v>555</v>
      </c>
      <c r="T150" t="s">
        <v>373</v>
      </c>
      <c r="U150" t="s">
        <v>373</v>
      </c>
      <c r="V150" t="s">
        <v>3323</v>
      </c>
      <c r="W150" t="s">
        <v>3324</v>
      </c>
      <c r="X150" t="s">
        <v>3325</v>
      </c>
      <c r="Y150" t="s">
        <v>3326</v>
      </c>
      <c r="Z150" t="s">
        <v>3327</v>
      </c>
      <c r="AA150" t="s">
        <v>3328</v>
      </c>
      <c r="AB150" t="s">
        <v>3329</v>
      </c>
      <c r="AC150" t="s">
        <v>3330</v>
      </c>
      <c r="AD150" t="s">
        <v>2319</v>
      </c>
      <c r="AE150" t="s">
        <v>3331</v>
      </c>
      <c r="AF150" t="s">
        <v>3332</v>
      </c>
      <c r="AG150" t="s">
        <v>3333</v>
      </c>
      <c r="AH150" t="s">
        <v>3334</v>
      </c>
      <c r="AI150" t="s">
        <v>3335</v>
      </c>
      <c r="BA150" t="str">
        <f>"3699"</f>
        <v>3699</v>
      </c>
      <c r="BB150" t="str">
        <f>"1555"</f>
        <v>1555</v>
      </c>
      <c r="BC150" t="s">
        <v>388</v>
      </c>
      <c r="BD150" t="str">
        <f>"1"</f>
        <v>1</v>
      </c>
      <c r="BE150" t="s">
        <v>389</v>
      </c>
      <c r="BF150" t="str">
        <f>"97.64"</f>
        <v>97.64</v>
      </c>
      <c r="BG150" t="str">
        <f>"36.61"</f>
        <v>36.61</v>
      </c>
      <c r="BH150" t="str">
        <f>"28.74"</f>
        <v>28.74</v>
      </c>
      <c r="BI150" t="str">
        <f>"159.17"</f>
        <v>159.17</v>
      </c>
      <c r="BY150" t="str">
        <f>"59.47"</f>
        <v>59.47</v>
      </c>
      <c r="BZ150" t="str">
        <f>"1.684"</f>
        <v>1.684</v>
      </c>
      <c r="CA150" t="s">
        <v>431</v>
      </c>
      <c r="CK150" t="s">
        <v>2083</v>
      </c>
      <c r="CL150" t="s">
        <v>511</v>
      </c>
      <c r="CM150" t="s">
        <v>2905</v>
      </c>
      <c r="CN150">
        <v>0</v>
      </c>
      <c r="CO150">
        <v>0</v>
      </c>
      <c r="CP150" t="s">
        <v>437</v>
      </c>
      <c r="CQ150" t="s">
        <v>438</v>
      </c>
      <c r="CX150" t="s">
        <v>403</v>
      </c>
      <c r="CY150" t="s">
        <v>400</v>
      </c>
      <c r="CZ150">
        <v>0</v>
      </c>
      <c r="DD150">
        <v>0</v>
      </c>
      <c r="DE150" t="s">
        <v>439</v>
      </c>
      <c r="DH150">
        <v>0</v>
      </c>
      <c r="DI150">
        <v>3</v>
      </c>
      <c r="DK150" t="s">
        <v>3153</v>
      </c>
      <c r="DL150">
        <v>0</v>
      </c>
      <c r="DM150" t="s">
        <v>410</v>
      </c>
      <c r="DN150" t="s">
        <v>451</v>
      </c>
      <c r="DO150" t="s">
        <v>635</v>
      </c>
      <c r="DP150" t="s">
        <v>574</v>
      </c>
      <c r="DT150" t="s">
        <v>450</v>
      </c>
      <c r="DX150" t="s">
        <v>1040</v>
      </c>
      <c r="DY150" t="s">
        <v>1553</v>
      </c>
      <c r="DZ150" t="s">
        <v>3336</v>
      </c>
      <c r="EA150" t="s">
        <v>635</v>
      </c>
      <c r="EG150" t="s">
        <v>2029</v>
      </c>
      <c r="ET150" t="s">
        <v>549</v>
      </c>
    </row>
    <row r="151" spans="1:262" x14ac:dyDescent="0.25">
      <c r="A151" t="s">
        <v>3337</v>
      </c>
      <c r="B151" t="str">
        <f>"801542864446"</f>
        <v>801542864446</v>
      </c>
      <c r="C151" t="s">
        <v>3338</v>
      </c>
      <c r="D151" t="s">
        <v>769</v>
      </c>
      <c r="E151" t="s">
        <v>413</v>
      </c>
      <c r="G151" t="str">
        <f>"95"</f>
        <v>95</v>
      </c>
      <c r="H151" t="str">
        <f>"34.75"</f>
        <v>34.75</v>
      </c>
      <c r="I151" t="str">
        <f>"27"</f>
        <v>27</v>
      </c>
      <c r="J151" t="str">
        <f>"134.48"</f>
        <v>134.48</v>
      </c>
      <c r="K151" t="s">
        <v>1576</v>
      </c>
      <c r="L151" t="s">
        <v>1533</v>
      </c>
      <c r="M151" t="s">
        <v>3138</v>
      </c>
      <c r="N151" t="s">
        <v>416</v>
      </c>
      <c r="O151" t="s">
        <v>775</v>
      </c>
      <c r="P151" t="s">
        <v>555</v>
      </c>
      <c r="T151" t="s">
        <v>373</v>
      </c>
      <c r="U151" t="s">
        <v>373</v>
      </c>
      <c r="V151" t="s">
        <v>3339</v>
      </c>
      <c r="W151" t="s">
        <v>3340</v>
      </c>
      <c r="X151" t="s">
        <v>3341</v>
      </c>
      <c r="Y151" t="s">
        <v>3342</v>
      </c>
      <c r="Z151" t="s">
        <v>3343</v>
      </c>
      <c r="AA151" t="s">
        <v>3344</v>
      </c>
      <c r="AB151" t="s">
        <v>3345</v>
      </c>
      <c r="AC151" t="s">
        <v>3346</v>
      </c>
      <c r="AD151" t="s">
        <v>3347</v>
      </c>
      <c r="AE151" t="s">
        <v>3348</v>
      </c>
      <c r="AF151" t="s">
        <v>3349</v>
      </c>
      <c r="AG151" t="s">
        <v>3350</v>
      </c>
      <c r="AH151" t="s">
        <v>3351</v>
      </c>
      <c r="AI151" t="s">
        <v>3352</v>
      </c>
      <c r="BA151" t="str">
        <f>"3699"</f>
        <v>3699</v>
      </c>
      <c r="BB151" t="str">
        <f>"1555"</f>
        <v>1555</v>
      </c>
      <c r="BC151" t="s">
        <v>388</v>
      </c>
      <c r="BD151" t="str">
        <f>"1"</f>
        <v>1</v>
      </c>
      <c r="BE151" t="s">
        <v>389</v>
      </c>
      <c r="BF151" t="str">
        <f>"97.64"</f>
        <v>97.64</v>
      </c>
      <c r="BG151" t="str">
        <f>"36.61"</f>
        <v>36.61</v>
      </c>
      <c r="BH151" t="str">
        <f>"28.74"</f>
        <v>28.74</v>
      </c>
      <c r="BI151" t="str">
        <f>"159.17"</f>
        <v>159.17</v>
      </c>
      <c r="BY151" t="str">
        <f>"59.47"</f>
        <v>59.47</v>
      </c>
      <c r="BZ151" t="str">
        <f>"1.684"</f>
        <v>1.684</v>
      </c>
      <c r="CA151" t="s">
        <v>495</v>
      </c>
      <c r="CK151" t="s">
        <v>2083</v>
      </c>
      <c r="CL151" t="s">
        <v>511</v>
      </c>
      <c r="CM151" t="s">
        <v>2905</v>
      </c>
      <c r="CN151">
        <v>0</v>
      </c>
      <c r="CO151">
        <v>0</v>
      </c>
      <c r="CP151" t="s">
        <v>437</v>
      </c>
      <c r="CQ151" t="s">
        <v>438</v>
      </c>
      <c r="CX151" t="s">
        <v>403</v>
      </c>
      <c r="CY151" t="s">
        <v>400</v>
      </c>
      <c r="CZ151">
        <v>0</v>
      </c>
      <c r="DD151">
        <v>0</v>
      </c>
      <c r="DE151" t="s">
        <v>439</v>
      </c>
      <c r="DH151">
        <v>0</v>
      </c>
      <c r="DI151">
        <v>3</v>
      </c>
      <c r="DK151" t="s">
        <v>3153</v>
      </c>
      <c r="DL151">
        <v>0</v>
      </c>
      <c r="DM151" t="s">
        <v>410</v>
      </c>
      <c r="DN151" t="s">
        <v>451</v>
      </c>
      <c r="DO151" t="s">
        <v>635</v>
      </c>
      <c r="DP151" t="s">
        <v>574</v>
      </c>
      <c r="DT151" t="s">
        <v>450</v>
      </c>
      <c r="DX151" t="s">
        <v>1040</v>
      </c>
      <c r="DY151" t="s">
        <v>1553</v>
      </c>
      <c r="DZ151" t="s">
        <v>3336</v>
      </c>
      <c r="EA151" t="s">
        <v>635</v>
      </c>
      <c r="EG151" t="s">
        <v>2029</v>
      </c>
      <c r="ET151" t="s">
        <v>549</v>
      </c>
    </row>
    <row r="152" spans="1:262" x14ac:dyDescent="0.25">
      <c r="A152" t="s">
        <v>3353</v>
      </c>
      <c r="B152" t="str">
        <f>"801542685898"</f>
        <v>801542685898</v>
      </c>
      <c r="C152" t="s">
        <v>3354</v>
      </c>
      <c r="D152" t="s">
        <v>3355</v>
      </c>
      <c r="E152" t="s">
        <v>459</v>
      </c>
      <c r="G152" t="str">
        <f>"18"</f>
        <v>18</v>
      </c>
      <c r="H152" t="str">
        <f>"18"</f>
        <v>18</v>
      </c>
      <c r="I152" t="str">
        <f>"20"</f>
        <v>20</v>
      </c>
      <c r="J152" t="str">
        <f>"19.4"</f>
        <v>19.4</v>
      </c>
      <c r="K152" t="s">
        <v>3356</v>
      </c>
      <c r="N152" t="s">
        <v>555</v>
      </c>
      <c r="T152" t="s">
        <v>402</v>
      </c>
      <c r="U152" t="s">
        <v>373</v>
      </c>
      <c r="V152" t="s">
        <v>3357</v>
      </c>
      <c r="W152" t="s">
        <v>3358</v>
      </c>
      <c r="X152" t="s">
        <v>3359</v>
      </c>
      <c r="Y152" t="s">
        <v>3360</v>
      </c>
      <c r="Z152" t="s">
        <v>3361</v>
      </c>
      <c r="AA152" t="s">
        <v>3362</v>
      </c>
      <c r="AB152" t="s">
        <v>3363</v>
      </c>
      <c r="BA152" t="str">
        <f>"449"</f>
        <v>449</v>
      </c>
      <c r="BB152" t="str">
        <f>"190"</f>
        <v>190</v>
      </c>
      <c r="BC152" t="s">
        <v>949</v>
      </c>
      <c r="BD152" t="str">
        <f>"1"</f>
        <v>1</v>
      </c>
      <c r="BE152" t="s">
        <v>389</v>
      </c>
      <c r="BF152" t="str">
        <f>"22.75"</f>
        <v>22.75</v>
      </c>
      <c r="BG152" t="str">
        <f>"23.25"</f>
        <v>23.25</v>
      </c>
      <c r="BH152" t="str">
        <f>"26.75"</f>
        <v>26.75</v>
      </c>
      <c r="BI152" t="str">
        <f>"36.38"</f>
        <v>36.38</v>
      </c>
      <c r="BY152" t="str">
        <f>"8.19"</f>
        <v>8.19</v>
      </c>
      <c r="BZ152" t="str">
        <f>"0.232"</f>
        <v>0.232</v>
      </c>
      <c r="CA152" t="s">
        <v>431</v>
      </c>
      <c r="CR152" t="s">
        <v>400</v>
      </c>
      <c r="CS152">
        <v>0</v>
      </c>
      <c r="CT152" t="s">
        <v>400</v>
      </c>
      <c r="CV152">
        <v>0</v>
      </c>
      <c r="CY152" t="s">
        <v>400</v>
      </c>
      <c r="DC152">
        <v>0</v>
      </c>
      <c r="DJ152" t="s">
        <v>471</v>
      </c>
      <c r="DK152" t="s">
        <v>3364</v>
      </c>
      <c r="DM152" t="s">
        <v>473</v>
      </c>
      <c r="EI152" t="s">
        <v>449</v>
      </c>
      <c r="EJ152" t="s">
        <v>602</v>
      </c>
      <c r="EK152" t="s">
        <v>449</v>
      </c>
      <c r="EL152" t="s">
        <v>1348</v>
      </c>
      <c r="EM152" t="s">
        <v>402</v>
      </c>
      <c r="EN152">
        <v>0</v>
      </c>
      <c r="EO152">
        <v>0</v>
      </c>
    </row>
    <row r="153" spans="1:262" x14ac:dyDescent="0.25">
      <c r="A153" t="s">
        <v>3365</v>
      </c>
      <c r="B153" t="str">
        <f>"801542007744"</f>
        <v>801542007744</v>
      </c>
      <c r="C153" t="s">
        <v>3366</v>
      </c>
      <c r="D153" t="s">
        <v>1076</v>
      </c>
      <c r="E153" t="s">
        <v>647</v>
      </c>
      <c r="F153" t="s">
        <v>3367</v>
      </c>
      <c r="G153" t="str">
        <f>"72"</f>
        <v>72</v>
      </c>
      <c r="H153" t="str">
        <f>"35"</f>
        <v>35</v>
      </c>
      <c r="I153" t="str">
        <f>"42"</f>
        <v>42</v>
      </c>
      <c r="J153" t="str">
        <f>"178.65"</f>
        <v>178.65</v>
      </c>
      <c r="K153" t="s">
        <v>1078</v>
      </c>
      <c r="N153" t="s">
        <v>372</v>
      </c>
      <c r="T153" t="s">
        <v>402</v>
      </c>
      <c r="U153" t="s">
        <v>373</v>
      </c>
      <c r="V153" t="s">
        <v>3368</v>
      </c>
      <c r="W153" t="s">
        <v>3369</v>
      </c>
      <c r="X153" t="s">
        <v>3370</v>
      </c>
      <c r="Y153" t="s">
        <v>3371</v>
      </c>
      <c r="Z153" t="s">
        <v>3372</v>
      </c>
      <c r="AA153" t="s">
        <v>3373</v>
      </c>
      <c r="AB153" t="s">
        <v>3374</v>
      </c>
      <c r="AC153" t="s">
        <v>3375</v>
      </c>
      <c r="AD153" t="s">
        <v>3376</v>
      </c>
      <c r="AE153" t="s">
        <v>3377</v>
      </c>
      <c r="AF153" t="s">
        <v>3378</v>
      </c>
      <c r="AG153" t="s">
        <v>3379</v>
      </c>
      <c r="AH153" t="s">
        <v>3380</v>
      </c>
      <c r="AI153" t="s">
        <v>3381</v>
      </c>
      <c r="AJ153" t="s">
        <v>3382</v>
      </c>
      <c r="BA153" t="str">
        <f>"1749"</f>
        <v>1749</v>
      </c>
      <c r="BB153" t="str">
        <f>"735"</f>
        <v>735</v>
      </c>
      <c r="BC153" t="s">
        <v>949</v>
      </c>
      <c r="BD153" t="str">
        <f>"2"</f>
        <v>2</v>
      </c>
      <c r="BE153" t="s">
        <v>1089</v>
      </c>
      <c r="BF153" t="str">
        <f>"75.25"</f>
        <v>75.25</v>
      </c>
      <c r="BG153" t="str">
        <f>"6"</f>
        <v>6</v>
      </c>
      <c r="BH153" t="str">
        <f>"39"</f>
        <v>39</v>
      </c>
      <c r="BI153" t="str">
        <f>"110.01"</f>
        <v>110.01</v>
      </c>
      <c r="BJ153" t="s">
        <v>1090</v>
      </c>
      <c r="BK153" t="str">
        <f>"45.5"</f>
        <v>45.5</v>
      </c>
      <c r="BL153" t="str">
        <f>"15.25"</f>
        <v>15.25</v>
      </c>
      <c r="BM153" t="str">
        <f>"24.75"</f>
        <v>24.75</v>
      </c>
      <c r="BN153" t="str">
        <f>"92.5"</f>
        <v>92.5</v>
      </c>
      <c r="BY153" t="str">
        <f>"20.13"</f>
        <v>20.13</v>
      </c>
      <c r="BZ153" t="str">
        <f>"0.57"</f>
        <v>0.57</v>
      </c>
      <c r="CA153" t="s">
        <v>390</v>
      </c>
      <c r="CR153" t="s">
        <v>400</v>
      </c>
      <c r="CS153">
        <v>0</v>
      </c>
      <c r="CT153" t="s">
        <v>400</v>
      </c>
      <c r="CV153">
        <v>0</v>
      </c>
      <c r="CX153" t="s">
        <v>667</v>
      </c>
      <c r="CY153" t="s">
        <v>400</v>
      </c>
      <c r="DA153">
        <v>0</v>
      </c>
      <c r="DB153">
        <v>0</v>
      </c>
      <c r="DC153">
        <v>0</v>
      </c>
      <c r="DI153">
        <v>6</v>
      </c>
      <c r="DJ153" t="s">
        <v>408</v>
      </c>
      <c r="DK153" t="s">
        <v>1091</v>
      </c>
      <c r="DM153" t="s">
        <v>669</v>
      </c>
      <c r="DY153" t="s">
        <v>3383</v>
      </c>
      <c r="DZ153" t="s">
        <v>3384</v>
      </c>
      <c r="EI153" t="s">
        <v>3385</v>
      </c>
      <c r="EJ153" t="s">
        <v>3386</v>
      </c>
      <c r="EK153" t="s">
        <v>3384</v>
      </c>
      <c r="EL153" t="s">
        <v>2400</v>
      </c>
      <c r="EM153" t="s">
        <v>402</v>
      </c>
      <c r="EN153">
        <v>0</v>
      </c>
      <c r="EO153">
        <v>0</v>
      </c>
      <c r="EV153" t="s">
        <v>2510</v>
      </c>
      <c r="EW153" t="s">
        <v>3386</v>
      </c>
      <c r="EX153" t="s">
        <v>445</v>
      </c>
      <c r="IG153" t="s">
        <v>3387</v>
      </c>
    </row>
    <row r="154" spans="1:262" x14ac:dyDescent="0.25">
      <c r="A154" t="s">
        <v>3388</v>
      </c>
      <c r="B154" t="str">
        <f>"801542007775"</f>
        <v>801542007775</v>
      </c>
      <c r="C154" t="s">
        <v>3366</v>
      </c>
      <c r="D154" t="s">
        <v>1076</v>
      </c>
      <c r="E154" t="s">
        <v>647</v>
      </c>
      <c r="F154" t="s">
        <v>3367</v>
      </c>
      <c r="G154" t="str">
        <f>"72"</f>
        <v>72</v>
      </c>
      <c r="H154" t="str">
        <f>"35"</f>
        <v>35</v>
      </c>
      <c r="I154" t="str">
        <f>"36"</f>
        <v>36</v>
      </c>
      <c r="J154" t="str">
        <f>"177.65"</f>
        <v>177.65</v>
      </c>
      <c r="K154" t="s">
        <v>1078</v>
      </c>
      <c r="N154" t="s">
        <v>372</v>
      </c>
      <c r="T154" t="s">
        <v>373</v>
      </c>
      <c r="U154" t="s">
        <v>373</v>
      </c>
      <c r="V154" t="s">
        <v>3389</v>
      </c>
      <c r="W154" t="s">
        <v>3390</v>
      </c>
      <c r="X154" t="s">
        <v>3391</v>
      </c>
      <c r="Y154" t="s">
        <v>3392</v>
      </c>
      <c r="Z154" t="s">
        <v>3393</v>
      </c>
      <c r="AA154" t="s">
        <v>3394</v>
      </c>
      <c r="AB154" t="s">
        <v>3395</v>
      </c>
      <c r="AC154" t="s">
        <v>3396</v>
      </c>
      <c r="AD154" t="s">
        <v>3397</v>
      </c>
      <c r="AE154" t="s">
        <v>3398</v>
      </c>
      <c r="AF154" t="s">
        <v>3399</v>
      </c>
      <c r="AG154" t="s">
        <v>3400</v>
      </c>
      <c r="AH154" t="s">
        <v>3401</v>
      </c>
      <c r="AI154" t="s">
        <v>3402</v>
      </c>
      <c r="AJ154" t="s">
        <v>3403</v>
      </c>
      <c r="BA154" t="str">
        <f>"1649"</f>
        <v>1649</v>
      </c>
      <c r="BB154" t="str">
        <f>"695"</f>
        <v>695</v>
      </c>
      <c r="BC154" t="s">
        <v>949</v>
      </c>
      <c r="BD154" t="str">
        <f>"2"</f>
        <v>2</v>
      </c>
      <c r="BE154" t="s">
        <v>1089</v>
      </c>
      <c r="BF154" t="str">
        <f>"75.25"</f>
        <v>75.25</v>
      </c>
      <c r="BG154" t="str">
        <f>"6"</f>
        <v>6</v>
      </c>
      <c r="BH154" t="str">
        <f>"39"</f>
        <v>39</v>
      </c>
      <c r="BI154" t="str">
        <f>"110.01"</f>
        <v>110.01</v>
      </c>
      <c r="BJ154" t="s">
        <v>1090</v>
      </c>
      <c r="BK154" t="str">
        <f>"39"</f>
        <v>39</v>
      </c>
      <c r="BL154" t="str">
        <f>"15.5"</f>
        <v>15.5</v>
      </c>
      <c r="BM154" t="str">
        <f>"25"</f>
        <v>25</v>
      </c>
      <c r="BN154" t="str">
        <f>"82.89"</f>
        <v>82.89</v>
      </c>
      <c r="BY154" t="str">
        <f>"18.96"</f>
        <v>18.96</v>
      </c>
      <c r="BZ154" t="str">
        <f>"0.537"</f>
        <v>0.537</v>
      </c>
      <c r="CA154" t="s">
        <v>495</v>
      </c>
      <c r="CR154" t="s">
        <v>400</v>
      </c>
      <c r="CS154">
        <v>0</v>
      </c>
      <c r="CT154" t="s">
        <v>400</v>
      </c>
      <c r="CV154">
        <v>0</v>
      </c>
      <c r="CX154" t="s">
        <v>667</v>
      </c>
      <c r="CY154" t="s">
        <v>400</v>
      </c>
      <c r="DA154">
        <v>0</v>
      </c>
      <c r="DB154">
        <v>0</v>
      </c>
      <c r="DC154">
        <v>0</v>
      </c>
      <c r="DI154">
        <v>6</v>
      </c>
      <c r="DJ154" t="s">
        <v>408</v>
      </c>
      <c r="DK154" t="s">
        <v>1091</v>
      </c>
      <c r="DM154" t="s">
        <v>669</v>
      </c>
      <c r="DY154" t="s">
        <v>3383</v>
      </c>
      <c r="DZ154" t="s">
        <v>3384</v>
      </c>
      <c r="EI154" t="s">
        <v>3385</v>
      </c>
      <c r="EJ154" t="s">
        <v>3386</v>
      </c>
      <c r="EK154" t="s">
        <v>3384</v>
      </c>
      <c r="EL154" t="s">
        <v>2400</v>
      </c>
      <c r="EM154" t="s">
        <v>402</v>
      </c>
      <c r="EN154">
        <v>0</v>
      </c>
      <c r="EO154">
        <v>0</v>
      </c>
      <c r="EV154" t="s">
        <v>2510</v>
      </c>
      <c r="EW154" t="s">
        <v>3386</v>
      </c>
      <c r="EX154" t="s">
        <v>445</v>
      </c>
      <c r="IG154" t="s">
        <v>3387</v>
      </c>
    </row>
    <row r="155" spans="1:262" x14ac:dyDescent="0.25">
      <c r="A155" t="s">
        <v>3404</v>
      </c>
      <c r="B155" t="str">
        <f>"801542092214"</f>
        <v>801542092214</v>
      </c>
      <c r="C155" t="s">
        <v>3405</v>
      </c>
      <c r="D155" t="s">
        <v>3406</v>
      </c>
      <c r="E155" t="s">
        <v>3407</v>
      </c>
      <c r="G155" t="str">
        <f>"40.75"</f>
        <v>40.75</v>
      </c>
      <c r="H155" t="str">
        <f>"20"</f>
        <v>20</v>
      </c>
      <c r="I155" t="str">
        <f>"43.25"</f>
        <v>43.25</v>
      </c>
      <c r="J155" t="str">
        <f>"153"</f>
        <v>153</v>
      </c>
      <c r="K155" t="s">
        <v>3408</v>
      </c>
      <c r="N155" t="s">
        <v>933</v>
      </c>
      <c r="T155" t="s">
        <v>373</v>
      </c>
      <c r="U155" t="s">
        <v>373</v>
      </c>
      <c r="V155" t="s">
        <v>3409</v>
      </c>
      <c r="W155" t="s">
        <v>3410</v>
      </c>
      <c r="X155" t="s">
        <v>3411</v>
      </c>
      <c r="Y155" t="s">
        <v>3412</v>
      </c>
      <c r="Z155" t="s">
        <v>3413</v>
      </c>
      <c r="AA155" t="s">
        <v>3414</v>
      </c>
      <c r="AB155" t="s">
        <v>3415</v>
      </c>
      <c r="AC155" t="s">
        <v>3416</v>
      </c>
      <c r="AD155" t="s">
        <v>3417</v>
      </c>
      <c r="AE155" t="s">
        <v>3418</v>
      </c>
      <c r="AF155" t="s">
        <v>3419</v>
      </c>
      <c r="AG155" t="s">
        <v>3420</v>
      </c>
      <c r="AH155" t="s">
        <v>3421</v>
      </c>
      <c r="BA155" t="str">
        <f>"1699"</f>
        <v>1699</v>
      </c>
      <c r="BB155" t="str">
        <f>"715"</f>
        <v>715</v>
      </c>
      <c r="BC155" t="s">
        <v>949</v>
      </c>
      <c r="BD155" t="str">
        <f>"1"</f>
        <v>1</v>
      </c>
      <c r="BE155" t="s">
        <v>389</v>
      </c>
      <c r="BF155" t="str">
        <f>"42.5"</f>
        <v>42.5</v>
      </c>
      <c r="BG155" t="str">
        <f>"23.5"</f>
        <v>23.5</v>
      </c>
      <c r="BH155" t="str">
        <f>"41.5"</f>
        <v>41.5</v>
      </c>
      <c r="BI155" t="str">
        <f>"180.78"</f>
        <v>180.78</v>
      </c>
      <c r="BY155" t="str">
        <f>"23.98"</f>
        <v>23.98</v>
      </c>
      <c r="BZ155" t="str">
        <f>"0.679"</f>
        <v>0.679</v>
      </c>
      <c r="CA155" t="s">
        <v>431</v>
      </c>
      <c r="CB155" t="s">
        <v>396</v>
      </c>
      <c r="CC155" t="s">
        <v>1040</v>
      </c>
      <c r="CD155" t="s">
        <v>396</v>
      </c>
      <c r="CE155" t="s">
        <v>396</v>
      </c>
      <c r="CF155" t="s">
        <v>474</v>
      </c>
      <c r="CG155" t="s">
        <v>396</v>
      </c>
      <c r="CR155" t="s">
        <v>400</v>
      </c>
      <c r="CS155">
        <v>0</v>
      </c>
      <c r="CT155" t="s">
        <v>400</v>
      </c>
      <c r="CV155">
        <v>1</v>
      </c>
      <c r="CW155" t="s">
        <v>402</v>
      </c>
      <c r="CX155" t="s">
        <v>953</v>
      </c>
      <c r="CY155" t="s">
        <v>3422</v>
      </c>
      <c r="DA155">
        <v>18.14</v>
      </c>
      <c r="DB155">
        <v>40</v>
      </c>
      <c r="DC155">
        <v>1</v>
      </c>
      <c r="DK155" t="s">
        <v>3423</v>
      </c>
      <c r="DM155" t="s">
        <v>473</v>
      </c>
      <c r="DX155" t="s">
        <v>446</v>
      </c>
      <c r="EM155" t="s">
        <v>402</v>
      </c>
      <c r="EN155">
        <v>2</v>
      </c>
      <c r="EZ155" t="s">
        <v>1157</v>
      </c>
      <c r="FA155" t="s">
        <v>1040</v>
      </c>
      <c r="FB155" t="s">
        <v>1554</v>
      </c>
      <c r="FC155" t="s">
        <v>396</v>
      </c>
      <c r="FD155" t="s">
        <v>1040</v>
      </c>
      <c r="FE155" t="s">
        <v>396</v>
      </c>
      <c r="FF155">
        <v>12</v>
      </c>
      <c r="FI155">
        <v>2</v>
      </c>
      <c r="FJ155" t="s">
        <v>960</v>
      </c>
      <c r="FK155" t="s">
        <v>961</v>
      </c>
      <c r="FL155">
        <v>1</v>
      </c>
      <c r="FM155" t="s">
        <v>402</v>
      </c>
      <c r="FO155" t="s">
        <v>984</v>
      </c>
      <c r="GB155" t="s">
        <v>396</v>
      </c>
      <c r="GC155" t="s">
        <v>608</v>
      </c>
      <c r="GD155" t="s">
        <v>396</v>
      </c>
      <c r="JA155" t="s">
        <v>2510</v>
      </c>
      <c r="JB155" t="s">
        <v>402</v>
      </c>
    </row>
    <row r="156" spans="1:262" x14ac:dyDescent="0.25">
      <c r="A156" t="s">
        <v>3424</v>
      </c>
      <c r="B156" t="str">
        <f>"801542686406"</f>
        <v>801542686406</v>
      </c>
      <c r="C156" t="s">
        <v>3425</v>
      </c>
      <c r="D156" t="s">
        <v>1098</v>
      </c>
      <c r="E156" t="s">
        <v>459</v>
      </c>
      <c r="G156" t="str">
        <f>"14"</f>
        <v>14</v>
      </c>
      <c r="H156" t="str">
        <f>"14"</f>
        <v>14</v>
      </c>
      <c r="I156" t="str">
        <f>"18"</f>
        <v>18</v>
      </c>
      <c r="J156" t="str">
        <f>"31.2"</f>
        <v>31.2</v>
      </c>
      <c r="K156" t="s">
        <v>3426</v>
      </c>
      <c r="N156" t="s">
        <v>1101</v>
      </c>
      <c r="T156" t="s">
        <v>373</v>
      </c>
      <c r="U156" t="s">
        <v>373</v>
      </c>
      <c r="V156" t="s">
        <v>3427</v>
      </c>
      <c r="W156" t="s">
        <v>3428</v>
      </c>
      <c r="X156" t="s">
        <v>3429</v>
      </c>
      <c r="Y156" t="s">
        <v>3430</v>
      </c>
      <c r="Z156" t="s">
        <v>3431</v>
      </c>
      <c r="AA156" t="s">
        <v>3432</v>
      </c>
      <c r="AB156" t="s">
        <v>3433</v>
      </c>
      <c r="AC156" t="s">
        <v>3434</v>
      </c>
      <c r="AD156" t="s">
        <v>3435</v>
      </c>
      <c r="AE156" t="s">
        <v>3436</v>
      </c>
      <c r="BA156" t="str">
        <f>"349"</f>
        <v>349</v>
      </c>
      <c r="BB156" t="str">
        <f>"150"</f>
        <v>150</v>
      </c>
      <c r="BC156" t="s">
        <v>949</v>
      </c>
      <c r="BD156" t="str">
        <f>"1"</f>
        <v>1</v>
      </c>
      <c r="BE156" t="s">
        <v>389</v>
      </c>
      <c r="BF156" t="str">
        <f>"18.5"</f>
        <v>18.5</v>
      </c>
      <c r="BG156" t="str">
        <f>"19.5"</f>
        <v>19.5</v>
      </c>
      <c r="BH156" t="str">
        <f>"23.75"</f>
        <v>23.75</v>
      </c>
      <c r="BI156" t="str">
        <f>"43.65"</f>
        <v>43.65</v>
      </c>
      <c r="BY156" t="str">
        <f>"4.94"</f>
        <v>4.94</v>
      </c>
      <c r="BZ156" t="str">
        <f>"0.14"</f>
        <v>0.14</v>
      </c>
      <c r="CA156" t="s">
        <v>431</v>
      </c>
      <c r="CR156" t="s">
        <v>400</v>
      </c>
      <c r="CS156">
        <v>0</v>
      </c>
      <c r="CT156" t="s">
        <v>400</v>
      </c>
      <c r="CV156">
        <v>0</v>
      </c>
      <c r="CY156" t="s">
        <v>400</v>
      </c>
      <c r="DC156">
        <v>0</v>
      </c>
      <c r="DJ156" t="s">
        <v>1132</v>
      </c>
      <c r="DK156" t="s">
        <v>3437</v>
      </c>
      <c r="DM156" t="s">
        <v>473</v>
      </c>
      <c r="EI156" t="s">
        <v>1039</v>
      </c>
      <c r="EJ156" t="s">
        <v>449</v>
      </c>
      <c r="EK156" t="s">
        <v>1039</v>
      </c>
      <c r="EN156">
        <v>0</v>
      </c>
      <c r="EO156">
        <v>0</v>
      </c>
    </row>
    <row r="157" spans="1:262" x14ac:dyDescent="0.25">
      <c r="A157" t="s">
        <v>3438</v>
      </c>
      <c r="B157" t="str">
        <f>"801542685935"</f>
        <v>801542685935</v>
      </c>
      <c r="C157" t="s">
        <v>3439</v>
      </c>
      <c r="D157" t="s">
        <v>1118</v>
      </c>
      <c r="E157" t="s">
        <v>459</v>
      </c>
      <c r="G157" t="str">
        <f>"14"</f>
        <v>14</v>
      </c>
      <c r="H157" t="str">
        <f>"14"</f>
        <v>14</v>
      </c>
      <c r="I157" t="str">
        <f>"18"</f>
        <v>18</v>
      </c>
      <c r="J157" t="str">
        <f>"12.68"</f>
        <v>12.68</v>
      </c>
      <c r="K157" t="s">
        <v>3440</v>
      </c>
      <c r="N157" t="s">
        <v>1121</v>
      </c>
      <c r="T157" t="s">
        <v>373</v>
      </c>
      <c r="U157" t="s">
        <v>373</v>
      </c>
      <c r="V157" t="s">
        <v>3441</v>
      </c>
      <c r="W157" t="s">
        <v>3442</v>
      </c>
      <c r="X157" t="s">
        <v>3443</v>
      </c>
      <c r="Y157" t="s">
        <v>3444</v>
      </c>
      <c r="Z157" t="s">
        <v>3445</v>
      </c>
      <c r="AA157" t="s">
        <v>3446</v>
      </c>
      <c r="AB157" t="s">
        <v>3447</v>
      </c>
      <c r="AC157" t="s">
        <v>3448</v>
      </c>
      <c r="AD157" t="s">
        <v>3449</v>
      </c>
      <c r="AE157" t="s">
        <v>3450</v>
      </c>
      <c r="AF157" t="s">
        <v>3451</v>
      </c>
      <c r="BA157" t="str">
        <f>"279"</f>
        <v>279</v>
      </c>
      <c r="BB157" t="str">
        <f>"120"</f>
        <v>120</v>
      </c>
      <c r="BC157" t="s">
        <v>949</v>
      </c>
      <c r="BD157" t="str">
        <f>"1"</f>
        <v>1</v>
      </c>
      <c r="BE157" t="s">
        <v>389</v>
      </c>
      <c r="BF157" t="str">
        <f>"16.75"</f>
        <v>16.75</v>
      </c>
      <c r="BG157" t="str">
        <f>"16"</f>
        <v>16</v>
      </c>
      <c r="BH157" t="str">
        <f>"20.5"</f>
        <v>20.5</v>
      </c>
      <c r="BI157" t="str">
        <f>"16.71"</f>
        <v>16.71</v>
      </c>
      <c r="BY157" t="str">
        <f>"3.18"</f>
        <v>3.18</v>
      </c>
      <c r="BZ157" t="str">
        <f>"0.09"</f>
        <v>0.09</v>
      </c>
      <c r="CA157" t="s">
        <v>431</v>
      </c>
      <c r="CR157" t="s">
        <v>400</v>
      </c>
      <c r="CS157">
        <v>0</v>
      </c>
      <c r="CT157" t="s">
        <v>400</v>
      </c>
      <c r="CV157">
        <v>0</v>
      </c>
      <c r="CY157" t="s">
        <v>400</v>
      </c>
      <c r="DC157">
        <v>0</v>
      </c>
      <c r="DJ157" t="s">
        <v>471</v>
      </c>
      <c r="DK157" t="s">
        <v>3452</v>
      </c>
      <c r="DM157" t="s">
        <v>473</v>
      </c>
      <c r="DX157" t="s">
        <v>958</v>
      </c>
      <c r="EI157" t="s">
        <v>2908</v>
      </c>
      <c r="EJ157" t="s">
        <v>958</v>
      </c>
      <c r="EK157" t="s">
        <v>2908</v>
      </c>
      <c r="EL157" t="s">
        <v>1852</v>
      </c>
      <c r="EN157">
        <v>0</v>
      </c>
      <c r="EO157">
        <v>0</v>
      </c>
      <c r="EX157" t="s">
        <v>637</v>
      </c>
    </row>
    <row r="158" spans="1:262" x14ac:dyDescent="0.25">
      <c r="A158" t="s">
        <v>3453</v>
      </c>
      <c r="B158" t="str">
        <f>"801542720964"</f>
        <v>801542720964</v>
      </c>
      <c r="C158" t="s">
        <v>3454</v>
      </c>
      <c r="D158" t="s">
        <v>1118</v>
      </c>
      <c r="E158" t="s">
        <v>459</v>
      </c>
      <c r="G158" t="str">
        <f>"20"</f>
        <v>20</v>
      </c>
      <c r="H158" t="str">
        <f>"20"</f>
        <v>20</v>
      </c>
      <c r="I158" t="str">
        <f>"23.5"</f>
        <v>23.5</v>
      </c>
      <c r="J158" t="str">
        <f>"17.64"</f>
        <v>17.64</v>
      </c>
      <c r="K158" t="s">
        <v>3440</v>
      </c>
      <c r="N158" t="s">
        <v>1121</v>
      </c>
      <c r="T158" t="s">
        <v>373</v>
      </c>
      <c r="U158" t="s">
        <v>373</v>
      </c>
      <c r="V158" t="s">
        <v>3455</v>
      </c>
      <c r="W158" t="s">
        <v>3456</v>
      </c>
      <c r="X158" t="s">
        <v>3457</v>
      </c>
      <c r="Y158" t="s">
        <v>3458</v>
      </c>
      <c r="Z158" t="s">
        <v>3459</v>
      </c>
      <c r="AA158" t="s">
        <v>3460</v>
      </c>
      <c r="AB158" t="s">
        <v>3461</v>
      </c>
      <c r="AC158" t="s">
        <v>3462</v>
      </c>
      <c r="AD158" t="s">
        <v>3463</v>
      </c>
      <c r="AE158" t="s">
        <v>3464</v>
      </c>
      <c r="BA158" t="str">
        <f>"399"</f>
        <v>399</v>
      </c>
      <c r="BB158" t="str">
        <f>"170"</f>
        <v>170</v>
      </c>
      <c r="BC158" t="s">
        <v>949</v>
      </c>
      <c r="BD158" t="str">
        <f>"1"</f>
        <v>1</v>
      </c>
      <c r="BE158" t="s">
        <v>389</v>
      </c>
      <c r="BF158" t="str">
        <f>"21"</f>
        <v>21</v>
      </c>
      <c r="BG158" t="str">
        <f>"21"</f>
        <v>21</v>
      </c>
      <c r="BH158" t="str">
        <f>"27"</f>
        <v>27</v>
      </c>
      <c r="BI158" t="str">
        <f>"27.12"</f>
        <v>27.12</v>
      </c>
      <c r="BY158" t="str">
        <f>"6.89"</f>
        <v>6.89</v>
      </c>
      <c r="BZ158" t="str">
        <f>"0.195"</f>
        <v>0.195</v>
      </c>
      <c r="CA158" t="s">
        <v>431</v>
      </c>
      <c r="CR158" t="s">
        <v>400</v>
      </c>
      <c r="CS158">
        <v>0</v>
      </c>
      <c r="CT158" t="s">
        <v>400</v>
      </c>
      <c r="CV158">
        <v>0</v>
      </c>
      <c r="CY158" t="s">
        <v>400</v>
      </c>
      <c r="DC158">
        <v>0</v>
      </c>
      <c r="DJ158" t="s">
        <v>471</v>
      </c>
      <c r="DK158" t="s">
        <v>3465</v>
      </c>
      <c r="DM158" t="s">
        <v>473</v>
      </c>
      <c r="DX158" t="s">
        <v>2078</v>
      </c>
      <c r="EI158" t="s">
        <v>474</v>
      </c>
      <c r="EJ158" t="s">
        <v>1510</v>
      </c>
      <c r="EK158" t="s">
        <v>474</v>
      </c>
      <c r="EL158" t="s">
        <v>3466</v>
      </c>
      <c r="EN158">
        <v>0</v>
      </c>
      <c r="EO158">
        <v>0</v>
      </c>
      <c r="EX158" t="s">
        <v>827</v>
      </c>
    </row>
    <row r="159" spans="1:262" x14ac:dyDescent="0.25">
      <c r="A159" t="s">
        <v>3467</v>
      </c>
      <c r="B159" t="str">
        <f>"801542687151"</f>
        <v>801542687151</v>
      </c>
      <c r="C159" t="s">
        <v>3468</v>
      </c>
      <c r="D159" t="s">
        <v>1118</v>
      </c>
      <c r="E159" t="s">
        <v>647</v>
      </c>
      <c r="F159" t="s">
        <v>648</v>
      </c>
      <c r="G159" t="str">
        <f>"42"</f>
        <v>42</v>
      </c>
      <c r="H159" t="str">
        <f>"42"</f>
        <v>42</v>
      </c>
      <c r="I159" t="str">
        <f>"31"</f>
        <v>31</v>
      </c>
      <c r="J159" t="str">
        <f>"74.96"</f>
        <v>74.96</v>
      </c>
      <c r="K159" t="s">
        <v>3440</v>
      </c>
      <c r="N159" t="s">
        <v>1121</v>
      </c>
      <c r="T159" t="s">
        <v>373</v>
      </c>
      <c r="U159" t="s">
        <v>373</v>
      </c>
      <c r="V159" t="s">
        <v>3469</v>
      </c>
      <c r="W159" t="s">
        <v>3470</v>
      </c>
      <c r="X159" t="s">
        <v>3471</v>
      </c>
      <c r="Y159" t="s">
        <v>3472</v>
      </c>
      <c r="Z159" t="s">
        <v>3473</v>
      </c>
      <c r="AA159" t="s">
        <v>3474</v>
      </c>
      <c r="AB159" t="s">
        <v>3475</v>
      </c>
      <c r="AC159" t="s">
        <v>3476</v>
      </c>
      <c r="AD159" t="s">
        <v>3477</v>
      </c>
      <c r="AE159" t="s">
        <v>3478</v>
      </c>
      <c r="AF159" t="s">
        <v>3479</v>
      </c>
      <c r="AG159" t="s">
        <v>3480</v>
      </c>
      <c r="BA159" t="str">
        <f>"1299"</f>
        <v>1299</v>
      </c>
      <c r="BB159" t="str">
        <f>"550"</f>
        <v>550</v>
      </c>
      <c r="BC159" t="s">
        <v>949</v>
      </c>
      <c r="BD159" t="str">
        <f>"2"</f>
        <v>2</v>
      </c>
      <c r="BE159" t="s">
        <v>1090</v>
      </c>
      <c r="BF159" t="str">
        <f>"23.5"</f>
        <v>23.5</v>
      </c>
      <c r="BG159" t="str">
        <f>"23.5"</f>
        <v>23.5</v>
      </c>
      <c r="BH159" t="str">
        <f>"32.75"</f>
        <v>32.75</v>
      </c>
      <c r="BI159" t="str">
        <f>"36.38"</f>
        <v>36.38</v>
      </c>
      <c r="BJ159" t="s">
        <v>1089</v>
      </c>
      <c r="BK159" t="str">
        <f>"43.7"</f>
        <v>43.7</v>
      </c>
      <c r="BL159" t="str">
        <f>"3.25"</f>
        <v>3.25</v>
      </c>
      <c r="BM159" t="str">
        <f>"44"</f>
        <v>44</v>
      </c>
      <c r="BN159" t="str">
        <f>"59.79"</f>
        <v>59.79</v>
      </c>
      <c r="BY159" t="str">
        <f>"14.06"</f>
        <v>14.06</v>
      </c>
      <c r="BZ159" t="str">
        <f>"0.398"</f>
        <v>0.398</v>
      </c>
      <c r="CA159" t="s">
        <v>431</v>
      </c>
      <c r="CR159" t="s">
        <v>400</v>
      </c>
      <c r="CS159">
        <v>0</v>
      </c>
      <c r="CT159" t="s">
        <v>400</v>
      </c>
      <c r="CV159">
        <v>0</v>
      </c>
      <c r="CY159" t="s">
        <v>400</v>
      </c>
      <c r="DA159">
        <v>0</v>
      </c>
      <c r="DB159">
        <v>0</v>
      </c>
      <c r="DC159">
        <v>0</v>
      </c>
      <c r="DI159">
        <v>4</v>
      </c>
      <c r="DJ159" t="s">
        <v>471</v>
      </c>
      <c r="DK159" t="s">
        <v>3481</v>
      </c>
      <c r="DM159" t="s">
        <v>473</v>
      </c>
      <c r="DX159" t="s">
        <v>3482</v>
      </c>
      <c r="EI159" t="s">
        <v>1491</v>
      </c>
      <c r="EJ159" t="s">
        <v>1491</v>
      </c>
      <c r="EK159" t="s">
        <v>3482</v>
      </c>
      <c r="EL159" t="s">
        <v>3483</v>
      </c>
      <c r="EM159" t="s">
        <v>402</v>
      </c>
      <c r="EN159">
        <v>0</v>
      </c>
      <c r="EO159">
        <v>0</v>
      </c>
      <c r="EW159" t="s">
        <v>1853</v>
      </c>
      <c r="EX159" t="s">
        <v>3484</v>
      </c>
      <c r="EY159" t="s">
        <v>1115</v>
      </c>
    </row>
    <row r="160" spans="1:262" x14ac:dyDescent="0.25">
      <c r="A160" t="s">
        <v>3485</v>
      </c>
      <c r="B160" t="str">
        <f>"801542024178"</f>
        <v>801542024178</v>
      </c>
      <c r="C160" t="s">
        <v>3486</v>
      </c>
      <c r="D160" t="s">
        <v>3487</v>
      </c>
      <c r="E160" t="s">
        <v>2006</v>
      </c>
      <c r="F160" t="s">
        <v>2981</v>
      </c>
      <c r="G160" t="str">
        <f>"42.5"</f>
        <v>42.5</v>
      </c>
      <c r="H160" t="str">
        <f>"79"</f>
        <v>79</v>
      </c>
      <c r="I160" t="str">
        <f>"46.5"</f>
        <v>46.5</v>
      </c>
      <c r="J160" t="str">
        <f>"109.04"</f>
        <v>109.04</v>
      </c>
      <c r="K160" t="s">
        <v>3488</v>
      </c>
      <c r="L160" t="s">
        <v>3489</v>
      </c>
      <c r="N160" t="s">
        <v>933</v>
      </c>
      <c r="O160" t="s">
        <v>3490</v>
      </c>
      <c r="T160" t="s">
        <v>373</v>
      </c>
      <c r="U160" t="s">
        <v>373</v>
      </c>
      <c r="V160" t="s">
        <v>3491</v>
      </c>
      <c r="W160" t="s">
        <v>3492</v>
      </c>
      <c r="X160" t="s">
        <v>3493</v>
      </c>
      <c r="Y160" t="s">
        <v>3494</v>
      </c>
      <c r="Z160" t="s">
        <v>3495</v>
      </c>
      <c r="AA160" t="s">
        <v>3496</v>
      </c>
      <c r="AB160" t="s">
        <v>3497</v>
      </c>
      <c r="AC160" t="s">
        <v>3498</v>
      </c>
      <c r="AD160" t="s">
        <v>3499</v>
      </c>
      <c r="AE160" t="s">
        <v>3500</v>
      </c>
      <c r="AF160" t="s">
        <v>3501</v>
      </c>
      <c r="AG160" t="s">
        <v>3502</v>
      </c>
      <c r="AH160" t="s">
        <v>3503</v>
      </c>
      <c r="AI160" t="s">
        <v>3504</v>
      </c>
      <c r="AJ160" t="s">
        <v>3505</v>
      </c>
      <c r="AK160" t="s">
        <v>3506</v>
      </c>
      <c r="AL160" t="s">
        <v>3507</v>
      </c>
      <c r="BA160" t="str">
        <f>"1349"</f>
        <v>1349</v>
      </c>
      <c r="BB160" t="str">
        <f>"570"</f>
        <v>570</v>
      </c>
      <c r="BC160" t="s">
        <v>949</v>
      </c>
      <c r="BD160" t="str">
        <f>"2"</f>
        <v>2</v>
      </c>
      <c r="BE160" t="s">
        <v>3508</v>
      </c>
      <c r="BF160" t="str">
        <f>"47.25"</f>
        <v>47.25</v>
      </c>
      <c r="BG160" t="str">
        <f>"7.5"</f>
        <v>7.5</v>
      </c>
      <c r="BH160" t="str">
        <f>"50.75"</f>
        <v>50.75</v>
      </c>
      <c r="BI160" t="str">
        <f>"56.04"</f>
        <v>56.04</v>
      </c>
      <c r="BJ160" t="s">
        <v>3509</v>
      </c>
      <c r="BK160" t="str">
        <f>"79.5"</f>
        <v>79.5</v>
      </c>
      <c r="BL160" t="str">
        <f>"8.5"</f>
        <v>8.5</v>
      </c>
      <c r="BM160" t="str">
        <f>"14.5"</f>
        <v>14.5</v>
      </c>
      <c r="BN160" t="str">
        <f>"72.14"</f>
        <v>72.14</v>
      </c>
      <c r="BY160" t="str">
        <f>"16.1"</f>
        <v>16.1</v>
      </c>
      <c r="BZ160" t="str">
        <f>"0.456"</f>
        <v>0.456</v>
      </c>
      <c r="CA160" t="s">
        <v>390</v>
      </c>
      <c r="CR160" t="s">
        <v>400</v>
      </c>
      <c r="CS160">
        <v>0</v>
      </c>
      <c r="CT160" t="s">
        <v>400</v>
      </c>
      <c r="CV160">
        <v>0</v>
      </c>
      <c r="CX160" t="s">
        <v>667</v>
      </c>
      <c r="CY160" t="s">
        <v>400</v>
      </c>
      <c r="DA160">
        <v>0</v>
      </c>
      <c r="DB160">
        <v>0</v>
      </c>
      <c r="DC160">
        <v>0</v>
      </c>
      <c r="DK160" t="s">
        <v>3510</v>
      </c>
      <c r="DM160" t="s">
        <v>2028</v>
      </c>
      <c r="EN160">
        <v>0</v>
      </c>
      <c r="HN160" t="s">
        <v>3511</v>
      </c>
      <c r="HO160" t="s">
        <v>3511</v>
      </c>
      <c r="HP160" t="s">
        <v>3511</v>
      </c>
      <c r="HQ160" t="s">
        <v>3512</v>
      </c>
      <c r="HR160" t="s">
        <v>637</v>
      </c>
      <c r="HS160" t="s">
        <v>3513</v>
      </c>
      <c r="HT160" t="s">
        <v>3514</v>
      </c>
      <c r="HU160" t="s">
        <v>637</v>
      </c>
      <c r="HV160" t="s">
        <v>3513</v>
      </c>
      <c r="HW160" t="s">
        <v>3515</v>
      </c>
      <c r="HX160" t="s">
        <v>1712</v>
      </c>
      <c r="HY160" t="s">
        <v>3516</v>
      </c>
      <c r="HZ160" t="s">
        <v>566</v>
      </c>
      <c r="IA160" t="s">
        <v>3517</v>
      </c>
      <c r="IB160" t="s">
        <v>3518</v>
      </c>
      <c r="IC160" t="s">
        <v>402</v>
      </c>
      <c r="ID160" t="s">
        <v>3519</v>
      </c>
      <c r="IE160" t="s">
        <v>3520</v>
      </c>
      <c r="IF160" t="s">
        <v>2177</v>
      </c>
      <c r="IG160" t="s">
        <v>2981</v>
      </c>
      <c r="IM160" t="s">
        <v>3521</v>
      </c>
      <c r="IN160" t="s">
        <v>540</v>
      </c>
      <c r="IO160" t="s">
        <v>637</v>
      </c>
      <c r="IP160" t="s">
        <v>402</v>
      </c>
      <c r="IQ160" t="s">
        <v>3522</v>
      </c>
    </row>
    <row r="161" spans="1:266" x14ac:dyDescent="0.25">
      <c r="A161" t="s">
        <v>3523</v>
      </c>
      <c r="B161" t="str">
        <f>"801542313494"</f>
        <v>801542313494</v>
      </c>
      <c r="C161" t="s">
        <v>3524</v>
      </c>
      <c r="D161" t="s">
        <v>3487</v>
      </c>
      <c r="E161" t="s">
        <v>2006</v>
      </c>
      <c r="F161" t="s">
        <v>2007</v>
      </c>
      <c r="G161" t="str">
        <f>"62.25"</f>
        <v>62.25</v>
      </c>
      <c r="H161" t="str">
        <f>"83"</f>
        <v>83</v>
      </c>
      <c r="I161" t="str">
        <f>"46.5"</f>
        <v>46.5</v>
      </c>
      <c r="J161" t="str">
        <f>"148.11"</f>
        <v>148.11</v>
      </c>
      <c r="K161" t="s">
        <v>2053</v>
      </c>
      <c r="L161" t="s">
        <v>3525</v>
      </c>
      <c r="N161" t="s">
        <v>933</v>
      </c>
      <c r="O161" t="s">
        <v>3490</v>
      </c>
      <c r="T161" t="s">
        <v>373</v>
      </c>
      <c r="U161" t="s">
        <v>373</v>
      </c>
      <c r="V161" t="s">
        <v>3526</v>
      </c>
      <c r="W161" t="s">
        <v>3527</v>
      </c>
      <c r="X161" t="s">
        <v>3528</v>
      </c>
      <c r="Y161" t="s">
        <v>3529</v>
      </c>
      <c r="Z161" t="s">
        <v>3530</v>
      </c>
      <c r="AA161" t="s">
        <v>3531</v>
      </c>
      <c r="AB161" t="s">
        <v>3532</v>
      </c>
      <c r="AC161" t="s">
        <v>3533</v>
      </c>
      <c r="AD161" t="s">
        <v>3534</v>
      </c>
      <c r="AE161" t="s">
        <v>3535</v>
      </c>
      <c r="AF161" t="s">
        <v>3536</v>
      </c>
      <c r="AG161" t="s">
        <v>3537</v>
      </c>
      <c r="AH161" t="s">
        <v>3538</v>
      </c>
      <c r="AI161" t="s">
        <v>3539</v>
      </c>
      <c r="AJ161" t="s">
        <v>3540</v>
      </c>
      <c r="BA161" t="str">
        <f>"1699"</f>
        <v>1699</v>
      </c>
      <c r="BB161" t="str">
        <f>"715"</f>
        <v>715</v>
      </c>
      <c r="BC161" t="s">
        <v>949</v>
      </c>
      <c r="BD161" t="str">
        <f>"2"</f>
        <v>2</v>
      </c>
      <c r="BE161" t="s">
        <v>3541</v>
      </c>
      <c r="BF161" t="str">
        <f>"67"</f>
        <v>67</v>
      </c>
      <c r="BG161" t="str">
        <f>"7.5"</f>
        <v>7.5</v>
      </c>
      <c r="BH161" t="str">
        <f>"50.75"</f>
        <v>50.75</v>
      </c>
      <c r="BI161" t="str">
        <f>"91.49"</f>
        <v>91.49</v>
      </c>
      <c r="BJ161" t="s">
        <v>3542</v>
      </c>
      <c r="BK161" t="str">
        <f>"83"</f>
        <v>83</v>
      </c>
      <c r="BL161" t="str">
        <f>"11.75"</f>
        <v>11.75</v>
      </c>
      <c r="BM161" t="str">
        <f>"12.5"</f>
        <v>12.5</v>
      </c>
      <c r="BN161" t="str">
        <f>"110.89"</f>
        <v>110.89</v>
      </c>
      <c r="BY161" t="str">
        <f>"21.82"</f>
        <v>21.82</v>
      </c>
      <c r="BZ161" t="str">
        <f>"0.618"</f>
        <v>0.618</v>
      </c>
      <c r="CA161" t="s">
        <v>495</v>
      </c>
      <c r="CR161" t="s">
        <v>400</v>
      </c>
      <c r="CS161">
        <v>0</v>
      </c>
      <c r="CT161" t="s">
        <v>400</v>
      </c>
      <c r="CV161">
        <v>0</v>
      </c>
      <c r="CX161" t="s">
        <v>667</v>
      </c>
      <c r="CY161" t="s">
        <v>400</v>
      </c>
      <c r="DA161">
        <v>0</v>
      </c>
      <c r="DB161">
        <v>0</v>
      </c>
      <c r="DC161">
        <v>0</v>
      </c>
      <c r="DK161" t="s">
        <v>3510</v>
      </c>
      <c r="DM161" t="s">
        <v>2028</v>
      </c>
      <c r="EN161">
        <v>0</v>
      </c>
      <c r="HN161" t="s">
        <v>3511</v>
      </c>
      <c r="HO161" t="s">
        <v>3511</v>
      </c>
      <c r="HP161" t="s">
        <v>3511</v>
      </c>
      <c r="HQ161" t="s">
        <v>3512</v>
      </c>
      <c r="HR161" t="s">
        <v>637</v>
      </c>
      <c r="HS161" t="s">
        <v>3543</v>
      </c>
      <c r="HT161" t="s">
        <v>3514</v>
      </c>
      <c r="HU161" t="s">
        <v>637</v>
      </c>
      <c r="HV161" t="s">
        <v>3543</v>
      </c>
      <c r="HW161" t="s">
        <v>3544</v>
      </c>
      <c r="HX161" t="s">
        <v>1712</v>
      </c>
      <c r="HY161" t="s">
        <v>3545</v>
      </c>
      <c r="HZ161" t="s">
        <v>566</v>
      </c>
      <c r="IA161" t="s">
        <v>3544</v>
      </c>
      <c r="IB161" t="s">
        <v>3518</v>
      </c>
      <c r="IC161" t="s">
        <v>402</v>
      </c>
      <c r="ID161" t="s">
        <v>3519</v>
      </c>
      <c r="IE161" t="s">
        <v>3520</v>
      </c>
      <c r="IF161" t="s">
        <v>2177</v>
      </c>
      <c r="IG161" t="s">
        <v>2007</v>
      </c>
      <c r="IM161" t="s">
        <v>3521</v>
      </c>
      <c r="IN161" t="s">
        <v>540</v>
      </c>
      <c r="IO161" t="s">
        <v>637</v>
      </c>
      <c r="IP161" t="s">
        <v>402</v>
      </c>
      <c r="IQ161" t="s">
        <v>3522</v>
      </c>
    </row>
    <row r="162" spans="1:266" x14ac:dyDescent="0.25">
      <c r="A162" t="s">
        <v>3546</v>
      </c>
      <c r="B162" t="str">
        <f>"801542313487"</f>
        <v>801542313487</v>
      </c>
      <c r="C162" t="s">
        <v>3524</v>
      </c>
      <c r="D162" t="s">
        <v>3487</v>
      </c>
      <c r="E162" t="s">
        <v>2006</v>
      </c>
      <c r="F162" t="s">
        <v>2040</v>
      </c>
      <c r="G162" t="str">
        <f>"78.25"</f>
        <v>78.25</v>
      </c>
      <c r="H162" t="str">
        <f>"83"</f>
        <v>83</v>
      </c>
      <c r="I162" t="str">
        <f>"46.5"</f>
        <v>46.5</v>
      </c>
      <c r="J162" t="str">
        <f>"172.35"</f>
        <v>172.35</v>
      </c>
      <c r="K162" t="s">
        <v>2053</v>
      </c>
      <c r="L162" t="s">
        <v>3525</v>
      </c>
      <c r="N162" t="s">
        <v>933</v>
      </c>
      <c r="O162" t="s">
        <v>3490</v>
      </c>
      <c r="T162" t="s">
        <v>373</v>
      </c>
      <c r="U162" t="s">
        <v>373</v>
      </c>
      <c r="V162" t="s">
        <v>3526</v>
      </c>
      <c r="W162" t="s">
        <v>3547</v>
      </c>
      <c r="X162" t="s">
        <v>3548</v>
      </c>
      <c r="Y162" t="s">
        <v>3549</v>
      </c>
      <c r="Z162" t="s">
        <v>3550</v>
      </c>
      <c r="AA162" t="s">
        <v>3529</v>
      </c>
      <c r="AB162" t="s">
        <v>3551</v>
      </c>
      <c r="AC162" t="s">
        <v>3552</v>
      </c>
      <c r="AD162" t="s">
        <v>3553</v>
      </c>
      <c r="AE162" t="s">
        <v>3554</v>
      </c>
      <c r="AF162" t="s">
        <v>3555</v>
      </c>
      <c r="AG162" t="s">
        <v>3556</v>
      </c>
      <c r="AH162" t="s">
        <v>3557</v>
      </c>
      <c r="AI162" t="s">
        <v>3558</v>
      </c>
      <c r="AJ162" t="s">
        <v>3559</v>
      </c>
      <c r="AK162" t="s">
        <v>3560</v>
      </c>
      <c r="AL162" t="s">
        <v>3561</v>
      </c>
      <c r="BA162" t="str">
        <f>"1999"</f>
        <v>1999</v>
      </c>
      <c r="BB162" t="str">
        <f>"840"</f>
        <v>840</v>
      </c>
      <c r="BC162" t="s">
        <v>949</v>
      </c>
      <c r="BD162" t="str">
        <f>"2"</f>
        <v>2</v>
      </c>
      <c r="BE162" t="s">
        <v>3541</v>
      </c>
      <c r="BF162" t="str">
        <f>"82.5"</f>
        <v>82.5</v>
      </c>
      <c r="BG162" t="str">
        <f>"7.5"</f>
        <v>7.5</v>
      </c>
      <c r="BH162" t="str">
        <f>"50.75"</f>
        <v>50.75</v>
      </c>
      <c r="BI162" t="str">
        <f>"118.03"</f>
        <v>118.03</v>
      </c>
      <c r="BJ162" t="s">
        <v>3542</v>
      </c>
      <c r="BK162" t="str">
        <f>"83"</f>
        <v>83</v>
      </c>
      <c r="BL162" t="str">
        <f>"11.75"</f>
        <v>11.75</v>
      </c>
      <c r="BM162" t="str">
        <f>"12.5"</f>
        <v>12.5</v>
      </c>
      <c r="BN162" t="str">
        <f>"112.83"</f>
        <v>112.83</v>
      </c>
      <c r="BY162" t="str">
        <f>"25.25"</f>
        <v>25.25</v>
      </c>
      <c r="BZ162" t="str">
        <f>"0.715"</f>
        <v>0.715</v>
      </c>
      <c r="CA162" t="s">
        <v>495</v>
      </c>
      <c r="CR162" t="s">
        <v>400</v>
      </c>
      <c r="CS162">
        <v>0</v>
      </c>
      <c r="CT162" t="s">
        <v>400</v>
      </c>
      <c r="CV162">
        <v>0</v>
      </c>
      <c r="CX162" t="s">
        <v>667</v>
      </c>
      <c r="CY162" t="s">
        <v>400</v>
      </c>
      <c r="DA162">
        <v>0</v>
      </c>
      <c r="DB162">
        <v>0</v>
      </c>
      <c r="DC162">
        <v>0</v>
      </c>
      <c r="DK162" t="s">
        <v>3510</v>
      </c>
      <c r="DM162" t="s">
        <v>2028</v>
      </c>
      <c r="EN162">
        <v>0</v>
      </c>
      <c r="HN162" t="s">
        <v>3511</v>
      </c>
      <c r="HO162" t="s">
        <v>3511</v>
      </c>
      <c r="HP162" t="s">
        <v>3511</v>
      </c>
      <c r="HQ162" t="s">
        <v>3512</v>
      </c>
      <c r="HR162" t="s">
        <v>637</v>
      </c>
      <c r="HS162" t="s">
        <v>3562</v>
      </c>
      <c r="HT162" t="s">
        <v>3514</v>
      </c>
      <c r="HU162" t="s">
        <v>637</v>
      </c>
      <c r="HV162" t="s">
        <v>3562</v>
      </c>
      <c r="HW162" t="s">
        <v>3563</v>
      </c>
      <c r="HX162" t="s">
        <v>1712</v>
      </c>
      <c r="HY162" t="s">
        <v>3515</v>
      </c>
      <c r="HZ162" t="s">
        <v>566</v>
      </c>
      <c r="IA162" t="s">
        <v>3563</v>
      </c>
      <c r="IB162" t="s">
        <v>3518</v>
      </c>
      <c r="IC162" t="s">
        <v>402</v>
      </c>
      <c r="ID162" t="s">
        <v>3519</v>
      </c>
      <c r="IE162" t="s">
        <v>3520</v>
      </c>
      <c r="IF162" t="s">
        <v>2177</v>
      </c>
      <c r="IG162" t="s">
        <v>2040</v>
      </c>
      <c r="IM162" t="s">
        <v>3521</v>
      </c>
      <c r="IN162" t="s">
        <v>540</v>
      </c>
      <c r="IO162" t="s">
        <v>637</v>
      </c>
      <c r="IP162" t="s">
        <v>402</v>
      </c>
      <c r="IQ162" t="s">
        <v>3522</v>
      </c>
    </row>
    <row r="163" spans="1:266" x14ac:dyDescent="0.25">
      <c r="A163" t="s">
        <v>3564</v>
      </c>
      <c r="B163" t="str">
        <f>"801542358587"</f>
        <v>801542358587</v>
      </c>
      <c r="C163" t="s">
        <v>3524</v>
      </c>
      <c r="D163" t="s">
        <v>3487</v>
      </c>
      <c r="E163" t="s">
        <v>2006</v>
      </c>
      <c r="F163" t="s">
        <v>2981</v>
      </c>
      <c r="G163" t="str">
        <f>"42.5"</f>
        <v>42.5</v>
      </c>
      <c r="H163" t="str">
        <f>"79"</f>
        <v>79</v>
      </c>
      <c r="I163" t="str">
        <f>"46.5"</f>
        <v>46.5</v>
      </c>
      <c r="J163" t="str">
        <f>"109.04"</f>
        <v>109.04</v>
      </c>
      <c r="K163" t="s">
        <v>2053</v>
      </c>
      <c r="L163" t="s">
        <v>3525</v>
      </c>
      <c r="N163" t="s">
        <v>933</v>
      </c>
      <c r="O163" t="s">
        <v>3490</v>
      </c>
      <c r="T163" t="s">
        <v>373</v>
      </c>
      <c r="U163" t="s">
        <v>373</v>
      </c>
      <c r="V163" t="s">
        <v>3526</v>
      </c>
      <c r="W163" t="s">
        <v>3565</v>
      </c>
      <c r="X163" t="s">
        <v>3566</v>
      </c>
      <c r="Y163" t="s">
        <v>3567</v>
      </c>
      <c r="Z163" t="s">
        <v>3568</v>
      </c>
      <c r="AA163" t="s">
        <v>3569</v>
      </c>
      <c r="AB163" t="s">
        <v>3570</v>
      </c>
      <c r="AC163" t="s">
        <v>3571</v>
      </c>
      <c r="AD163" t="s">
        <v>3572</v>
      </c>
      <c r="AE163" t="s">
        <v>3573</v>
      </c>
      <c r="AF163" t="s">
        <v>3574</v>
      </c>
      <c r="AG163" t="s">
        <v>3575</v>
      </c>
      <c r="AH163" t="s">
        <v>3576</v>
      </c>
      <c r="BA163" t="str">
        <f>"1349"</f>
        <v>1349</v>
      </c>
      <c r="BB163" t="str">
        <f>"570"</f>
        <v>570</v>
      </c>
      <c r="BC163" t="s">
        <v>949</v>
      </c>
      <c r="BD163" t="str">
        <f>"2"</f>
        <v>2</v>
      </c>
      <c r="BE163" t="s">
        <v>3541</v>
      </c>
      <c r="BF163" t="str">
        <f>"47.25"</f>
        <v>47.25</v>
      </c>
      <c r="BG163" t="str">
        <f>"7.5"</f>
        <v>7.5</v>
      </c>
      <c r="BH163" t="str">
        <f>"50.75"</f>
        <v>50.75</v>
      </c>
      <c r="BI163" t="str">
        <f>"56.04"</f>
        <v>56.04</v>
      </c>
      <c r="BJ163" t="s">
        <v>3542</v>
      </c>
      <c r="BK163" t="str">
        <f>"79.5"</f>
        <v>79.5</v>
      </c>
      <c r="BL163" t="str">
        <f>"8.5"</f>
        <v>8.5</v>
      </c>
      <c r="BM163" t="str">
        <f>"14.5"</f>
        <v>14.5</v>
      </c>
      <c r="BN163" t="str">
        <f>"72.14"</f>
        <v>72.14</v>
      </c>
      <c r="BY163" t="str">
        <f>"16.1"</f>
        <v>16.1</v>
      </c>
      <c r="BZ163" t="str">
        <f>"0.456"</f>
        <v>0.456</v>
      </c>
      <c r="CA163" t="s">
        <v>390</v>
      </c>
      <c r="CR163" t="s">
        <v>400</v>
      </c>
      <c r="CS163">
        <v>0</v>
      </c>
      <c r="CT163" t="s">
        <v>400</v>
      </c>
      <c r="CV163">
        <v>0</v>
      </c>
      <c r="CX163" t="s">
        <v>667</v>
      </c>
      <c r="CY163" t="s">
        <v>400</v>
      </c>
      <c r="DA163">
        <v>0</v>
      </c>
      <c r="DB163">
        <v>0</v>
      </c>
      <c r="DC163">
        <v>0</v>
      </c>
      <c r="DK163" t="s">
        <v>3510</v>
      </c>
      <c r="DM163" t="s">
        <v>2028</v>
      </c>
      <c r="EN163">
        <v>0</v>
      </c>
      <c r="HN163" t="s">
        <v>3511</v>
      </c>
      <c r="HO163" t="s">
        <v>3511</v>
      </c>
      <c r="HP163" t="s">
        <v>3511</v>
      </c>
      <c r="HQ163" t="s">
        <v>3512</v>
      </c>
      <c r="HR163" t="s">
        <v>637</v>
      </c>
      <c r="HS163" t="s">
        <v>3513</v>
      </c>
      <c r="HT163" t="s">
        <v>3514</v>
      </c>
      <c r="HU163" t="s">
        <v>637</v>
      </c>
      <c r="HV163" t="s">
        <v>3513</v>
      </c>
      <c r="HW163" t="s">
        <v>3515</v>
      </c>
      <c r="HX163" t="s">
        <v>1712</v>
      </c>
      <c r="HY163" t="s">
        <v>3516</v>
      </c>
      <c r="HZ163" t="s">
        <v>566</v>
      </c>
      <c r="IA163" t="s">
        <v>3517</v>
      </c>
      <c r="IB163" t="s">
        <v>3518</v>
      </c>
      <c r="IC163" t="s">
        <v>402</v>
      </c>
      <c r="ID163" t="s">
        <v>3519</v>
      </c>
      <c r="IE163" t="s">
        <v>3520</v>
      </c>
      <c r="IF163" t="s">
        <v>2177</v>
      </c>
      <c r="IG163" t="s">
        <v>2981</v>
      </c>
      <c r="IM163" t="s">
        <v>3521</v>
      </c>
      <c r="IN163" t="s">
        <v>540</v>
      </c>
      <c r="IO163" t="s">
        <v>637</v>
      </c>
      <c r="IP163" t="s">
        <v>402</v>
      </c>
      <c r="IQ163" t="s">
        <v>3522</v>
      </c>
    </row>
    <row r="164" spans="1:266" x14ac:dyDescent="0.25">
      <c r="A164" t="s">
        <v>3577</v>
      </c>
      <c r="B164" t="str">
        <f>"801542024284"</f>
        <v>801542024284</v>
      </c>
      <c r="C164" t="s">
        <v>3578</v>
      </c>
      <c r="D164" t="s">
        <v>3487</v>
      </c>
      <c r="E164" t="s">
        <v>964</v>
      </c>
      <c r="G164" t="str">
        <f>"35"</f>
        <v>35</v>
      </c>
      <c r="H164" t="str">
        <f>"18"</f>
        <v>18</v>
      </c>
      <c r="I164" t="str">
        <f>"32"</f>
        <v>32</v>
      </c>
      <c r="J164" t="str">
        <f>"85.76"</f>
        <v>85.76</v>
      </c>
      <c r="K164" t="s">
        <v>3488</v>
      </c>
      <c r="L164" t="s">
        <v>3489</v>
      </c>
      <c r="M164" t="s">
        <v>3579</v>
      </c>
      <c r="N164" t="s">
        <v>933</v>
      </c>
      <c r="O164" t="s">
        <v>3490</v>
      </c>
      <c r="P164" t="s">
        <v>555</v>
      </c>
      <c r="T164" t="s">
        <v>373</v>
      </c>
      <c r="U164" t="s">
        <v>373</v>
      </c>
      <c r="V164" t="s">
        <v>3580</v>
      </c>
      <c r="W164" t="s">
        <v>3581</v>
      </c>
      <c r="X164" t="s">
        <v>3582</v>
      </c>
      <c r="Y164" t="s">
        <v>3583</v>
      </c>
      <c r="Z164" t="s">
        <v>3584</v>
      </c>
      <c r="AA164" t="s">
        <v>3585</v>
      </c>
      <c r="AB164" t="s">
        <v>3586</v>
      </c>
      <c r="AC164" t="s">
        <v>3587</v>
      </c>
      <c r="AD164" t="s">
        <v>3588</v>
      </c>
      <c r="AE164" t="s">
        <v>3589</v>
      </c>
      <c r="AF164" t="s">
        <v>3590</v>
      </c>
      <c r="AG164" t="s">
        <v>3591</v>
      </c>
      <c r="AH164" t="s">
        <v>3592</v>
      </c>
      <c r="AI164" t="s">
        <v>3593</v>
      </c>
      <c r="AJ164" t="s">
        <v>3594</v>
      </c>
      <c r="AK164" t="s">
        <v>3595</v>
      </c>
      <c r="BA164" t="str">
        <f>"1199"</f>
        <v>1199</v>
      </c>
      <c r="BB164" t="str">
        <f>"505"</f>
        <v>505</v>
      </c>
      <c r="BC164" t="s">
        <v>949</v>
      </c>
      <c r="BD164" t="str">
        <f t="shared" ref="BD164:BD170" si="37">"1"</f>
        <v>1</v>
      </c>
      <c r="BE164" t="s">
        <v>389</v>
      </c>
      <c r="BF164" t="str">
        <f>"38.5"</f>
        <v>38.5</v>
      </c>
      <c r="BG164" t="str">
        <f>"21.5"</f>
        <v>21.5</v>
      </c>
      <c r="BH164" t="str">
        <f>"32.5"</f>
        <v>32.5</v>
      </c>
      <c r="BI164" t="str">
        <f>"98.9"</f>
        <v>98.9</v>
      </c>
      <c r="BY164" t="str">
        <f>"15.57"</f>
        <v>15.57</v>
      </c>
      <c r="BZ164" t="str">
        <f>"0.441"</f>
        <v>0.441</v>
      </c>
      <c r="CA164" t="s">
        <v>495</v>
      </c>
      <c r="CE164" t="s">
        <v>511</v>
      </c>
      <c r="CF164" t="s">
        <v>3596</v>
      </c>
      <c r="CG164" t="s">
        <v>3597</v>
      </c>
      <c r="CR164" t="s">
        <v>400</v>
      </c>
      <c r="CS164">
        <v>0</v>
      </c>
      <c r="CT164" t="s">
        <v>400</v>
      </c>
      <c r="CV164">
        <v>0</v>
      </c>
      <c r="CX164" t="s">
        <v>667</v>
      </c>
      <c r="CY164" t="s">
        <v>954</v>
      </c>
      <c r="DA164">
        <v>18.14</v>
      </c>
      <c r="DB164">
        <v>40</v>
      </c>
      <c r="DC164">
        <v>2</v>
      </c>
      <c r="DJ164" t="s">
        <v>982</v>
      </c>
      <c r="DK164" t="s">
        <v>3598</v>
      </c>
      <c r="DX164" t="s">
        <v>2599</v>
      </c>
      <c r="EM164" t="s">
        <v>402</v>
      </c>
      <c r="EN164">
        <v>2</v>
      </c>
      <c r="EZ164" t="s">
        <v>1493</v>
      </c>
      <c r="FA164" t="s">
        <v>1040</v>
      </c>
      <c r="FB164" t="s">
        <v>3597</v>
      </c>
      <c r="FC164" t="s">
        <v>979</v>
      </c>
      <c r="FD164" t="s">
        <v>3599</v>
      </c>
      <c r="FE164" t="s">
        <v>3600</v>
      </c>
      <c r="FF164">
        <v>0</v>
      </c>
      <c r="FG164" t="s">
        <v>402</v>
      </c>
      <c r="FH164" t="s">
        <v>959</v>
      </c>
      <c r="FI164">
        <v>2</v>
      </c>
      <c r="FJ164" t="s">
        <v>960</v>
      </c>
      <c r="FK164" t="s">
        <v>961</v>
      </c>
      <c r="FL164">
        <v>0</v>
      </c>
      <c r="FM164" t="s">
        <v>402</v>
      </c>
      <c r="FN164" t="s">
        <v>3601</v>
      </c>
      <c r="FO164" t="s">
        <v>984</v>
      </c>
      <c r="FQ164">
        <v>0</v>
      </c>
      <c r="GB164" t="s">
        <v>511</v>
      </c>
      <c r="GC164" t="s">
        <v>3596</v>
      </c>
      <c r="GD164" t="s">
        <v>3597</v>
      </c>
      <c r="GX164" t="s">
        <v>433</v>
      </c>
      <c r="HI164" t="s">
        <v>402</v>
      </c>
    </row>
    <row r="165" spans="1:266" x14ac:dyDescent="0.25">
      <c r="A165" t="s">
        <v>3602</v>
      </c>
      <c r="B165" t="str">
        <f>"801542811969"</f>
        <v>801542811969</v>
      </c>
      <c r="C165" t="s">
        <v>3603</v>
      </c>
      <c r="D165" t="s">
        <v>3487</v>
      </c>
      <c r="E165" t="s">
        <v>964</v>
      </c>
      <c r="G165" t="str">
        <f>"35"</f>
        <v>35</v>
      </c>
      <c r="H165" t="str">
        <f>"18"</f>
        <v>18</v>
      </c>
      <c r="I165" t="str">
        <f>"32"</f>
        <v>32</v>
      </c>
      <c r="J165" t="str">
        <f>"85.76"</f>
        <v>85.76</v>
      </c>
      <c r="K165" t="s">
        <v>2053</v>
      </c>
      <c r="L165" t="s">
        <v>3525</v>
      </c>
      <c r="M165" t="s">
        <v>3579</v>
      </c>
      <c r="N165" t="s">
        <v>933</v>
      </c>
      <c r="O165" t="s">
        <v>3490</v>
      </c>
      <c r="P165" t="s">
        <v>555</v>
      </c>
      <c r="T165" t="s">
        <v>373</v>
      </c>
      <c r="U165" t="s">
        <v>373</v>
      </c>
      <c r="V165" t="s">
        <v>3604</v>
      </c>
      <c r="W165" t="s">
        <v>3605</v>
      </c>
      <c r="X165" t="s">
        <v>3606</v>
      </c>
      <c r="Y165" t="s">
        <v>3607</v>
      </c>
      <c r="Z165" t="s">
        <v>3608</v>
      </c>
      <c r="AA165" t="s">
        <v>3609</v>
      </c>
      <c r="AB165" t="s">
        <v>3610</v>
      </c>
      <c r="AC165" t="s">
        <v>3611</v>
      </c>
      <c r="AD165" t="s">
        <v>3612</v>
      </c>
      <c r="AE165" t="s">
        <v>3613</v>
      </c>
      <c r="AF165" t="s">
        <v>3614</v>
      </c>
      <c r="AG165" t="s">
        <v>3615</v>
      </c>
      <c r="AH165" t="s">
        <v>3616</v>
      </c>
      <c r="AI165" t="s">
        <v>3617</v>
      </c>
      <c r="AJ165" t="s">
        <v>3618</v>
      </c>
      <c r="BA165" t="str">
        <f>"1199"</f>
        <v>1199</v>
      </c>
      <c r="BB165" t="str">
        <f>"505"</f>
        <v>505</v>
      </c>
      <c r="BC165" t="s">
        <v>949</v>
      </c>
      <c r="BD165" t="str">
        <f t="shared" si="37"/>
        <v>1</v>
      </c>
      <c r="BE165" t="s">
        <v>389</v>
      </c>
      <c r="BF165" t="str">
        <f>"38.5"</f>
        <v>38.5</v>
      </c>
      <c r="BG165" t="str">
        <f>"21.5"</f>
        <v>21.5</v>
      </c>
      <c r="BH165" t="str">
        <f>"32.5"</f>
        <v>32.5</v>
      </c>
      <c r="BI165" t="str">
        <f>"98.9"</f>
        <v>98.9</v>
      </c>
      <c r="BY165" t="str">
        <f>"15.57"</f>
        <v>15.57</v>
      </c>
      <c r="BZ165" t="str">
        <f>"0.441"</f>
        <v>0.441</v>
      </c>
      <c r="CA165" t="s">
        <v>495</v>
      </c>
      <c r="CE165" t="s">
        <v>511</v>
      </c>
      <c r="CF165" t="s">
        <v>3596</v>
      </c>
      <c r="CG165" t="s">
        <v>3597</v>
      </c>
      <c r="CR165" t="s">
        <v>400</v>
      </c>
      <c r="CS165">
        <v>0</v>
      </c>
      <c r="CT165" t="s">
        <v>400</v>
      </c>
      <c r="CV165">
        <v>0</v>
      </c>
      <c r="CX165" t="s">
        <v>667</v>
      </c>
      <c r="CY165" t="s">
        <v>954</v>
      </c>
      <c r="DA165">
        <v>18.14</v>
      </c>
      <c r="DB165">
        <v>40</v>
      </c>
      <c r="DC165">
        <v>2</v>
      </c>
      <c r="DJ165" t="s">
        <v>982</v>
      </c>
      <c r="DK165" t="s">
        <v>3598</v>
      </c>
      <c r="DX165" t="s">
        <v>2599</v>
      </c>
      <c r="EM165" t="s">
        <v>402</v>
      </c>
      <c r="EN165">
        <v>2</v>
      </c>
      <c r="EZ165" t="s">
        <v>1493</v>
      </c>
      <c r="FA165" t="s">
        <v>1040</v>
      </c>
      <c r="FB165" t="s">
        <v>3597</v>
      </c>
      <c r="FC165" t="s">
        <v>979</v>
      </c>
      <c r="FD165" t="s">
        <v>3599</v>
      </c>
      <c r="FE165" t="s">
        <v>3600</v>
      </c>
      <c r="FF165">
        <v>0</v>
      </c>
      <c r="FG165" t="s">
        <v>402</v>
      </c>
      <c r="FH165" t="s">
        <v>959</v>
      </c>
      <c r="FI165">
        <v>2</v>
      </c>
      <c r="FJ165" t="s">
        <v>960</v>
      </c>
      <c r="FK165" t="s">
        <v>961</v>
      </c>
      <c r="FL165">
        <v>0</v>
      </c>
      <c r="FM165" t="s">
        <v>402</v>
      </c>
      <c r="FN165" t="s">
        <v>3601</v>
      </c>
      <c r="FO165" t="s">
        <v>984</v>
      </c>
      <c r="FQ165">
        <v>0</v>
      </c>
      <c r="GB165" t="s">
        <v>511</v>
      </c>
      <c r="GC165" t="s">
        <v>3596</v>
      </c>
      <c r="GD165" t="s">
        <v>3597</v>
      </c>
      <c r="GX165" t="s">
        <v>433</v>
      </c>
      <c r="HI165" t="s">
        <v>402</v>
      </c>
    </row>
    <row r="166" spans="1:266" x14ac:dyDescent="0.25">
      <c r="A166" t="s">
        <v>3619</v>
      </c>
      <c r="B166" t="str">
        <f>"801542755911"</f>
        <v>801542755911</v>
      </c>
      <c r="C166" t="s">
        <v>3620</v>
      </c>
      <c r="D166" t="s">
        <v>1139</v>
      </c>
      <c r="E166" t="s">
        <v>2244</v>
      </c>
      <c r="G166" t="str">
        <f>"88"</f>
        <v>88</v>
      </c>
      <c r="H166" t="str">
        <f>"40"</f>
        <v>40</v>
      </c>
      <c r="I166" t="str">
        <f>"31"</f>
        <v>31</v>
      </c>
      <c r="J166" t="str">
        <f>"139.2"</f>
        <v>139.2</v>
      </c>
      <c r="K166" t="s">
        <v>3028</v>
      </c>
      <c r="L166" t="s">
        <v>3000</v>
      </c>
      <c r="N166" t="s">
        <v>371</v>
      </c>
      <c r="O166" t="s">
        <v>3001</v>
      </c>
      <c r="T166" t="s">
        <v>373</v>
      </c>
      <c r="U166" t="s">
        <v>373</v>
      </c>
      <c r="W166" t="s">
        <v>3621</v>
      </c>
      <c r="X166" t="s">
        <v>3622</v>
      </c>
      <c r="Y166" t="s">
        <v>3623</v>
      </c>
      <c r="Z166" t="s">
        <v>3624</v>
      </c>
      <c r="AA166" t="s">
        <v>3625</v>
      </c>
      <c r="AB166" t="s">
        <v>3626</v>
      </c>
      <c r="AC166" t="s">
        <v>3627</v>
      </c>
      <c r="AD166" t="s">
        <v>3628</v>
      </c>
      <c r="AE166" t="s">
        <v>3629</v>
      </c>
      <c r="AF166" t="s">
        <v>3630</v>
      </c>
      <c r="AG166" t="s">
        <v>3631</v>
      </c>
      <c r="AH166" t="s">
        <v>3632</v>
      </c>
      <c r="BA166" t="str">
        <f>"2399"</f>
        <v>2399</v>
      </c>
      <c r="BB166" t="str">
        <f>"1010"</f>
        <v>1010</v>
      </c>
      <c r="BC166" t="s">
        <v>1149</v>
      </c>
      <c r="BD166" t="str">
        <f t="shared" si="37"/>
        <v>1</v>
      </c>
      <c r="BE166" t="s">
        <v>389</v>
      </c>
      <c r="BF166" t="str">
        <f>"92.5"</f>
        <v>92.5</v>
      </c>
      <c r="BG166" t="str">
        <f>"41"</f>
        <v>41</v>
      </c>
      <c r="BH166" t="str">
        <f>"31"</f>
        <v>31</v>
      </c>
      <c r="BI166" t="str">
        <f>"146.61"</f>
        <v>146.61</v>
      </c>
      <c r="BY166" t="str">
        <f>"68.05"</f>
        <v>68.05</v>
      </c>
      <c r="BZ166" t="str">
        <f>"1.927"</f>
        <v>1.927</v>
      </c>
      <c r="CA166" t="s">
        <v>390</v>
      </c>
      <c r="CH166" t="s">
        <v>3633</v>
      </c>
      <c r="CI166" t="s">
        <v>830</v>
      </c>
      <c r="CJ166" t="s">
        <v>3634</v>
      </c>
      <c r="CK166" t="s">
        <v>578</v>
      </c>
      <c r="CL166" t="s">
        <v>791</v>
      </c>
      <c r="CM166" t="s">
        <v>3634</v>
      </c>
      <c r="CN166">
        <v>2</v>
      </c>
      <c r="CO166">
        <v>2</v>
      </c>
      <c r="CP166" t="s">
        <v>437</v>
      </c>
      <c r="CQ166" t="s">
        <v>399</v>
      </c>
      <c r="CU166" t="s">
        <v>3635</v>
      </c>
      <c r="CX166" t="s">
        <v>403</v>
      </c>
      <c r="CY166" t="s">
        <v>400</v>
      </c>
      <c r="CZ166">
        <v>0</v>
      </c>
      <c r="DD166">
        <v>100000</v>
      </c>
      <c r="DE166" t="s">
        <v>439</v>
      </c>
      <c r="DF166" t="s">
        <v>406</v>
      </c>
      <c r="DG166" t="s">
        <v>454</v>
      </c>
      <c r="DH166">
        <v>1</v>
      </c>
      <c r="DI166">
        <v>1</v>
      </c>
      <c r="DK166" t="s">
        <v>3636</v>
      </c>
      <c r="DL166">
        <v>0</v>
      </c>
      <c r="DM166" t="s">
        <v>538</v>
      </c>
      <c r="DN166" t="s">
        <v>2083</v>
      </c>
      <c r="DO166" t="s">
        <v>3637</v>
      </c>
      <c r="DP166" t="s">
        <v>3023</v>
      </c>
      <c r="DQ166" t="s">
        <v>609</v>
      </c>
      <c r="DR166" t="s">
        <v>797</v>
      </c>
      <c r="DS166" t="s">
        <v>510</v>
      </c>
      <c r="DT166" t="s">
        <v>3638</v>
      </c>
      <c r="DU166" t="s">
        <v>830</v>
      </c>
      <c r="DV166" t="s">
        <v>1491</v>
      </c>
      <c r="DW166" t="s">
        <v>2141</v>
      </c>
      <c r="DX166" t="s">
        <v>1358</v>
      </c>
      <c r="DY166" t="s">
        <v>1342</v>
      </c>
      <c r="DZ166" t="s">
        <v>3639</v>
      </c>
      <c r="EA166" t="s">
        <v>2083</v>
      </c>
      <c r="EB166" t="s">
        <v>454</v>
      </c>
      <c r="EC166" t="s">
        <v>402</v>
      </c>
      <c r="ED166" t="s">
        <v>406</v>
      </c>
      <c r="EE166" t="s">
        <v>454</v>
      </c>
      <c r="EF166" t="s">
        <v>831</v>
      </c>
      <c r="EG166" t="s">
        <v>1710</v>
      </c>
      <c r="ET166" t="s">
        <v>3196</v>
      </c>
      <c r="JC166" t="s">
        <v>402</v>
      </c>
    </row>
    <row r="167" spans="1:266" x14ac:dyDescent="0.25">
      <c r="A167" t="s">
        <v>3640</v>
      </c>
      <c r="B167" t="str">
        <f>"801542175535"</f>
        <v>801542175535</v>
      </c>
      <c r="C167" t="s">
        <v>3641</v>
      </c>
      <c r="D167" t="s">
        <v>3642</v>
      </c>
      <c r="E167" t="s">
        <v>413</v>
      </c>
      <c r="G167" t="str">
        <f>"86"</f>
        <v>86</v>
      </c>
      <c r="H167" t="str">
        <f>"42"</f>
        <v>42</v>
      </c>
      <c r="I167" t="str">
        <f>"34"</f>
        <v>34</v>
      </c>
      <c r="J167" t="str">
        <f>"229.28"</f>
        <v>229.28</v>
      </c>
      <c r="K167" t="s">
        <v>3643</v>
      </c>
      <c r="L167" t="s">
        <v>3644</v>
      </c>
      <c r="M167" t="s">
        <v>3645</v>
      </c>
      <c r="N167" t="s">
        <v>3646</v>
      </c>
      <c r="O167" t="s">
        <v>3647</v>
      </c>
      <c r="P167" t="s">
        <v>3648</v>
      </c>
      <c r="Q167" t="s">
        <v>2013</v>
      </c>
      <c r="R167" t="s">
        <v>3649</v>
      </c>
      <c r="T167" t="s">
        <v>402</v>
      </c>
      <c r="U167" t="s">
        <v>402</v>
      </c>
      <c r="V167" t="s">
        <v>3650</v>
      </c>
      <c r="W167" t="s">
        <v>3651</v>
      </c>
      <c r="X167" t="s">
        <v>3652</v>
      </c>
      <c r="Y167" t="s">
        <v>3653</v>
      </c>
      <c r="Z167" t="s">
        <v>3654</v>
      </c>
      <c r="AA167" t="s">
        <v>3655</v>
      </c>
      <c r="AB167" t="s">
        <v>3656</v>
      </c>
      <c r="AC167" t="s">
        <v>3657</v>
      </c>
      <c r="AD167" t="s">
        <v>3658</v>
      </c>
      <c r="AE167" t="s">
        <v>3659</v>
      </c>
      <c r="AF167" t="s">
        <v>3660</v>
      </c>
      <c r="AG167" t="s">
        <v>3661</v>
      </c>
      <c r="AH167" t="s">
        <v>3662</v>
      </c>
      <c r="AI167" t="s">
        <v>3663</v>
      </c>
      <c r="AJ167" t="s">
        <v>3664</v>
      </c>
      <c r="AK167" t="s">
        <v>3665</v>
      </c>
      <c r="AL167" t="s">
        <v>3666</v>
      </c>
      <c r="AM167" t="s">
        <v>3667</v>
      </c>
      <c r="AN167" t="s">
        <v>3668</v>
      </c>
      <c r="AO167" t="s">
        <v>3669</v>
      </c>
      <c r="BA167" t="str">
        <f>"3999"</f>
        <v>3999</v>
      </c>
      <c r="BB167" t="str">
        <f>"1680"</f>
        <v>1680</v>
      </c>
      <c r="BC167" t="s">
        <v>3670</v>
      </c>
      <c r="BD167" t="str">
        <f t="shared" si="37"/>
        <v>1</v>
      </c>
      <c r="BE167" t="s">
        <v>3671</v>
      </c>
      <c r="BF167" t="str">
        <f>"86"</f>
        <v>86</v>
      </c>
      <c r="BG167" t="str">
        <f>"43"</f>
        <v>43</v>
      </c>
      <c r="BH167" t="str">
        <f>"27.5"</f>
        <v>27.5</v>
      </c>
      <c r="BI167" t="str">
        <f>"249.78"</f>
        <v>249.78</v>
      </c>
      <c r="BY167" t="str">
        <f>"58.83"</f>
        <v>58.83</v>
      </c>
      <c r="BZ167" t="str">
        <f>"1.666"</f>
        <v>1.666</v>
      </c>
      <c r="CA167" t="s">
        <v>431</v>
      </c>
      <c r="CH167" t="s">
        <v>636</v>
      </c>
      <c r="CI167" t="s">
        <v>610</v>
      </c>
      <c r="CJ167" t="s">
        <v>3544</v>
      </c>
      <c r="CK167" t="s">
        <v>451</v>
      </c>
      <c r="CL167" t="s">
        <v>396</v>
      </c>
      <c r="CM167" t="s">
        <v>3544</v>
      </c>
      <c r="CN167">
        <v>0</v>
      </c>
      <c r="CO167">
        <v>2</v>
      </c>
      <c r="CP167" t="s">
        <v>437</v>
      </c>
      <c r="CQ167" t="s">
        <v>1152</v>
      </c>
      <c r="CU167" t="s">
        <v>401</v>
      </c>
      <c r="CX167" t="s">
        <v>667</v>
      </c>
      <c r="CY167" t="s">
        <v>3672</v>
      </c>
      <c r="CZ167">
        <v>0</v>
      </c>
      <c r="DD167">
        <v>33000</v>
      </c>
      <c r="DE167" t="s">
        <v>405</v>
      </c>
      <c r="DF167" t="s">
        <v>632</v>
      </c>
      <c r="DG167" t="s">
        <v>407</v>
      </c>
      <c r="DH167">
        <v>1</v>
      </c>
      <c r="DI167">
        <v>4</v>
      </c>
      <c r="DK167" t="s">
        <v>3673</v>
      </c>
      <c r="DL167">
        <v>0</v>
      </c>
      <c r="DM167" t="s">
        <v>795</v>
      </c>
      <c r="DN167" t="s">
        <v>634</v>
      </c>
      <c r="DO167" t="s">
        <v>448</v>
      </c>
      <c r="DP167" t="s">
        <v>1150</v>
      </c>
      <c r="DT167" t="s">
        <v>1852</v>
      </c>
      <c r="DU167" t="s">
        <v>448</v>
      </c>
      <c r="DV167" t="s">
        <v>602</v>
      </c>
      <c r="DW167" t="s">
        <v>3674</v>
      </c>
      <c r="DX167" t="s">
        <v>827</v>
      </c>
      <c r="DY167" t="s">
        <v>609</v>
      </c>
      <c r="DZ167" t="s">
        <v>3675</v>
      </c>
      <c r="EA167" t="s">
        <v>448</v>
      </c>
      <c r="ED167" t="s">
        <v>406</v>
      </c>
      <c r="EE167" t="s">
        <v>454</v>
      </c>
      <c r="EF167" t="s">
        <v>401</v>
      </c>
      <c r="EG167" t="s">
        <v>401</v>
      </c>
      <c r="IG167" t="s">
        <v>2007</v>
      </c>
      <c r="JD167" t="s">
        <v>396</v>
      </c>
      <c r="JE167" t="s">
        <v>2807</v>
      </c>
      <c r="JF167" t="s">
        <v>3544</v>
      </c>
    </row>
    <row r="168" spans="1:266" x14ac:dyDescent="0.25">
      <c r="A168" t="s">
        <v>3676</v>
      </c>
      <c r="B168" t="str">
        <f>"801542242992"</f>
        <v>801542242992</v>
      </c>
      <c r="C168" t="s">
        <v>3641</v>
      </c>
      <c r="D168" t="s">
        <v>3642</v>
      </c>
      <c r="E168" t="s">
        <v>413</v>
      </c>
      <c r="G168" t="str">
        <f>"86"</f>
        <v>86</v>
      </c>
      <c r="H168" t="str">
        <f>"38"</f>
        <v>38</v>
      </c>
      <c r="I168" t="str">
        <f>"34"</f>
        <v>34</v>
      </c>
      <c r="J168" t="str">
        <f>"220"</f>
        <v>220</v>
      </c>
      <c r="K168" t="s">
        <v>3643</v>
      </c>
      <c r="L168" t="s">
        <v>3644</v>
      </c>
      <c r="M168" t="s">
        <v>3645</v>
      </c>
      <c r="N168" t="s">
        <v>3646</v>
      </c>
      <c r="O168" t="s">
        <v>3647</v>
      </c>
      <c r="P168" t="s">
        <v>3648</v>
      </c>
      <c r="Q168" t="s">
        <v>2013</v>
      </c>
      <c r="R168" t="s">
        <v>3649</v>
      </c>
      <c r="T168" t="s">
        <v>373</v>
      </c>
      <c r="U168" t="s">
        <v>402</v>
      </c>
      <c r="V168" t="s">
        <v>3677</v>
      </c>
      <c r="W168" t="s">
        <v>3678</v>
      </c>
      <c r="X168" t="s">
        <v>3679</v>
      </c>
      <c r="Y168" t="s">
        <v>3680</v>
      </c>
      <c r="Z168" t="s">
        <v>3681</v>
      </c>
      <c r="AA168" t="s">
        <v>3682</v>
      </c>
      <c r="AB168" t="s">
        <v>3683</v>
      </c>
      <c r="AC168" t="s">
        <v>3684</v>
      </c>
      <c r="AD168" t="s">
        <v>3685</v>
      </c>
      <c r="AE168" t="s">
        <v>3686</v>
      </c>
      <c r="AF168" t="s">
        <v>3687</v>
      </c>
      <c r="AG168" t="s">
        <v>3688</v>
      </c>
      <c r="AH168" t="s">
        <v>3689</v>
      </c>
      <c r="AI168" t="s">
        <v>3690</v>
      </c>
      <c r="AJ168" t="s">
        <v>3691</v>
      </c>
      <c r="AK168" t="s">
        <v>3692</v>
      </c>
      <c r="AL168" t="s">
        <v>3693</v>
      </c>
      <c r="AM168" t="s">
        <v>3694</v>
      </c>
      <c r="AN168" t="s">
        <v>3695</v>
      </c>
      <c r="AO168" t="s">
        <v>3696</v>
      </c>
      <c r="AP168" t="s">
        <v>3697</v>
      </c>
      <c r="AQ168" t="s">
        <v>3698</v>
      </c>
      <c r="AR168" t="s">
        <v>3699</v>
      </c>
      <c r="BA168" t="str">
        <f>"3899"</f>
        <v>3899</v>
      </c>
      <c r="BB168" t="str">
        <f>"1640"</f>
        <v>1640</v>
      </c>
      <c r="BC168" t="s">
        <v>3670</v>
      </c>
      <c r="BD168" t="str">
        <f t="shared" si="37"/>
        <v>1</v>
      </c>
      <c r="BE168" t="s">
        <v>3700</v>
      </c>
      <c r="BF168" t="str">
        <f>"91"</f>
        <v>91</v>
      </c>
      <c r="BG168" t="str">
        <f>"38.5"</f>
        <v>38.5</v>
      </c>
      <c r="BH168" t="str">
        <f>"31"</f>
        <v>31</v>
      </c>
      <c r="BI168" t="str">
        <f>"234.44"</f>
        <v>234.44</v>
      </c>
      <c r="BY168" t="str">
        <f>"62.86"</f>
        <v>62.86</v>
      </c>
      <c r="BZ168" t="str">
        <f>"1.78"</f>
        <v>1.78</v>
      </c>
      <c r="CA168" t="s">
        <v>390</v>
      </c>
      <c r="CH168" t="s">
        <v>1853</v>
      </c>
      <c r="CI168" t="s">
        <v>610</v>
      </c>
      <c r="CJ168" t="s">
        <v>3544</v>
      </c>
      <c r="CK168" t="s">
        <v>603</v>
      </c>
      <c r="CL168" t="s">
        <v>396</v>
      </c>
      <c r="CM168" t="s">
        <v>3544</v>
      </c>
      <c r="CN168">
        <v>0</v>
      </c>
      <c r="CO168">
        <v>2</v>
      </c>
      <c r="CP168" t="s">
        <v>437</v>
      </c>
      <c r="CQ168" t="s">
        <v>1152</v>
      </c>
      <c r="CU168" t="s">
        <v>401</v>
      </c>
      <c r="CX168" t="s">
        <v>667</v>
      </c>
      <c r="CY168" t="s">
        <v>3672</v>
      </c>
      <c r="CZ168">
        <v>0</v>
      </c>
      <c r="DD168">
        <v>33000</v>
      </c>
      <c r="DE168" t="s">
        <v>405</v>
      </c>
      <c r="DF168" t="s">
        <v>632</v>
      </c>
      <c r="DG168" t="s">
        <v>407</v>
      </c>
      <c r="DH168">
        <v>1</v>
      </c>
      <c r="DI168">
        <v>4</v>
      </c>
      <c r="DK168" t="s">
        <v>3673</v>
      </c>
      <c r="DL168">
        <v>0</v>
      </c>
      <c r="DM168" t="s">
        <v>795</v>
      </c>
      <c r="DN168" t="s">
        <v>634</v>
      </c>
      <c r="DO168" t="s">
        <v>448</v>
      </c>
      <c r="DP168" t="s">
        <v>790</v>
      </c>
      <c r="DT168" t="s">
        <v>1852</v>
      </c>
      <c r="DU168" t="s">
        <v>448</v>
      </c>
      <c r="DV168" t="s">
        <v>602</v>
      </c>
      <c r="DW168" t="s">
        <v>3674</v>
      </c>
      <c r="DX168" t="s">
        <v>827</v>
      </c>
      <c r="DY168" t="s">
        <v>634</v>
      </c>
      <c r="DZ168" t="s">
        <v>3675</v>
      </c>
      <c r="EA168" t="s">
        <v>448</v>
      </c>
      <c r="ED168" t="s">
        <v>406</v>
      </c>
      <c r="EE168" t="s">
        <v>454</v>
      </c>
      <c r="EF168" t="s">
        <v>401</v>
      </c>
      <c r="EG168" t="s">
        <v>401</v>
      </c>
      <c r="IG168" t="s">
        <v>3701</v>
      </c>
      <c r="JD168" t="s">
        <v>396</v>
      </c>
      <c r="JE168" t="s">
        <v>3702</v>
      </c>
      <c r="JF168" t="s">
        <v>3544</v>
      </c>
    </row>
    <row r="169" spans="1:266" x14ac:dyDescent="0.25">
      <c r="A169" t="s">
        <v>3703</v>
      </c>
      <c r="B169" t="str">
        <f>"801542689346"</f>
        <v>801542689346</v>
      </c>
      <c r="C169" t="s">
        <v>3704</v>
      </c>
      <c r="D169" t="s">
        <v>1165</v>
      </c>
      <c r="E169" t="s">
        <v>413</v>
      </c>
      <c r="G169" t="str">
        <f>"98"</f>
        <v>98</v>
      </c>
      <c r="H169" t="str">
        <f>"39"</f>
        <v>39</v>
      </c>
      <c r="I169" t="str">
        <f t="shared" ref="I169:I174" si="38">"32.5"</f>
        <v>32.5</v>
      </c>
      <c r="J169" t="str">
        <f>"175.3"</f>
        <v>175.3</v>
      </c>
      <c r="K169" t="s">
        <v>1195</v>
      </c>
      <c r="L169" t="s">
        <v>1169</v>
      </c>
      <c r="N169" t="s">
        <v>371</v>
      </c>
      <c r="O169" t="s">
        <v>1172</v>
      </c>
      <c r="T169" t="s">
        <v>402</v>
      </c>
      <c r="U169" t="s">
        <v>402</v>
      </c>
      <c r="V169" t="s">
        <v>3705</v>
      </c>
      <c r="W169" t="s">
        <v>3706</v>
      </c>
      <c r="X169" t="s">
        <v>3707</v>
      </c>
      <c r="Y169" t="s">
        <v>3708</v>
      </c>
      <c r="Z169" t="s">
        <v>3709</v>
      </c>
      <c r="AA169" t="s">
        <v>3710</v>
      </c>
      <c r="AB169" t="s">
        <v>3711</v>
      </c>
      <c r="BA169" t="str">
        <f>"2499"</f>
        <v>2499</v>
      </c>
      <c r="BB169" t="str">
        <f>"1050"</f>
        <v>1050</v>
      </c>
      <c r="BC169" t="s">
        <v>1149</v>
      </c>
      <c r="BD169" t="str">
        <f t="shared" si="37"/>
        <v>1</v>
      </c>
      <c r="BE169" t="s">
        <v>389</v>
      </c>
      <c r="BF169" t="str">
        <f>"101.97"</f>
        <v>101.97</v>
      </c>
      <c r="BG169" t="str">
        <f>"43.3"</f>
        <v>43.3</v>
      </c>
      <c r="BH169" t="str">
        <f>"26.38"</f>
        <v>26.38</v>
      </c>
      <c r="BI169" t="str">
        <f>"182.54"</f>
        <v>182.54</v>
      </c>
      <c r="BY169" t="str">
        <f>"67.42"</f>
        <v>67.42</v>
      </c>
      <c r="BZ169" t="str">
        <f>"1.909"</f>
        <v>1.909</v>
      </c>
      <c r="CA169" t="s">
        <v>495</v>
      </c>
      <c r="CH169" t="s">
        <v>432</v>
      </c>
      <c r="CI169" t="s">
        <v>450</v>
      </c>
      <c r="CJ169" t="s">
        <v>2996</v>
      </c>
      <c r="CK169" t="s">
        <v>1510</v>
      </c>
      <c r="CL169" t="s">
        <v>449</v>
      </c>
      <c r="CM169" t="s">
        <v>3712</v>
      </c>
      <c r="CN169">
        <v>0</v>
      </c>
      <c r="CO169">
        <v>2</v>
      </c>
      <c r="CP169" t="s">
        <v>437</v>
      </c>
      <c r="CQ169" t="s">
        <v>1152</v>
      </c>
      <c r="CU169" t="s">
        <v>1187</v>
      </c>
      <c r="CX169" t="s">
        <v>403</v>
      </c>
      <c r="CY169" t="s">
        <v>400</v>
      </c>
      <c r="CZ169">
        <v>0</v>
      </c>
      <c r="DD169">
        <v>15000</v>
      </c>
      <c r="DE169" t="s">
        <v>439</v>
      </c>
      <c r="DF169" t="s">
        <v>406</v>
      </c>
      <c r="DG169" t="s">
        <v>407</v>
      </c>
      <c r="DH169">
        <v>2</v>
      </c>
      <c r="DI169">
        <v>3</v>
      </c>
      <c r="DK169" t="s">
        <v>1189</v>
      </c>
      <c r="DL169">
        <v>0</v>
      </c>
      <c r="DM169" t="s">
        <v>410</v>
      </c>
      <c r="DN169" t="s">
        <v>3713</v>
      </c>
      <c r="DO169" t="s">
        <v>797</v>
      </c>
      <c r="DP169" t="s">
        <v>2996</v>
      </c>
      <c r="DT169" t="s">
        <v>3025</v>
      </c>
      <c r="DU169" t="s">
        <v>448</v>
      </c>
      <c r="DV169" t="s">
        <v>981</v>
      </c>
      <c r="DW169" t="s">
        <v>3023</v>
      </c>
      <c r="DX169" t="s">
        <v>3483</v>
      </c>
      <c r="DY169" t="s">
        <v>578</v>
      </c>
      <c r="DZ169" t="s">
        <v>3714</v>
      </c>
      <c r="EA169" t="s">
        <v>2599</v>
      </c>
      <c r="ED169" t="s">
        <v>406</v>
      </c>
      <c r="EE169" t="s">
        <v>407</v>
      </c>
      <c r="EF169" t="s">
        <v>1190</v>
      </c>
      <c r="EG169" t="s">
        <v>749</v>
      </c>
    </row>
    <row r="170" spans="1:266" x14ac:dyDescent="0.25">
      <c r="A170" t="s">
        <v>3715</v>
      </c>
      <c r="B170" t="str">
        <f>"801542919498"</f>
        <v>801542919498</v>
      </c>
      <c r="C170" t="s">
        <v>3716</v>
      </c>
      <c r="D170" t="s">
        <v>1165</v>
      </c>
      <c r="E170" t="s">
        <v>413</v>
      </c>
      <c r="G170" t="str">
        <f>"98"</f>
        <v>98</v>
      </c>
      <c r="H170" t="str">
        <f>"39"</f>
        <v>39</v>
      </c>
      <c r="I170" t="str">
        <f t="shared" si="38"/>
        <v>32.5</v>
      </c>
      <c r="J170" t="str">
        <f>"175.3"</f>
        <v>175.3</v>
      </c>
      <c r="K170" t="s">
        <v>3717</v>
      </c>
      <c r="L170" t="s">
        <v>1169</v>
      </c>
      <c r="N170" t="s">
        <v>371</v>
      </c>
      <c r="O170" t="s">
        <v>1172</v>
      </c>
      <c r="T170" t="s">
        <v>373</v>
      </c>
      <c r="U170" t="s">
        <v>402</v>
      </c>
      <c r="W170" t="s">
        <v>3718</v>
      </c>
      <c r="X170" t="s">
        <v>3719</v>
      </c>
      <c r="Y170" t="s">
        <v>3720</v>
      </c>
      <c r="Z170" t="s">
        <v>3721</v>
      </c>
      <c r="AA170" t="s">
        <v>3722</v>
      </c>
      <c r="AB170" t="s">
        <v>3723</v>
      </c>
      <c r="AC170" t="s">
        <v>3724</v>
      </c>
      <c r="AD170" t="s">
        <v>3725</v>
      </c>
      <c r="AE170" t="s">
        <v>3726</v>
      </c>
      <c r="AF170" t="s">
        <v>3727</v>
      </c>
      <c r="AG170" t="s">
        <v>3728</v>
      </c>
      <c r="BA170" t="str">
        <f>"2699"</f>
        <v>2699</v>
      </c>
      <c r="BB170" t="str">
        <f>"1135"</f>
        <v>1135</v>
      </c>
      <c r="BC170" t="s">
        <v>1149</v>
      </c>
      <c r="BD170" t="str">
        <f t="shared" si="37"/>
        <v>1</v>
      </c>
      <c r="BE170" t="s">
        <v>389</v>
      </c>
      <c r="BF170" t="str">
        <f>"101.97"</f>
        <v>101.97</v>
      </c>
      <c r="BG170" t="str">
        <f>"43.3"</f>
        <v>43.3</v>
      </c>
      <c r="BH170" t="str">
        <f>"26.38"</f>
        <v>26.38</v>
      </c>
      <c r="BI170" t="str">
        <f>"182.54"</f>
        <v>182.54</v>
      </c>
      <c r="BY170" t="str">
        <f>"67.42"</f>
        <v>67.42</v>
      </c>
      <c r="BZ170" t="str">
        <f>"1.909"</f>
        <v>1.909</v>
      </c>
      <c r="CA170" t="s">
        <v>495</v>
      </c>
      <c r="CH170" t="s">
        <v>432</v>
      </c>
      <c r="CI170" t="s">
        <v>450</v>
      </c>
      <c r="CJ170" t="s">
        <v>2996</v>
      </c>
      <c r="CK170" t="s">
        <v>1510</v>
      </c>
      <c r="CL170" t="s">
        <v>449</v>
      </c>
      <c r="CM170" t="s">
        <v>3712</v>
      </c>
      <c r="CN170">
        <v>0</v>
      </c>
      <c r="CO170">
        <v>2</v>
      </c>
      <c r="CP170" t="s">
        <v>437</v>
      </c>
      <c r="CQ170" t="s">
        <v>631</v>
      </c>
      <c r="CU170" t="s">
        <v>1187</v>
      </c>
      <c r="CX170" t="s">
        <v>403</v>
      </c>
      <c r="CY170" t="s">
        <v>400</v>
      </c>
      <c r="CZ170">
        <v>0</v>
      </c>
      <c r="DD170">
        <v>15000</v>
      </c>
      <c r="DE170" t="s">
        <v>439</v>
      </c>
      <c r="DF170" t="s">
        <v>406</v>
      </c>
      <c r="DG170" t="s">
        <v>407</v>
      </c>
      <c r="DH170">
        <v>2</v>
      </c>
      <c r="DI170">
        <v>3</v>
      </c>
      <c r="DK170" t="s">
        <v>1189</v>
      </c>
      <c r="DL170">
        <v>0</v>
      </c>
      <c r="DM170" t="s">
        <v>410</v>
      </c>
      <c r="DN170" t="s">
        <v>3713</v>
      </c>
      <c r="DO170" t="s">
        <v>797</v>
      </c>
      <c r="DP170" t="s">
        <v>2996</v>
      </c>
      <c r="DT170" t="s">
        <v>3025</v>
      </c>
      <c r="DU170" t="s">
        <v>448</v>
      </c>
      <c r="DV170" t="s">
        <v>981</v>
      </c>
      <c r="DW170" t="s">
        <v>3023</v>
      </c>
      <c r="DX170" t="s">
        <v>3483</v>
      </c>
      <c r="DY170" t="s">
        <v>578</v>
      </c>
      <c r="DZ170" t="s">
        <v>3714</v>
      </c>
      <c r="EA170" t="s">
        <v>2599</v>
      </c>
      <c r="ED170" t="s">
        <v>406</v>
      </c>
      <c r="EE170" t="s">
        <v>407</v>
      </c>
      <c r="EF170" t="s">
        <v>1190</v>
      </c>
      <c r="EG170" t="s">
        <v>749</v>
      </c>
    </row>
    <row r="171" spans="1:266" x14ac:dyDescent="0.25">
      <c r="A171" t="s">
        <v>3729</v>
      </c>
      <c r="B171" t="str">
        <f>"801542699956"</f>
        <v>801542699956</v>
      </c>
      <c r="C171" t="s">
        <v>3730</v>
      </c>
      <c r="D171" t="s">
        <v>1165</v>
      </c>
      <c r="E171" t="s">
        <v>1166</v>
      </c>
      <c r="F171" t="s">
        <v>3731</v>
      </c>
      <c r="G171" t="str">
        <f>"120"</f>
        <v>120</v>
      </c>
      <c r="H171" t="str">
        <f>"39"</f>
        <v>39</v>
      </c>
      <c r="I171" t="str">
        <f t="shared" si="38"/>
        <v>32.5</v>
      </c>
      <c r="J171" t="str">
        <f>"367.9"</f>
        <v>367.9</v>
      </c>
      <c r="K171" t="s">
        <v>1195</v>
      </c>
      <c r="L171" t="s">
        <v>1169</v>
      </c>
      <c r="N171" t="s">
        <v>371</v>
      </c>
      <c r="O171" t="s">
        <v>1172</v>
      </c>
      <c r="T171" t="s">
        <v>402</v>
      </c>
      <c r="U171" t="s">
        <v>402</v>
      </c>
      <c r="V171" t="s">
        <v>3705</v>
      </c>
      <c r="W171" t="s">
        <v>3732</v>
      </c>
      <c r="X171" t="s">
        <v>3733</v>
      </c>
      <c r="Y171" t="s">
        <v>3734</v>
      </c>
      <c r="Z171" t="s">
        <v>3735</v>
      </c>
      <c r="AA171" t="s">
        <v>3736</v>
      </c>
      <c r="AB171" t="s">
        <v>3737</v>
      </c>
      <c r="BA171" t="str">
        <f>"5399"</f>
        <v>5399</v>
      </c>
      <c r="BB171" t="str">
        <f>"2270"</f>
        <v>2270</v>
      </c>
      <c r="BC171" t="s">
        <v>1149</v>
      </c>
      <c r="BD171" t="str">
        <f>"3"</f>
        <v>3</v>
      </c>
      <c r="BE171" t="s">
        <v>389</v>
      </c>
      <c r="BF171" t="str">
        <f>"44.88"</f>
        <v>44.88</v>
      </c>
      <c r="BG171" t="str">
        <f>"43.31"</f>
        <v>43.31</v>
      </c>
      <c r="BH171" t="str">
        <f>"28.35"</f>
        <v>28.35</v>
      </c>
      <c r="BI171" t="str">
        <f>"87.52"</f>
        <v>87.52</v>
      </c>
      <c r="BJ171" t="s">
        <v>389</v>
      </c>
      <c r="BK171" t="str">
        <f>"85.04"</f>
        <v>85.04</v>
      </c>
      <c r="BL171" t="str">
        <f>"47.24"</f>
        <v>47.24</v>
      </c>
      <c r="BM171" t="str">
        <f>"28.35"</f>
        <v>28.35</v>
      </c>
      <c r="BN171" t="str">
        <f>"152.12"</f>
        <v>152.12</v>
      </c>
      <c r="BO171" t="s">
        <v>389</v>
      </c>
      <c r="BP171" t="str">
        <f>"85.04"</f>
        <v>85.04</v>
      </c>
      <c r="BQ171" t="str">
        <f>"47.24"</f>
        <v>47.24</v>
      </c>
      <c r="BR171" t="str">
        <f>"28.35"</f>
        <v>28.35</v>
      </c>
      <c r="BS171" t="str">
        <f>"152.12"</f>
        <v>152.12</v>
      </c>
      <c r="BY171" t="str">
        <f>"163.68"</f>
        <v>163.68</v>
      </c>
      <c r="BZ171" t="str">
        <f>"4.635"</f>
        <v>4.635</v>
      </c>
      <c r="CA171" t="s">
        <v>431</v>
      </c>
      <c r="CP171" t="s">
        <v>437</v>
      </c>
      <c r="CQ171" t="s">
        <v>1152</v>
      </c>
      <c r="CU171" t="s">
        <v>1187</v>
      </c>
      <c r="CY171" t="s">
        <v>400</v>
      </c>
      <c r="DD171">
        <v>15000</v>
      </c>
      <c r="DE171" t="s">
        <v>439</v>
      </c>
      <c r="DF171" t="s">
        <v>406</v>
      </c>
      <c r="DG171" t="s">
        <v>407</v>
      </c>
      <c r="DI171">
        <v>5</v>
      </c>
      <c r="DJ171" t="s">
        <v>3738</v>
      </c>
      <c r="DK171" t="s">
        <v>1189</v>
      </c>
      <c r="DM171" t="s">
        <v>3739</v>
      </c>
      <c r="ED171" t="s">
        <v>406</v>
      </c>
      <c r="EE171" t="s">
        <v>407</v>
      </c>
      <c r="EF171" t="s">
        <v>1190</v>
      </c>
      <c r="EG171" t="s">
        <v>749</v>
      </c>
      <c r="EM171" t="s">
        <v>402</v>
      </c>
      <c r="GO171" t="s">
        <v>402</v>
      </c>
      <c r="GP171" t="s">
        <v>1191</v>
      </c>
      <c r="GQ171" t="s">
        <v>3740</v>
      </c>
    </row>
    <row r="172" spans="1:266" x14ac:dyDescent="0.25">
      <c r="A172" t="s">
        <v>3741</v>
      </c>
      <c r="B172" t="str">
        <f>"801542031374"</f>
        <v>801542031374</v>
      </c>
      <c r="C172" t="s">
        <v>3742</v>
      </c>
      <c r="D172" t="s">
        <v>1165</v>
      </c>
      <c r="E172" t="s">
        <v>1166</v>
      </c>
      <c r="F172" t="s">
        <v>3731</v>
      </c>
      <c r="G172" t="str">
        <f>"120"</f>
        <v>120</v>
      </c>
      <c r="H172" t="str">
        <f>"39"</f>
        <v>39</v>
      </c>
      <c r="I172" t="str">
        <f t="shared" si="38"/>
        <v>32.5</v>
      </c>
      <c r="J172" t="str">
        <f>"367.95"</f>
        <v>367.95</v>
      </c>
      <c r="K172" t="s">
        <v>1206</v>
      </c>
      <c r="L172" t="s">
        <v>1169</v>
      </c>
      <c r="N172" t="s">
        <v>416</v>
      </c>
      <c r="O172" t="s">
        <v>1172</v>
      </c>
      <c r="T172" t="s">
        <v>373</v>
      </c>
      <c r="U172" t="s">
        <v>373</v>
      </c>
      <c r="V172" t="s">
        <v>3743</v>
      </c>
      <c r="W172" t="s">
        <v>3744</v>
      </c>
      <c r="X172" t="s">
        <v>3745</v>
      </c>
      <c r="Y172" t="s">
        <v>3746</v>
      </c>
      <c r="Z172" t="s">
        <v>3747</v>
      </c>
      <c r="AA172" t="s">
        <v>3748</v>
      </c>
      <c r="AB172" t="s">
        <v>3749</v>
      </c>
      <c r="AC172" t="s">
        <v>3750</v>
      </c>
      <c r="AD172" t="s">
        <v>3751</v>
      </c>
      <c r="AE172" t="s">
        <v>3752</v>
      </c>
      <c r="AF172" t="s">
        <v>3753</v>
      </c>
      <c r="AG172" t="s">
        <v>3754</v>
      </c>
      <c r="AH172" t="s">
        <v>3755</v>
      </c>
      <c r="AI172" t="s">
        <v>3756</v>
      </c>
      <c r="AJ172" t="s">
        <v>3757</v>
      </c>
      <c r="BA172" t="str">
        <f>"7799"</f>
        <v>7799</v>
      </c>
      <c r="BB172" t="str">
        <f>"3280"</f>
        <v>3280</v>
      </c>
      <c r="BC172" t="s">
        <v>1149</v>
      </c>
      <c r="BD172" t="str">
        <f>"3"</f>
        <v>3</v>
      </c>
      <c r="BE172" t="s">
        <v>389</v>
      </c>
      <c r="BF172" t="str">
        <f>"44.88"</f>
        <v>44.88</v>
      </c>
      <c r="BG172" t="str">
        <f>"43.31"</f>
        <v>43.31</v>
      </c>
      <c r="BH172" t="str">
        <f>"28.35"</f>
        <v>28.35</v>
      </c>
      <c r="BI172" t="str">
        <f>"87.52"</f>
        <v>87.52</v>
      </c>
      <c r="BJ172" t="s">
        <v>389</v>
      </c>
      <c r="BK172" t="str">
        <f>"85.04"</f>
        <v>85.04</v>
      </c>
      <c r="BL172" t="str">
        <f>"47.24"</f>
        <v>47.24</v>
      </c>
      <c r="BM172" t="str">
        <f>"28.35"</f>
        <v>28.35</v>
      </c>
      <c r="BN172" t="str">
        <f>"152.12"</f>
        <v>152.12</v>
      </c>
      <c r="BO172" t="s">
        <v>389</v>
      </c>
      <c r="BP172" t="str">
        <f>"85.04"</f>
        <v>85.04</v>
      </c>
      <c r="BQ172" t="str">
        <f>"47.24"</f>
        <v>47.24</v>
      </c>
      <c r="BR172" t="str">
        <f>"28.35"</f>
        <v>28.35</v>
      </c>
      <c r="BS172" t="str">
        <f>"152.12"</f>
        <v>152.12</v>
      </c>
      <c r="BY172" t="str">
        <f>"163.68"</f>
        <v>163.68</v>
      </c>
      <c r="BZ172" t="str">
        <f>"4.635"</f>
        <v>4.635</v>
      </c>
      <c r="CA172" t="s">
        <v>431</v>
      </c>
      <c r="CP172" t="s">
        <v>437</v>
      </c>
      <c r="CQ172" t="s">
        <v>438</v>
      </c>
      <c r="CU172" t="s">
        <v>1187</v>
      </c>
      <c r="CY172" t="s">
        <v>400</v>
      </c>
      <c r="DD172">
        <v>0</v>
      </c>
      <c r="DE172" t="s">
        <v>439</v>
      </c>
      <c r="DF172" t="s">
        <v>406</v>
      </c>
      <c r="DG172" t="s">
        <v>407</v>
      </c>
      <c r="DI172">
        <v>5</v>
      </c>
      <c r="DJ172" t="s">
        <v>3738</v>
      </c>
      <c r="DK172" t="s">
        <v>1189</v>
      </c>
      <c r="DM172" t="s">
        <v>3739</v>
      </c>
      <c r="ED172" t="s">
        <v>406</v>
      </c>
      <c r="EE172" t="s">
        <v>407</v>
      </c>
      <c r="EF172" t="s">
        <v>1190</v>
      </c>
      <c r="EG172" t="s">
        <v>749</v>
      </c>
      <c r="EM172" t="s">
        <v>402</v>
      </c>
      <c r="GO172" t="s">
        <v>402</v>
      </c>
      <c r="GP172" t="s">
        <v>1191</v>
      </c>
      <c r="GQ172" t="s">
        <v>3740</v>
      </c>
    </row>
    <row r="173" spans="1:266" x14ac:dyDescent="0.25">
      <c r="A173" t="s">
        <v>3758</v>
      </c>
      <c r="B173" t="str">
        <f>"801542699932"</f>
        <v>801542699932</v>
      </c>
      <c r="C173" t="s">
        <v>1194</v>
      </c>
      <c r="D173" t="s">
        <v>1165</v>
      </c>
      <c r="E173" t="s">
        <v>1166</v>
      </c>
      <c r="F173" t="s">
        <v>3759</v>
      </c>
      <c r="G173" t="str">
        <f>"129"</f>
        <v>129</v>
      </c>
      <c r="H173" t="str">
        <f>"68"</f>
        <v>68</v>
      </c>
      <c r="I173" t="str">
        <f t="shared" si="38"/>
        <v>32.5</v>
      </c>
      <c r="J173" t="str">
        <f>"281.53"</f>
        <v>281.53</v>
      </c>
      <c r="K173" t="s">
        <v>1195</v>
      </c>
      <c r="L173" t="s">
        <v>1169</v>
      </c>
      <c r="N173" t="s">
        <v>371</v>
      </c>
      <c r="O173" t="s">
        <v>1172</v>
      </c>
      <c r="T173" t="s">
        <v>373</v>
      </c>
      <c r="U173" t="s">
        <v>402</v>
      </c>
      <c r="V173" t="s">
        <v>3760</v>
      </c>
      <c r="W173" t="s">
        <v>3761</v>
      </c>
      <c r="X173" t="s">
        <v>3762</v>
      </c>
      <c r="Y173" t="s">
        <v>3763</v>
      </c>
      <c r="Z173" t="s">
        <v>3764</v>
      </c>
      <c r="AA173" t="s">
        <v>3765</v>
      </c>
      <c r="AB173" t="s">
        <v>3766</v>
      </c>
      <c r="BA173" t="str">
        <f>"4199"</f>
        <v>4199</v>
      </c>
      <c r="BB173" t="str">
        <f>"1765"</f>
        <v>1765</v>
      </c>
      <c r="BC173" t="s">
        <v>1149</v>
      </c>
      <c r="BD173" t="str">
        <f>"2"</f>
        <v>2</v>
      </c>
      <c r="BE173" t="s">
        <v>389</v>
      </c>
      <c r="BF173" t="str">
        <f>"85.04"</f>
        <v>85.04</v>
      </c>
      <c r="BG173" t="str">
        <f>"47.24"</f>
        <v>47.24</v>
      </c>
      <c r="BH173" t="str">
        <f>"28.35"</f>
        <v>28.35</v>
      </c>
      <c r="BI173" t="str">
        <f>"152.12"</f>
        <v>152.12</v>
      </c>
      <c r="BJ173" t="s">
        <v>389</v>
      </c>
      <c r="BK173" t="str">
        <f>"56.3"</f>
        <v>56.3</v>
      </c>
      <c r="BL173" t="str">
        <f>"75.59"</f>
        <v>75.59</v>
      </c>
      <c r="BM173" t="str">
        <f>"30.31"</f>
        <v>30.31</v>
      </c>
      <c r="BN173" t="str">
        <f>"149.91"</f>
        <v>149.91</v>
      </c>
      <c r="BY173" t="str">
        <f>"140.55"</f>
        <v>140.55</v>
      </c>
      <c r="BZ173" t="str">
        <f>"3.98"</f>
        <v>3.98</v>
      </c>
      <c r="CA173" t="s">
        <v>431</v>
      </c>
      <c r="CP173" t="s">
        <v>437</v>
      </c>
      <c r="CQ173" t="s">
        <v>1152</v>
      </c>
      <c r="CU173" t="s">
        <v>1187</v>
      </c>
      <c r="CY173" t="s">
        <v>400</v>
      </c>
      <c r="DD173">
        <v>15000</v>
      </c>
      <c r="DE173" t="s">
        <v>439</v>
      </c>
      <c r="DF173" t="s">
        <v>406</v>
      </c>
      <c r="DG173" t="s">
        <v>407</v>
      </c>
      <c r="DI173">
        <v>3</v>
      </c>
      <c r="DJ173" t="s">
        <v>1188</v>
      </c>
      <c r="DK173" t="s">
        <v>1189</v>
      </c>
      <c r="DM173" t="s">
        <v>410</v>
      </c>
      <c r="ED173" t="s">
        <v>406</v>
      </c>
      <c r="EE173" t="s">
        <v>407</v>
      </c>
      <c r="EF173" t="s">
        <v>1190</v>
      </c>
      <c r="EG173" t="s">
        <v>749</v>
      </c>
      <c r="GO173" t="s">
        <v>402</v>
      </c>
      <c r="GP173" t="s">
        <v>1191</v>
      </c>
      <c r="GQ173" t="s">
        <v>3767</v>
      </c>
    </row>
    <row r="174" spans="1:266" x14ac:dyDescent="0.25">
      <c r="A174" t="s">
        <v>3768</v>
      </c>
      <c r="B174" t="str">
        <f>"801542031367"</f>
        <v>801542031367</v>
      </c>
      <c r="C174" t="s">
        <v>1205</v>
      </c>
      <c r="D174" t="s">
        <v>1165</v>
      </c>
      <c r="E174" t="s">
        <v>1166</v>
      </c>
      <c r="F174" t="s">
        <v>3759</v>
      </c>
      <c r="G174" t="str">
        <f>"129"</f>
        <v>129</v>
      </c>
      <c r="H174" t="str">
        <f>"68"</f>
        <v>68</v>
      </c>
      <c r="I174" t="str">
        <f t="shared" si="38"/>
        <v>32.5</v>
      </c>
      <c r="J174" t="str">
        <f>"281.53"</f>
        <v>281.53</v>
      </c>
      <c r="K174" t="s">
        <v>1206</v>
      </c>
      <c r="L174" t="s">
        <v>1169</v>
      </c>
      <c r="N174" t="s">
        <v>416</v>
      </c>
      <c r="O174" t="s">
        <v>1172</v>
      </c>
      <c r="T174" t="s">
        <v>373</v>
      </c>
      <c r="U174" t="s">
        <v>373</v>
      </c>
      <c r="V174" t="s">
        <v>3769</v>
      </c>
      <c r="W174" t="s">
        <v>3770</v>
      </c>
      <c r="X174" t="s">
        <v>3771</v>
      </c>
      <c r="Y174" t="s">
        <v>3772</v>
      </c>
      <c r="Z174" t="s">
        <v>3773</v>
      </c>
      <c r="AA174" t="s">
        <v>3774</v>
      </c>
      <c r="AB174" t="s">
        <v>3775</v>
      </c>
      <c r="AC174" t="s">
        <v>3776</v>
      </c>
      <c r="AD174" t="s">
        <v>3777</v>
      </c>
      <c r="AE174" t="s">
        <v>3778</v>
      </c>
      <c r="AF174" t="s">
        <v>3779</v>
      </c>
      <c r="AG174" t="s">
        <v>3780</v>
      </c>
      <c r="AH174" t="s">
        <v>3781</v>
      </c>
      <c r="BA174" t="str">
        <f>"5999"</f>
        <v>5999</v>
      </c>
      <c r="BB174" t="str">
        <f>"2520"</f>
        <v>2520</v>
      </c>
      <c r="BC174" t="s">
        <v>1149</v>
      </c>
      <c r="BD174" t="str">
        <f>"2"</f>
        <v>2</v>
      </c>
      <c r="BE174" t="s">
        <v>389</v>
      </c>
      <c r="BF174" t="str">
        <f>"85.04"</f>
        <v>85.04</v>
      </c>
      <c r="BG174" t="str">
        <f>"47.24"</f>
        <v>47.24</v>
      </c>
      <c r="BH174" t="str">
        <f>"28.35"</f>
        <v>28.35</v>
      </c>
      <c r="BI174" t="str">
        <f>"152.12"</f>
        <v>152.12</v>
      </c>
      <c r="BJ174" t="s">
        <v>389</v>
      </c>
      <c r="BK174" t="str">
        <f>"56.3"</f>
        <v>56.3</v>
      </c>
      <c r="BL174" t="str">
        <f>"75.59"</f>
        <v>75.59</v>
      </c>
      <c r="BM174" t="str">
        <f>"30.31"</f>
        <v>30.31</v>
      </c>
      <c r="BN174" t="str">
        <f>"149.91"</f>
        <v>149.91</v>
      </c>
      <c r="BY174" t="str">
        <f>"140.55"</f>
        <v>140.55</v>
      </c>
      <c r="BZ174" t="str">
        <f>"3.98"</f>
        <v>3.98</v>
      </c>
      <c r="CA174" t="s">
        <v>495</v>
      </c>
      <c r="CP174" t="s">
        <v>437</v>
      </c>
      <c r="CQ174" t="s">
        <v>438</v>
      </c>
      <c r="CU174" t="s">
        <v>1187</v>
      </c>
      <c r="CY174" t="s">
        <v>400</v>
      </c>
      <c r="DD174">
        <v>0</v>
      </c>
      <c r="DE174" t="s">
        <v>439</v>
      </c>
      <c r="DF174" t="s">
        <v>406</v>
      </c>
      <c r="DG174" t="s">
        <v>407</v>
      </c>
      <c r="DI174">
        <v>3</v>
      </c>
      <c r="DJ174" t="s">
        <v>1188</v>
      </c>
      <c r="DK174" t="s">
        <v>1189</v>
      </c>
      <c r="DM174" t="s">
        <v>410</v>
      </c>
      <c r="ED174" t="s">
        <v>406</v>
      </c>
      <c r="EE174" t="s">
        <v>407</v>
      </c>
      <c r="EF174" t="s">
        <v>1190</v>
      </c>
      <c r="EG174" t="s">
        <v>749</v>
      </c>
      <c r="GO174" t="s">
        <v>402</v>
      </c>
      <c r="GP174" t="s">
        <v>1191</v>
      </c>
      <c r="GQ174" t="s">
        <v>3767</v>
      </c>
    </row>
    <row r="175" spans="1:266" x14ac:dyDescent="0.25">
      <c r="A175" t="s">
        <v>3782</v>
      </c>
      <c r="B175" t="str">
        <f>"801542763381"</f>
        <v>801542763381</v>
      </c>
      <c r="C175" t="s">
        <v>3783</v>
      </c>
      <c r="D175" t="s">
        <v>3784</v>
      </c>
      <c r="E175" t="s">
        <v>1021</v>
      </c>
      <c r="G175" t="str">
        <f>"69"</f>
        <v>69</v>
      </c>
      <c r="H175" t="str">
        <f>"18"</f>
        <v>18</v>
      </c>
      <c r="I175" t="str">
        <f>"29.25"</f>
        <v>29.25</v>
      </c>
      <c r="J175" t="str">
        <f>"113.54"</f>
        <v>113.54</v>
      </c>
      <c r="K175" t="s">
        <v>3785</v>
      </c>
      <c r="L175" t="s">
        <v>3786</v>
      </c>
      <c r="N175" t="s">
        <v>3787</v>
      </c>
      <c r="O175" t="s">
        <v>416</v>
      </c>
      <c r="T175" t="s">
        <v>373</v>
      </c>
      <c r="U175" t="s">
        <v>373</v>
      </c>
      <c r="V175" t="s">
        <v>3788</v>
      </c>
      <c r="W175" t="s">
        <v>3789</v>
      </c>
      <c r="X175" t="s">
        <v>3790</v>
      </c>
      <c r="Y175" t="s">
        <v>3791</v>
      </c>
      <c r="Z175" t="s">
        <v>3792</v>
      </c>
      <c r="AA175" t="s">
        <v>3793</v>
      </c>
      <c r="AB175" t="s">
        <v>3794</v>
      </c>
      <c r="AC175" t="s">
        <v>3795</v>
      </c>
      <c r="AD175" t="s">
        <v>3796</v>
      </c>
      <c r="AE175" t="s">
        <v>3797</v>
      </c>
      <c r="AF175" t="s">
        <v>3798</v>
      </c>
      <c r="AG175" t="s">
        <v>3799</v>
      </c>
      <c r="AH175" t="s">
        <v>3800</v>
      </c>
      <c r="AI175" t="s">
        <v>3801</v>
      </c>
      <c r="AJ175" t="s">
        <v>3802</v>
      </c>
      <c r="AK175" t="s">
        <v>3803</v>
      </c>
      <c r="BA175" t="str">
        <f>"1499"</f>
        <v>1499</v>
      </c>
      <c r="BB175" t="str">
        <f>"630"</f>
        <v>630</v>
      </c>
      <c r="BC175" t="s">
        <v>1149</v>
      </c>
      <c r="BD175" t="str">
        <f t="shared" ref="BD175:BD183" si="39">"1"</f>
        <v>1</v>
      </c>
      <c r="BE175" t="s">
        <v>389</v>
      </c>
      <c r="BF175" t="str">
        <f>"74.02"</f>
        <v>74.02</v>
      </c>
      <c r="BG175" t="str">
        <f>"22.24"</f>
        <v>22.24</v>
      </c>
      <c r="BH175" t="str">
        <f>"33.86"</f>
        <v>33.86</v>
      </c>
      <c r="BI175" t="str">
        <f>"142.2"</f>
        <v>142.2</v>
      </c>
      <c r="BY175" t="str">
        <f>"32.24"</f>
        <v>32.24</v>
      </c>
      <c r="BZ175" t="str">
        <f>"0.913"</f>
        <v>0.913</v>
      </c>
      <c r="CA175" t="s">
        <v>390</v>
      </c>
      <c r="CB175" t="s">
        <v>3804</v>
      </c>
      <c r="CC175" t="s">
        <v>1348</v>
      </c>
      <c r="CD175" t="s">
        <v>3805</v>
      </c>
      <c r="CE175" t="s">
        <v>3804</v>
      </c>
      <c r="CF175" t="s">
        <v>3188</v>
      </c>
      <c r="CG175" t="s">
        <v>3805</v>
      </c>
      <c r="CR175" t="s">
        <v>3806</v>
      </c>
      <c r="CS175">
        <v>2</v>
      </c>
      <c r="CT175" t="s">
        <v>1008</v>
      </c>
      <c r="CV175">
        <v>1</v>
      </c>
      <c r="CW175" t="s">
        <v>402</v>
      </c>
      <c r="CX175" t="s">
        <v>1018</v>
      </c>
      <c r="CY175" t="s">
        <v>954</v>
      </c>
      <c r="DA175">
        <v>18.14</v>
      </c>
      <c r="DB175">
        <v>40</v>
      </c>
      <c r="DC175">
        <v>2</v>
      </c>
      <c r="DK175" t="s">
        <v>3807</v>
      </c>
      <c r="DX175" t="s">
        <v>1354</v>
      </c>
      <c r="EM175" t="s">
        <v>402</v>
      </c>
      <c r="EN175">
        <v>4</v>
      </c>
      <c r="EZ175" t="s">
        <v>3808</v>
      </c>
      <c r="FA175" t="s">
        <v>1348</v>
      </c>
      <c r="FB175" t="s">
        <v>3805</v>
      </c>
      <c r="FC175" t="s">
        <v>3809</v>
      </c>
      <c r="FD175" t="s">
        <v>1348</v>
      </c>
      <c r="FE175" t="s">
        <v>1055</v>
      </c>
      <c r="FG175" t="s">
        <v>402</v>
      </c>
      <c r="FH175" t="s">
        <v>959</v>
      </c>
      <c r="FI175">
        <v>2</v>
      </c>
      <c r="FJ175" t="s">
        <v>960</v>
      </c>
      <c r="FK175" t="s">
        <v>1246</v>
      </c>
      <c r="FM175" t="s">
        <v>402</v>
      </c>
      <c r="FO175" t="s">
        <v>984</v>
      </c>
      <c r="FR175" t="s">
        <v>1013</v>
      </c>
      <c r="FT175" t="s">
        <v>2170</v>
      </c>
      <c r="FV175" t="s">
        <v>3810</v>
      </c>
      <c r="FX175" t="s">
        <v>1008</v>
      </c>
      <c r="FZ175" t="s">
        <v>1018</v>
      </c>
      <c r="GA175" t="s">
        <v>402</v>
      </c>
      <c r="GB175" t="s">
        <v>391</v>
      </c>
      <c r="GC175" t="s">
        <v>3808</v>
      </c>
      <c r="GD175" t="s">
        <v>1055</v>
      </c>
      <c r="GE175">
        <v>0</v>
      </c>
      <c r="GR175" t="s">
        <v>391</v>
      </c>
      <c r="GS175" t="s">
        <v>3804</v>
      </c>
      <c r="GT175" t="s">
        <v>3808</v>
      </c>
      <c r="GU175" t="s">
        <v>3188</v>
      </c>
      <c r="GV175" t="s">
        <v>1055</v>
      </c>
      <c r="GW175" t="s">
        <v>3805</v>
      </c>
      <c r="GX175" t="s">
        <v>2081</v>
      </c>
      <c r="HI175" t="s">
        <v>402</v>
      </c>
    </row>
    <row r="176" spans="1:266" x14ac:dyDescent="0.25">
      <c r="A176" t="s">
        <v>3811</v>
      </c>
      <c r="B176" t="str">
        <f>"801542763343"</f>
        <v>801542763343</v>
      </c>
      <c r="C176" t="s">
        <v>3812</v>
      </c>
      <c r="D176" t="s">
        <v>3784</v>
      </c>
      <c r="E176" t="s">
        <v>3813</v>
      </c>
      <c r="G176" t="str">
        <f>"24"</f>
        <v>24</v>
      </c>
      <c r="H176" t="str">
        <f>"18"</f>
        <v>18</v>
      </c>
      <c r="I176" t="str">
        <f>"78"</f>
        <v>78</v>
      </c>
      <c r="J176" t="str">
        <f>"76.06"</f>
        <v>76.06</v>
      </c>
      <c r="K176" t="s">
        <v>3814</v>
      </c>
      <c r="L176" t="s">
        <v>3786</v>
      </c>
      <c r="M176" t="s">
        <v>3785</v>
      </c>
      <c r="N176" t="s">
        <v>555</v>
      </c>
      <c r="O176" t="s">
        <v>416</v>
      </c>
      <c r="P176" t="s">
        <v>3787</v>
      </c>
      <c r="T176" t="s">
        <v>373</v>
      </c>
      <c r="U176" t="s">
        <v>373</v>
      </c>
      <c r="V176" t="s">
        <v>3815</v>
      </c>
      <c r="W176" t="s">
        <v>3816</v>
      </c>
      <c r="X176" t="s">
        <v>3817</v>
      </c>
      <c r="Y176" t="s">
        <v>3818</v>
      </c>
      <c r="Z176" t="s">
        <v>3819</v>
      </c>
      <c r="AA176" t="s">
        <v>3820</v>
      </c>
      <c r="AB176" t="s">
        <v>3821</v>
      </c>
      <c r="AC176" t="s">
        <v>3796</v>
      </c>
      <c r="AD176" t="s">
        <v>3822</v>
      </c>
      <c r="AE176" t="s">
        <v>3823</v>
      </c>
      <c r="AF176" t="s">
        <v>3824</v>
      </c>
      <c r="AG176" t="s">
        <v>3825</v>
      </c>
      <c r="AH176" t="s">
        <v>3826</v>
      </c>
      <c r="AI176" t="s">
        <v>3827</v>
      </c>
      <c r="AJ176" t="s">
        <v>3828</v>
      </c>
      <c r="AK176" t="s">
        <v>3829</v>
      </c>
      <c r="BA176" t="str">
        <f>"1199"</f>
        <v>1199</v>
      </c>
      <c r="BB176" t="str">
        <f>"505"</f>
        <v>505</v>
      </c>
      <c r="BC176" t="s">
        <v>1149</v>
      </c>
      <c r="BD176" t="str">
        <f t="shared" si="39"/>
        <v>1</v>
      </c>
      <c r="BE176" t="s">
        <v>389</v>
      </c>
      <c r="BF176" t="str">
        <f>"27.56"</f>
        <v>27.56</v>
      </c>
      <c r="BG176" t="str">
        <f>"20.08"</f>
        <v>20.08</v>
      </c>
      <c r="BH176" t="str">
        <f>"82.68"</f>
        <v>82.68</v>
      </c>
      <c r="BI176" t="str">
        <f>"99.21"</f>
        <v>99.21</v>
      </c>
      <c r="BY176" t="str">
        <f>"26.49"</f>
        <v>26.49</v>
      </c>
      <c r="BZ176" t="str">
        <f>"0.75"</f>
        <v>0.75</v>
      </c>
      <c r="CA176" t="s">
        <v>495</v>
      </c>
      <c r="CB176" t="s">
        <v>2595</v>
      </c>
      <c r="CC176" t="s">
        <v>1348</v>
      </c>
      <c r="CD176" t="s">
        <v>2071</v>
      </c>
      <c r="CE176" t="s">
        <v>3830</v>
      </c>
      <c r="CF176" t="s">
        <v>3831</v>
      </c>
      <c r="CG176" t="s">
        <v>3832</v>
      </c>
      <c r="CR176" t="s">
        <v>3806</v>
      </c>
      <c r="CS176">
        <v>2</v>
      </c>
      <c r="CT176" t="s">
        <v>1008</v>
      </c>
      <c r="CV176">
        <v>3</v>
      </c>
      <c r="CW176" t="s">
        <v>402</v>
      </c>
      <c r="CX176" t="s">
        <v>1018</v>
      </c>
      <c r="CY176" t="s">
        <v>1009</v>
      </c>
      <c r="DA176">
        <v>18.14</v>
      </c>
      <c r="DB176">
        <v>40</v>
      </c>
      <c r="DC176">
        <v>0</v>
      </c>
      <c r="DJ176" t="s">
        <v>982</v>
      </c>
      <c r="DK176" t="s">
        <v>3807</v>
      </c>
      <c r="DX176" t="s">
        <v>1290</v>
      </c>
      <c r="EM176" t="s">
        <v>402</v>
      </c>
      <c r="EN176">
        <v>4</v>
      </c>
      <c r="FI176">
        <v>0</v>
      </c>
      <c r="FJ176" t="s">
        <v>1012</v>
      </c>
      <c r="FR176" t="s">
        <v>2073</v>
      </c>
      <c r="FT176" t="s">
        <v>3079</v>
      </c>
      <c r="FV176" t="s">
        <v>1636</v>
      </c>
      <c r="FX176" t="s">
        <v>1008</v>
      </c>
      <c r="FZ176" t="s">
        <v>1018</v>
      </c>
      <c r="GA176" t="s">
        <v>402</v>
      </c>
      <c r="GB176" t="s">
        <v>3830</v>
      </c>
      <c r="GC176" t="s">
        <v>3833</v>
      </c>
      <c r="GD176" t="s">
        <v>3832</v>
      </c>
      <c r="GR176" t="s">
        <v>3830</v>
      </c>
      <c r="GT176" t="s">
        <v>2034</v>
      </c>
      <c r="GV176" t="s">
        <v>3832</v>
      </c>
    </row>
    <row r="177" spans="1:216" x14ac:dyDescent="0.25">
      <c r="A177" t="s">
        <v>3834</v>
      </c>
      <c r="B177" t="str">
        <f>"801542769550"</f>
        <v>801542769550</v>
      </c>
      <c r="C177" t="s">
        <v>3835</v>
      </c>
      <c r="D177" t="s">
        <v>3784</v>
      </c>
      <c r="E177" t="s">
        <v>1319</v>
      </c>
      <c r="F177" t="s">
        <v>3836</v>
      </c>
      <c r="G177" t="str">
        <f>"59.75"</f>
        <v>59.75</v>
      </c>
      <c r="H177" t="str">
        <f>"22"</f>
        <v>22</v>
      </c>
      <c r="I177" t="str">
        <f>"31"</f>
        <v>31</v>
      </c>
      <c r="J177" t="str">
        <f>"80.47"</f>
        <v>80.47</v>
      </c>
      <c r="K177" t="s">
        <v>3785</v>
      </c>
      <c r="L177" t="s">
        <v>3786</v>
      </c>
      <c r="N177" t="s">
        <v>3787</v>
      </c>
      <c r="O177" t="s">
        <v>416</v>
      </c>
      <c r="T177" t="s">
        <v>373</v>
      </c>
      <c r="U177" t="s">
        <v>373</v>
      </c>
      <c r="V177" t="s">
        <v>3837</v>
      </c>
      <c r="W177" t="s">
        <v>3838</v>
      </c>
      <c r="X177" t="s">
        <v>3839</v>
      </c>
      <c r="Y177" t="s">
        <v>3840</v>
      </c>
      <c r="Z177" t="s">
        <v>3841</v>
      </c>
      <c r="AA177" t="s">
        <v>3842</v>
      </c>
      <c r="AB177" t="s">
        <v>3843</v>
      </c>
      <c r="AC177" t="s">
        <v>3844</v>
      </c>
      <c r="AD177" t="s">
        <v>3796</v>
      </c>
      <c r="AE177" t="s">
        <v>3845</v>
      </c>
      <c r="AF177" t="s">
        <v>3846</v>
      </c>
      <c r="AG177" t="s">
        <v>3847</v>
      </c>
      <c r="AH177" t="s">
        <v>3848</v>
      </c>
      <c r="AI177" t="s">
        <v>3849</v>
      </c>
      <c r="AJ177" t="s">
        <v>3850</v>
      </c>
      <c r="AK177" t="s">
        <v>3851</v>
      </c>
      <c r="AL177" t="s">
        <v>3852</v>
      </c>
      <c r="BA177" t="str">
        <f>"1249"</f>
        <v>1249</v>
      </c>
      <c r="BB177" t="str">
        <f>"525"</f>
        <v>525</v>
      </c>
      <c r="BC177" t="s">
        <v>1149</v>
      </c>
      <c r="BD177" t="str">
        <f t="shared" si="39"/>
        <v>1</v>
      </c>
      <c r="BE177" t="s">
        <v>389</v>
      </c>
      <c r="BF177" t="str">
        <f>"64.49"</f>
        <v>64.49</v>
      </c>
      <c r="BG177" t="str">
        <f>"25.98"</f>
        <v>25.98</v>
      </c>
      <c r="BH177" t="str">
        <f>"34.49"</f>
        <v>34.49</v>
      </c>
      <c r="BI177" t="str">
        <f>"105.82"</f>
        <v>105.82</v>
      </c>
      <c r="BY177" t="str">
        <f>"33.44"</f>
        <v>33.44</v>
      </c>
      <c r="BZ177" t="str">
        <f>"0.947"</f>
        <v>0.947</v>
      </c>
      <c r="CA177" t="s">
        <v>431</v>
      </c>
      <c r="CR177" t="s">
        <v>3806</v>
      </c>
      <c r="CS177">
        <v>3</v>
      </c>
      <c r="CT177" t="s">
        <v>1008</v>
      </c>
      <c r="CV177">
        <v>0</v>
      </c>
      <c r="CX177" t="s">
        <v>1018</v>
      </c>
      <c r="CY177" t="s">
        <v>1009</v>
      </c>
      <c r="DC177">
        <v>0</v>
      </c>
      <c r="DJ177" t="s">
        <v>3853</v>
      </c>
      <c r="DK177" t="s">
        <v>3807</v>
      </c>
      <c r="DM177" t="s">
        <v>473</v>
      </c>
      <c r="DX177" t="s">
        <v>1290</v>
      </c>
      <c r="DY177" t="s">
        <v>2286</v>
      </c>
      <c r="DZ177" t="s">
        <v>3854</v>
      </c>
      <c r="EI177" t="s">
        <v>1291</v>
      </c>
      <c r="EJ177" t="s">
        <v>1342</v>
      </c>
      <c r="EK177" t="s">
        <v>3855</v>
      </c>
      <c r="EL177" t="s">
        <v>1348</v>
      </c>
      <c r="EM177" t="s">
        <v>402</v>
      </c>
      <c r="EN177">
        <v>0</v>
      </c>
      <c r="EW177" t="s">
        <v>796</v>
      </c>
      <c r="FI177">
        <v>0</v>
      </c>
      <c r="FJ177" t="s">
        <v>1012</v>
      </c>
      <c r="FR177" t="s">
        <v>396</v>
      </c>
      <c r="FT177" t="s">
        <v>3856</v>
      </c>
      <c r="FV177" t="s">
        <v>3857</v>
      </c>
      <c r="FX177" t="s">
        <v>1008</v>
      </c>
      <c r="FZ177" t="s">
        <v>1018</v>
      </c>
      <c r="GA177" t="s">
        <v>402</v>
      </c>
      <c r="GE177">
        <v>0</v>
      </c>
      <c r="HH177" t="s">
        <v>402</v>
      </c>
    </row>
    <row r="178" spans="1:216" x14ac:dyDescent="0.25">
      <c r="A178" t="s">
        <v>3858</v>
      </c>
      <c r="B178" t="str">
        <f>"801542758615"</f>
        <v>801542758615</v>
      </c>
      <c r="C178" t="s">
        <v>3859</v>
      </c>
      <c r="D178" t="s">
        <v>3784</v>
      </c>
      <c r="E178" t="s">
        <v>3860</v>
      </c>
      <c r="G178" t="str">
        <f>"30"</f>
        <v>30</v>
      </c>
      <c r="H178" t="str">
        <f>"22"</f>
        <v>22</v>
      </c>
      <c r="I178" t="str">
        <f>"31"</f>
        <v>31</v>
      </c>
      <c r="J178" t="str">
        <f>"85.98"</f>
        <v>85.98</v>
      </c>
      <c r="K178" t="s">
        <v>3861</v>
      </c>
      <c r="L178" t="s">
        <v>3862</v>
      </c>
      <c r="N178" t="s">
        <v>3787</v>
      </c>
      <c r="O178" t="s">
        <v>416</v>
      </c>
      <c r="T178" t="s">
        <v>373</v>
      </c>
      <c r="U178" t="s">
        <v>373</v>
      </c>
      <c r="V178" t="s">
        <v>3863</v>
      </c>
      <c r="W178" t="s">
        <v>3864</v>
      </c>
      <c r="X178" t="s">
        <v>3865</v>
      </c>
      <c r="Y178" t="s">
        <v>3866</v>
      </c>
      <c r="Z178" t="s">
        <v>3867</v>
      </c>
      <c r="AA178" t="s">
        <v>3868</v>
      </c>
      <c r="AB178" t="s">
        <v>3869</v>
      </c>
      <c r="AC178" t="s">
        <v>3870</v>
      </c>
      <c r="AD178" t="s">
        <v>3871</v>
      </c>
      <c r="AE178" t="s">
        <v>3872</v>
      </c>
      <c r="AF178" t="s">
        <v>3873</v>
      </c>
      <c r="AG178" t="s">
        <v>3874</v>
      </c>
      <c r="AH178" t="s">
        <v>3875</v>
      </c>
      <c r="AI178" t="s">
        <v>3876</v>
      </c>
      <c r="AJ178" t="s">
        <v>3877</v>
      </c>
      <c r="AK178" t="s">
        <v>3878</v>
      </c>
      <c r="AL178" t="s">
        <v>3879</v>
      </c>
      <c r="BA178" t="str">
        <f>"1149"</f>
        <v>1149</v>
      </c>
      <c r="BB178" t="str">
        <f>"485"</f>
        <v>485</v>
      </c>
      <c r="BC178" t="s">
        <v>1149</v>
      </c>
      <c r="BD178" t="str">
        <f t="shared" si="39"/>
        <v>1</v>
      </c>
      <c r="BE178" t="s">
        <v>389</v>
      </c>
      <c r="BF178" t="str">
        <f>"34.65"</f>
        <v>34.65</v>
      </c>
      <c r="BG178" t="str">
        <f>"26.77"</f>
        <v>26.77</v>
      </c>
      <c r="BH178" t="str">
        <f>"37.01"</f>
        <v>37.01</v>
      </c>
      <c r="BI178" t="str">
        <f>"112.43"</f>
        <v>112.43</v>
      </c>
      <c r="BY178" t="str">
        <f>"19.85"</f>
        <v>19.85</v>
      </c>
      <c r="BZ178" t="str">
        <f>"0.562"</f>
        <v>0.562</v>
      </c>
      <c r="CA178" t="s">
        <v>431</v>
      </c>
      <c r="CB178" t="s">
        <v>2124</v>
      </c>
      <c r="CC178" t="s">
        <v>1348</v>
      </c>
      <c r="CD178" t="s">
        <v>544</v>
      </c>
      <c r="CE178" t="s">
        <v>2124</v>
      </c>
      <c r="CF178" t="s">
        <v>3880</v>
      </c>
      <c r="CG178" t="s">
        <v>544</v>
      </c>
      <c r="CR178" t="s">
        <v>3806</v>
      </c>
      <c r="CS178">
        <v>2</v>
      </c>
      <c r="CT178" t="s">
        <v>1008</v>
      </c>
      <c r="CV178">
        <v>1</v>
      </c>
      <c r="CW178" t="s">
        <v>402</v>
      </c>
      <c r="CX178" t="s">
        <v>1018</v>
      </c>
      <c r="CY178" t="s">
        <v>1009</v>
      </c>
      <c r="DC178">
        <v>0</v>
      </c>
      <c r="DJ178" t="s">
        <v>3881</v>
      </c>
      <c r="DK178" t="s">
        <v>3807</v>
      </c>
      <c r="DM178" t="s">
        <v>473</v>
      </c>
      <c r="DX178" t="s">
        <v>1290</v>
      </c>
      <c r="DY178" t="s">
        <v>2124</v>
      </c>
      <c r="DZ178" t="s">
        <v>544</v>
      </c>
      <c r="EI178" t="s">
        <v>1291</v>
      </c>
      <c r="EJ178" t="s">
        <v>676</v>
      </c>
      <c r="EK178" t="s">
        <v>3882</v>
      </c>
      <c r="EL178" t="s">
        <v>1348</v>
      </c>
      <c r="EM178" t="s">
        <v>402</v>
      </c>
      <c r="EN178">
        <v>1</v>
      </c>
      <c r="FI178">
        <v>0</v>
      </c>
      <c r="FJ178" t="s">
        <v>1012</v>
      </c>
      <c r="FR178" t="s">
        <v>3833</v>
      </c>
      <c r="FS178" t="s">
        <v>3833</v>
      </c>
      <c r="FT178" t="s">
        <v>542</v>
      </c>
      <c r="FU178" t="s">
        <v>3883</v>
      </c>
      <c r="FV178" t="s">
        <v>3055</v>
      </c>
      <c r="FW178" t="s">
        <v>3055</v>
      </c>
      <c r="FX178" t="s">
        <v>1008</v>
      </c>
      <c r="FZ178" t="s">
        <v>1018</v>
      </c>
      <c r="GA178" t="s">
        <v>402</v>
      </c>
      <c r="GE178">
        <v>1</v>
      </c>
      <c r="HH178" t="s">
        <v>402</v>
      </c>
    </row>
    <row r="179" spans="1:216" x14ac:dyDescent="0.25">
      <c r="A179" t="s">
        <v>3884</v>
      </c>
      <c r="B179" t="str">
        <f>"801542758769"</f>
        <v>801542758769</v>
      </c>
      <c r="C179" t="s">
        <v>3885</v>
      </c>
      <c r="D179" t="s">
        <v>3784</v>
      </c>
      <c r="E179" t="s">
        <v>3860</v>
      </c>
      <c r="G179" t="str">
        <f>"30"</f>
        <v>30</v>
      </c>
      <c r="H179" t="str">
        <f>"22"</f>
        <v>22</v>
      </c>
      <c r="I179" t="str">
        <f>"31"</f>
        <v>31</v>
      </c>
      <c r="J179" t="str">
        <f>"85.98"</f>
        <v>85.98</v>
      </c>
      <c r="K179" t="s">
        <v>3886</v>
      </c>
      <c r="L179" t="s">
        <v>3786</v>
      </c>
      <c r="N179" t="s">
        <v>3787</v>
      </c>
      <c r="O179" t="s">
        <v>416</v>
      </c>
      <c r="T179" t="s">
        <v>373</v>
      </c>
      <c r="U179" t="s">
        <v>373</v>
      </c>
      <c r="V179" t="s">
        <v>3887</v>
      </c>
      <c r="W179" t="s">
        <v>3888</v>
      </c>
      <c r="X179" t="s">
        <v>3889</v>
      </c>
      <c r="Y179" t="s">
        <v>3890</v>
      </c>
      <c r="Z179" t="s">
        <v>3891</v>
      </c>
      <c r="AA179" t="s">
        <v>3892</v>
      </c>
      <c r="AB179" t="s">
        <v>3893</v>
      </c>
      <c r="AC179" t="s">
        <v>3894</v>
      </c>
      <c r="AD179" t="s">
        <v>3895</v>
      </c>
      <c r="AE179" t="s">
        <v>3896</v>
      </c>
      <c r="AF179" t="s">
        <v>3897</v>
      </c>
      <c r="AG179" t="s">
        <v>3898</v>
      </c>
      <c r="AH179" t="s">
        <v>3899</v>
      </c>
      <c r="AI179" t="s">
        <v>3900</v>
      </c>
      <c r="AJ179" t="s">
        <v>3901</v>
      </c>
      <c r="AK179" t="s">
        <v>3902</v>
      </c>
      <c r="AL179" t="s">
        <v>3903</v>
      </c>
      <c r="AM179" t="s">
        <v>3904</v>
      </c>
      <c r="BA179" t="str">
        <f>"1149"</f>
        <v>1149</v>
      </c>
      <c r="BB179" t="str">
        <f>"485"</f>
        <v>485</v>
      </c>
      <c r="BC179" t="s">
        <v>1149</v>
      </c>
      <c r="BD179" t="str">
        <f t="shared" si="39"/>
        <v>1</v>
      </c>
      <c r="BE179" t="s">
        <v>389</v>
      </c>
      <c r="BF179" t="str">
        <f>"34.65"</f>
        <v>34.65</v>
      </c>
      <c r="BG179" t="str">
        <f>"26.77"</f>
        <v>26.77</v>
      </c>
      <c r="BH179" t="str">
        <f>"37.01"</f>
        <v>37.01</v>
      </c>
      <c r="BI179" t="str">
        <f>"112.43"</f>
        <v>112.43</v>
      </c>
      <c r="BY179" t="str">
        <f>"19.88"</f>
        <v>19.88</v>
      </c>
      <c r="BZ179" t="str">
        <f>"0.563"</f>
        <v>0.563</v>
      </c>
      <c r="CA179" t="s">
        <v>431</v>
      </c>
      <c r="CB179" t="s">
        <v>2124</v>
      </c>
      <c r="CC179" t="s">
        <v>1348</v>
      </c>
      <c r="CD179" t="s">
        <v>544</v>
      </c>
      <c r="CE179" t="s">
        <v>2124</v>
      </c>
      <c r="CF179" t="s">
        <v>3880</v>
      </c>
      <c r="CG179" t="s">
        <v>544</v>
      </c>
      <c r="CR179" t="s">
        <v>3806</v>
      </c>
      <c r="CS179">
        <v>2</v>
      </c>
      <c r="CT179" t="s">
        <v>1008</v>
      </c>
      <c r="CV179">
        <v>1</v>
      </c>
      <c r="CW179" t="s">
        <v>402</v>
      </c>
      <c r="CX179" t="s">
        <v>1018</v>
      </c>
      <c r="CY179" t="s">
        <v>1009</v>
      </c>
      <c r="DC179">
        <v>0</v>
      </c>
      <c r="DJ179" t="s">
        <v>3881</v>
      </c>
      <c r="DK179" t="s">
        <v>3807</v>
      </c>
      <c r="DM179" t="s">
        <v>473</v>
      </c>
      <c r="DX179" t="s">
        <v>1290</v>
      </c>
      <c r="DY179" t="s">
        <v>2124</v>
      </c>
      <c r="DZ179" t="s">
        <v>544</v>
      </c>
      <c r="EI179" t="s">
        <v>1291</v>
      </c>
      <c r="EJ179" t="s">
        <v>676</v>
      </c>
      <c r="EK179" t="s">
        <v>3882</v>
      </c>
      <c r="EL179" t="s">
        <v>1348</v>
      </c>
      <c r="EM179" t="s">
        <v>402</v>
      </c>
      <c r="EN179">
        <v>1</v>
      </c>
      <c r="FI179">
        <v>0</v>
      </c>
      <c r="FJ179" t="s">
        <v>1012</v>
      </c>
      <c r="FR179" t="s">
        <v>3833</v>
      </c>
      <c r="FS179" t="s">
        <v>3833</v>
      </c>
      <c r="FT179" t="s">
        <v>542</v>
      </c>
      <c r="FU179" t="s">
        <v>3883</v>
      </c>
      <c r="FV179" t="s">
        <v>3055</v>
      </c>
      <c r="FW179" t="s">
        <v>3055</v>
      </c>
      <c r="FX179" t="s">
        <v>1008</v>
      </c>
      <c r="FZ179" t="s">
        <v>1018</v>
      </c>
      <c r="GA179" t="s">
        <v>402</v>
      </c>
      <c r="GE179">
        <v>1</v>
      </c>
      <c r="HH179" t="s">
        <v>402</v>
      </c>
    </row>
    <row r="180" spans="1:216" x14ac:dyDescent="0.25">
      <c r="A180" t="s">
        <v>3905</v>
      </c>
      <c r="B180" t="str">
        <f>"801542769536"</f>
        <v>801542769536</v>
      </c>
      <c r="C180" t="s">
        <v>3906</v>
      </c>
      <c r="D180" t="s">
        <v>3784</v>
      </c>
      <c r="E180" t="s">
        <v>3860</v>
      </c>
      <c r="G180" t="str">
        <f>"30"</f>
        <v>30</v>
      </c>
      <c r="H180" t="str">
        <f>"22"</f>
        <v>22</v>
      </c>
      <c r="I180" t="str">
        <f>"31"</f>
        <v>31</v>
      </c>
      <c r="J180" t="str">
        <f>"85.98"</f>
        <v>85.98</v>
      </c>
      <c r="K180" t="s">
        <v>3785</v>
      </c>
      <c r="L180" t="s">
        <v>3786</v>
      </c>
      <c r="N180" t="s">
        <v>3787</v>
      </c>
      <c r="O180" t="s">
        <v>416</v>
      </c>
      <c r="T180" t="s">
        <v>373</v>
      </c>
      <c r="U180" t="s">
        <v>373</v>
      </c>
      <c r="V180" t="s">
        <v>3907</v>
      </c>
      <c r="W180" t="s">
        <v>3908</v>
      </c>
      <c r="X180" t="s">
        <v>3909</v>
      </c>
      <c r="Y180" t="s">
        <v>3910</v>
      </c>
      <c r="Z180" t="s">
        <v>3911</v>
      </c>
      <c r="AA180" t="s">
        <v>3912</v>
      </c>
      <c r="AB180" t="s">
        <v>3913</v>
      </c>
      <c r="AC180" t="s">
        <v>3914</v>
      </c>
      <c r="AD180" t="s">
        <v>3796</v>
      </c>
      <c r="AE180" t="s">
        <v>3915</v>
      </c>
      <c r="AF180" t="s">
        <v>3916</v>
      </c>
      <c r="AG180" t="s">
        <v>3917</v>
      </c>
      <c r="AH180" t="s">
        <v>3918</v>
      </c>
      <c r="AI180" t="s">
        <v>3919</v>
      </c>
      <c r="AJ180" t="s">
        <v>3920</v>
      </c>
      <c r="AK180" t="s">
        <v>3921</v>
      </c>
      <c r="AL180" t="s">
        <v>3922</v>
      </c>
      <c r="AM180" t="s">
        <v>3923</v>
      </c>
      <c r="BA180" t="str">
        <f>"1149"</f>
        <v>1149</v>
      </c>
      <c r="BB180" t="str">
        <f>"485"</f>
        <v>485</v>
      </c>
      <c r="BC180" t="s">
        <v>1149</v>
      </c>
      <c r="BD180" t="str">
        <f t="shared" si="39"/>
        <v>1</v>
      </c>
      <c r="BE180" t="s">
        <v>389</v>
      </c>
      <c r="BF180" t="str">
        <f>"34.65"</f>
        <v>34.65</v>
      </c>
      <c r="BG180" t="str">
        <f>"26.77"</f>
        <v>26.77</v>
      </c>
      <c r="BH180" t="str">
        <f>"37.01"</f>
        <v>37.01</v>
      </c>
      <c r="BI180" t="str">
        <f>"112.43"</f>
        <v>112.43</v>
      </c>
      <c r="BY180" t="str">
        <f>"19.88"</f>
        <v>19.88</v>
      </c>
      <c r="BZ180" t="str">
        <f>"0.563"</f>
        <v>0.563</v>
      </c>
      <c r="CA180" t="s">
        <v>495</v>
      </c>
      <c r="CB180" t="s">
        <v>2124</v>
      </c>
      <c r="CC180" t="s">
        <v>1348</v>
      </c>
      <c r="CD180" t="s">
        <v>544</v>
      </c>
      <c r="CE180" t="s">
        <v>2124</v>
      </c>
      <c r="CF180" t="s">
        <v>3880</v>
      </c>
      <c r="CG180" t="s">
        <v>544</v>
      </c>
      <c r="CR180" t="s">
        <v>3806</v>
      </c>
      <c r="CS180">
        <v>2</v>
      </c>
      <c r="CT180" t="s">
        <v>1008</v>
      </c>
      <c r="CV180">
        <v>1</v>
      </c>
      <c r="CW180" t="s">
        <v>402</v>
      </c>
      <c r="CX180" t="s">
        <v>1018</v>
      </c>
      <c r="CY180" t="s">
        <v>1009</v>
      </c>
      <c r="DC180">
        <v>0</v>
      </c>
      <c r="DJ180" t="s">
        <v>3881</v>
      </c>
      <c r="DK180" t="s">
        <v>3807</v>
      </c>
      <c r="DM180" t="s">
        <v>473</v>
      </c>
      <c r="DX180" t="s">
        <v>1290</v>
      </c>
      <c r="DY180" t="s">
        <v>2124</v>
      </c>
      <c r="DZ180" t="s">
        <v>544</v>
      </c>
      <c r="EI180" t="s">
        <v>1291</v>
      </c>
      <c r="EJ180" t="s">
        <v>676</v>
      </c>
      <c r="EK180" t="s">
        <v>3882</v>
      </c>
      <c r="EL180" t="s">
        <v>1348</v>
      </c>
      <c r="EM180" t="s">
        <v>402</v>
      </c>
      <c r="EN180">
        <v>1</v>
      </c>
      <c r="FI180">
        <v>0</v>
      </c>
      <c r="FJ180" t="s">
        <v>1012</v>
      </c>
      <c r="FR180" t="s">
        <v>3833</v>
      </c>
      <c r="FS180" t="s">
        <v>3833</v>
      </c>
      <c r="FT180" t="s">
        <v>542</v>
      </c>
      <c r="FU180" t="s">
        <v>3883</v>
      </c>
      <c r="FV180" t="s">
        <v>3055</v>
      </c>
      <c r="FW180" t="s">
        <v>3055</v>
      </c>
      <c r="FX180" t="s">
        <v>1008</v>
      </c>
      <c r="FZ180" t="s">
        <v>1018</v>
      </c>
      <c r="GA180" t="s">
        <v>402</v>
      </c>
      <c r="GE180">
        <v>1</v>
      </c>
      <c r="HH180" t="s">
        <v>402</v>
      </c>
    </row>
    <row r="181" spans="1:216" x14ac:dyDescent="0.25">
      <c r="A181" t="s">
        <v>3924</v>
      </c>
      <c r="B181" t="str">
        <f>"801542769543"</f>
        <v>801542769543</v>
      </c>
      <c r="C181" t="s">
        <v>3925</v>
      </c>
      <c r="D181" t="s">
        <v>3784</v>
      </c>
      <c r="E181" t="s">
        <v>3860</v>
      </c>
      <c r="G181" t="str">
        <f>"59.75"</f>
        <v>59.75</v>
      </c>
      <c r="H181" t="str">
        <f>"22"</f>
        <v>22</v>
      </c>
      <c r="I181" t="str">
        <f>"31"</f>
        <v>31</v>
      </c>
      <c r="J181" t="str">
        <f>"130.07"</f>
        <v>130.07</v>
      </c>
      <c r="K181" t="s">
        <v>3785</v>
      </c>
      <c r="L181" t="s">
        <v>3786</v>
      </c>
      <c r="N181" t="s">
        <v>3787</v>
      </c>
      <c r="O181" t="s">
        <v>416</v>
      </c>
      <c r="T181" t="s">
        <v>373</v>
      </c>
      <c r="U181" t="s">
        <v>373</v>
      </c>
      <c r="V181" t="s">
        <v>3926</v>
      </c>
      <c r="W181" t="s">
        <v>3927</v>
      </c>
      <c r="X181" t="s">
        <v>3928</v>
      </c>
      <c r="Y181" t="s">
        <v>3929</v>
      </c>
      <c r="Z181" t="s">
        <v>3930</v>
      </c>
      <c r="AA181" t="s">
        <v>3931</v>
      </c>
      <c r="AB181" t="s">
        <v>3932</v>
      </c>
      <c r="AC181" t="s">
        <v>3933</v>
      </c>
      <c r="AD181" t="s">
        <v>3796</v>
      </c>
      <c r="AE181" t="s">
        <v>3934</v>
      </c>
      <c r="AF181" t="s">
        <v>3935</v>
      </c>
      <c r="AG181" t="s">
        <v>3936</v>
      </c>
      <c r="AH181" t="s">
        <v>3937</v>
      </c>
      <c r="AI181" t="s">
        <v>3938</v>
      </c>
      <c r="AJ181" t="s">
        <v>3939</v>
      </c>
      <c r="AK181" t="s">
        <v>3940</v>
      </c>
      <c r="AL181" t="s">
        <v>3941</v>
      </c>
      <c r="AM181" t="s">
        <v>3942</v>
      </c>
      <c r="AN181" t="s">
        <v>3943</v>
      </c>
      <c r="BA181" t="str">
        <f>"1499"</f>
        <v>1499</v>
      </c>
      <c r="BB181" t="str">
        <f>"630"</f>
        <v>630</v>
      </c>
      <c r="BC181" t="s">
        <v>1149</v>
      </c>
      <c r="BD181" t="str">
        <f t="shared" si="39"/>
        <v>1</v>
      </c>
      <c r="BE181" t="s">
        <v>389</v>
      </c>
      <c r="BF181" t="str">
        <f>"64.57"</f>
        <v>64.57</v>
      </c>
      <c r="BG181" t="str">
        <f>"26.57"</f>
        <v>26.57</v>
      </c>
      <c r="BH181" t="str">
        <f>"35.83"</f>
        <v>35.83</v>
      </c>
      <c r="BI181" t="str">
        <f>"156.53"</f>
        <v>156.53</v>
      </c>
      <c r="BY181" t="str">
        <f>"35.56"</f>
        <v>35.56</v>
      </c>
      <c r="BZ181" t="str">
        <f>"1.007"</f>
        <v>1.007</v>
      </c>
      <c r="CA181" t="s">
        <v>495</v>
      </c>
      <c r="CB181" t="s">
        <v>3944</v>
      </c>
      <c r="CC181" t="s">
        <v>1348</v>
      </c>
      <c r="CD181" t="s">
        <v>396</v>
      </c>
      <c r="CE181" t="s">
        <v>3944</v>
      </c>
      <c r="CF181" t="s">
        <v>3945</v>
      </c>
      <c r="CG181" t="s">
        <v>396</v>
      </c>
      <c r="CR181" t="s">
        <v>3806</v>
      </c>
      <c r="CS181">
        <v>4</v>
      </c>
      <c r="CT181" t="s">
        <v>1008</v>
      </c>
      <c r="CV181">
        <v>1</v>
      </c>
      <c r="CW181" t="s">
        <v>402</v>
      </c>
      <c r="CX181" t="s">
        <v>1018</v>
      </c>
      <c r="CY181" t="s">
        <v>1009</v>
      </c>
      <c r="DC181">
        <v>0</v>
      </c>
      <c r="DJ181" t="s">
        <v>3946</v>
      </c>
      <c r="DK181" t="s">
        <v>3807</v>
      </c>
      <c r="DM181" t="s">
        <v>473</v>
      </c>
      <c r="DX181" t="s">
        <v>3947</v>
      </c>
      <c r="DY181" t="s">
        <v>2124</v>
      </c>
      <c r="DZ181" t="s">
        <v>3854</v>
      </c>
      <c r="EI181" t="s">
        <v>1291</v>
      </c>
      <c r="EJ181" t="s">
        <v>1354</v>
      </c>
      <c r="EK181" t="s">
        <v>3855</v>
      </c>
      <c r="EL181" t="s">
        <v>1348</v>
      </c>
      <c r="EM181" t="s">
        <v>402</v>
      </c>
      <c r="EN181">
        <v>2</v>
      </c>
      <c r="FG181" t="s">
        <v>402</v>
      </c>
      <c r="FI181">
        <v>0</v>
      </c>
      <c r="FJ181" t="s">
        <v>1012</v>
      </c>
      <c r="FR181" t="s">
        <v>3833</v>
      </c>
      <c r="FS181" t="s">
        <v>3833</v>
      </c>
      <c r="FT181" t="s">
        <v>3948</v>
      </c>
      <c r="FU181" t="s">
        <v>3949</v>
      </c>
      <c r="FV181" t="s">
        <v>3313</v>
      </c>
      <c r="FW181" t="s">
        <v>3313</v>
      </c>
      <c r="FX181" t="s">
        <v>1008</v>
      </c>
      <c r="FZ181" t="s">
        <v>1018</v>
      </c>
      <c r="GA181" t="s">
        <v>402</v>
      </c>
      <c r="GE181">
        <v>2</v>
      </c>
    </row>
    <row r="182" spans="1:216" x14ac:dyDescent="0.25">
      <c r="A182" t="s">
        <v>3950</v>
      </c>
      <c r="B182" t="str">
        <f>"801542605506"</f>
        <v>801542605506</v>
      </c>
      <c r="C182" t="s">
        <v>3951</v>
      </c>
      <c r="D182" t="s">
        <v>1224</v>
      </c>
      <c r="E182" t="s">
        <v>1077</v>
      </c>
      <c r="G182" t="str">
        <f>"40"</f>
        <v>40</v>
      </c>
      <c r="H182" t="str">
        <f>"40"</f>
        <v>40</v>
      </c>
      <c r="I182" t="str">
        <f>"15"</f>
        <v>15</v>
      </c>
      <c r="J182" t="str">
        <f>"57.32"</f>
        <v>57.32</v>
      </c>
      <c r="K182" t="s">
        <v>3952</v>
      </c>
      <c r="L182" t="s">
        <v>460</v>
      </c>
      <c r="N182" t="s">
        <v>3953</v>
      </c>
      <c r="O182" t="s">
        <v>461</v>
      </c>
      <c r="T182" t="s">
        <v>373</v>
      </c>
      <c r="U182" t="s">
        <v>373</v>
      </c>
      <c r="V182" t="s">
        <v>3954</v>
      </c>
      <c r="W182" t="s">
        <v>3955</v>
      </c>
      <c r="X182" t="s">
        <v>3956</v>
      </c>
      <c r="Y182" t="s">
        <v>3957</v>
      </c>
      <c r="Z182" t="s">
        <v>3958</v>
      </c>
      <c r="AA182" t="s">
        <v>3959</v>
      </c>
      <c r="AB182" t="s">
        <v>3960</v>
      </c>
      <c r="AC182" t="s">
        <v>3961</v>
      </c>
      <c r="AD182" t="s">
        <v>3962</v>
      </c>
      <c r="AE182" t="s">
        <v>3963</v>
      </c>
      <c r="AF182" t="s">
        <v>3964</v>
      </c>
      <c r="BA182" t="str">
        <f>"2099"</f>
        <v>2099</v>
      </c>
      <c r="BB182" t="str">
        <f>"885"</f>
        <v>885</v>
      </c>
      <c r="BC182" t="s">
        <v>1149</v>
      </c>
      <c r="BD182" t="str">
        <f t="shared" si="39"/>
        <v>1</v>
      </c>
      <c r="BE182" t="s">
        <v>389</v>
      </c>
      <c r="BF182" t="str">
        <f>"42.52"</f>
        <v>42.52</v>
      </c>
      <c r="BG182" t="str">
        <f>"42.91"</f>
        <v>42.91</v>
      </c>
      <c r="BH182" t="str">
        <f>"19.29"</f>
        <v>19.29</v>
      </c>
      <c r="BI182" t="str">
        <f>"92.15"</f>
        <v>92.15</v>
      </c>
      <c r="BY182" t="str">
        <f>"20.38"</f>
        <v>20.38</v>
      </c>
      <c r="BZ182" t="str">
        <f>"0.577"</f>
        <v>0.577</v>
      </c>
      <c r="CA182" t="s">
        <v>390</v>
      </c>
      <c r="CR182" t="s">
        <v>400</v>
      </c>
      <c r="CS182">
        <v>0</v>
      </c>
      <c r="CT182" t="s">
        <v>400</v>
      </c>
      <c r="CV182">
        <v>0</v>
      </c>
      <c r="CX182" t="s">
        <v>1241</v>
      </c>
      <c r="CY182" t="s">
        <v>400</v>
      </c>
      <c r="DC182">
        <v>0</v>
      </c>
      <c r="DJ182" t="s">
        <v>471</v>
      </c>
      <c r="DK182" t="s">
        <v>3965</v>
      </c>
      <c r="DM182" t="s">
        <v>473</v>
      </c>
      <c r="DX182" t="s">
        <v>3638</v>
      </c>
      <c r="DY182" t="s">
        <v>600</v>
      </c>
      <c r="DZ182" t="s">
        <v>600</v>
      </c>
      <c r="EI182" t="s">
        <v>3966</v>
      </c>
      <c r="EJ182" t="s">
        <v>3638</v>
      </c>
      <c r="EK182" t="s">
        <v>3966</v>
      </c>
      <c r="EL182" t="s">
        <v>3967</v>
      </c>
      <c r="EM182" t="s">
        <v>402</v>
      </c>
      <c r="EN182">
        <v>0</v>
      </c>
      <c r="EO182">
        <v>0</v>
      </c>
    </row>
    <row r="183" spans="1:216" x14ac:dyDescent="0.25">
      <c r="A183" t="s">
        <v>3968</v>
      </c>
      <c r="B183" t="str">
        <f>"801542614287"</f>
        <v>801542614287</v>
      </c>
      <c r="C183" t="s">
        <v>3969</v>
      </c>
      <c r="D183" t="s">
        <v>1224</v>
      </c>
      <c r="E183" t="s">
        <v>459</v>
      </c>
      <c r="G183" t="str">
        <f>"17.5"</f>
        <v>17.5</v>
      </c>
      <c r="H183" t="str">
        <f>"14"</f>
        <v>14</v>
      </c>
      <c r="I183" t="str">
        <f>"22"</f>
        <v>22</v>
      </c>
      <c r="J183" t="str">
        <f>"28.97"</f>
        <v>28.97</v>
      </c>
      <c r="K183" t="s">
        <v>3952</v>
      </c>
      <c r="L183" t="s">
        <v>837</v>
      </c>
      <c r="N183" t="s">
        <v>3953</v>
      </c>
      <c r="O183" t="s">
        <v>555</v>
      </c>
      <c r="T183" t="s">
        <v>373</v>
      </c>
      <c r="U183" t="s">
        <v>373</v>
      </c>
      <c r="V183" t="s">
        <v>3970</v>
      </c>
      <c r="W183" t="s">
        <v>3971</v>
      </c>
      <c r="X183" t="s">
        <v>3972</v>
      </c>
      <c r="Y183" t="s">
        <v>3973</v>
      </c>
      <c r="Z183" t="s">
        <v>3974</v>
      </c>
      <c r="AA183" t="s">
        <v>3975</v>
      </c>
      <c r="AB183" t="s">
        <v>3976</v>
      </c>
      <c r="AC183" t="s">
        <v>3959</v>
      </c>
      <c r="AD183" t="s">
        <v>3977</v>
      </c>
      <c r="AE183" t="s">
        <v>3978</v>
      </c>
      <c r="AF183" t="s">
        <v>3979</v>
      </c>
      <c r="AG183" t="s">
        <v>3980</v>
      </c>
      <c r="AH183" t="s">
        <v>3981</v>
      </c>
      <c r="BA183" t="str">
        <f>"1349"</f>
        <v>1349</v>
      </c>
      <c r="BB183" t="str">
        <f>"570"</f>
        <v>570</v>
      </c>
      <c r="BC183" t="s">
        <v>1149</v>
      </c>
      <c r="BD183" t="str">
        <f t="shared" si="39"/>
        <v>1</v>
      </c>
      <c r="BE183" t="s">
        <v>389</v>
      </c>
      <c r="BF183" t="str">
        <f>"23.23"</f>
        <v>23.23</v>
      </c>
      <c r="BG183" t="str">
        <f>"20.08"</f>
        <v>20.08</v>
      </c>
      <c r="BH183" t="str">
        <f>"28.74"</f>
        <v>28.74</v>
      </c>
      <c r="BI183" t="str">
        <f>"45.72"</f>
        <v>45.72</v>
      </c>
      <c r="BY183" t="str">
        <f>"7.77"</f>
        <v>7.77</v>
      </c>
      <c r="BZ183" t="str">
        <f>"0.22"</f>
        <v>0.22</v>
      </c>
      <c r="CA183" t="s">
        <v>390</v>
      </c>
      <c r="CE183" t="s">
        <v>1039</v>
      </c>
      <c r="CF183" t="s">
        <v>3982</v>
      </c>
      <c r="CG183" t="s">
        <v>979</v>
      </c>
      <c r="CR183" t="s">
        <v>400</v>
      </c>
      <c r="CS183">
        <v>0</v>
      </c>
      <c r="CT183" t="s">
        <v>400</v>
      </c>
      <c r="CV183">
        <v>0</v>
      </c>
      <c r="CX183" t="s">
        <v>1241</v>
      </c>
      <c r="CY183" t="s">
        <v>400</v>
      </c>
      <c r="DC183">
        <v>0</v>
      </c>
      <c r="DJ183" t="s">
        <v>408</v>
      </c>
      <c r="DK183" t="s">
        <v>3965</v>
      </c>
      <c r="DM183" t="s">
        <v>473</v>
      </c>
      <c r="DX183" t="s">
        <v>3483</v>
      </c>
      <c r="EI183" t="s">
        <v>3983</v>
      </c>
      <c r="EJ183" t="s">
        <v>3984</v>
      </c>
      <c r="EK183" t="s">
        <v>511</v>
      </c>
      <c r="EL183" t="s">
        <v>674</v>
      </c>
      <c r="EM183" t="s">
        <v>402</v>
      </c>
      <c r="EN183">
        <v>1</v>
      </c>
      <c r="EO183">
        <v>0</v>
      </c>
      <c r="EX183" t="s">
        <v>3483</v>
      </c>
    </row>
    <row r="184" spans="1:216" x14ac:dyDescent="0.25">
      <c r="A184" t="s">
        <v>3985</v>
      </c>
      <c r="B184" t="str">
        <f>"801542605476"</f>
        <v>801542605476</v>
      </c>
      <c r="C184" t="s">
        <v>3986</v>
      </c>
      <c r="D184" t="s">
        <v>1224</v>
      </c>
      <c r="E184" t="s">
        <v>1077</v>
      </c>
      <c r="G184" t="str">
        <f>"53.25"</f>
        <v>53.25</v>
      </c>
      <c r="H184" t="str">
        <f>"50.75"</f>
        <v>50.75</v>
      </c>
      <c r="I184" t="str">
        <f>"16.5"</f>
        <v>16.5</v>
      </c>
      <c r="J184" t="str">
        <f>"101.41"</f>
        <v>101.41</v>
      </c>
      <c r="K184" t="s">
        <v>3952</v>
      </c>
      <c r="N184" t="s">
        <v>3953</v>
      </c>
      <c r="T184" t="s">
        <v>373</v>
      </c>
      <c r="U184" t="s">
        <v>373</v>
      </c>
      <c r="V184" t="s">
        <v>3987</v>
      </c>
      <c r="W184" t="s">
        <v>3988</v>
      </c>
      <c r="X184" t="s">
        <v>3989</v>
      </c>
      <c r="Y184" t="s">
        <v>3990</v>
      </c>
      <c r="Z184" t="s">
        <v>3991</v>
      </c>
      <c r="AA184" t="s">
        <v>3992</v>
      </c>
      <c r="AB184" t="s">
        <v>3993</v>
      </c>
      <c r="AC184" t="s">
        <v>3959</v>
      </c>
      <c r="AD184" t="s">
        <v>3994</v>
      </c>
      <c r="AE184" t="s">
        <v>3995</v>
      </c>
      <c r="AF184" t="s">
        <v>3996</v>
      </c>
      <c r="AG184" t="s">
        <v>3997</v>
      </c>
      <c r="AH184" t="s">
        <v>3998</v>
      </c>
      <c r="AI184" t="s">
        <v>3999</v>
      </c>
      <c r="BA184" t="str">
        <f>"2199"</f>
        <v>2199</v>
      </c>
      <c r="BB184" t="str">
        <f>"925"</f>
        <v>925</v>
      </c>
      <c r="BC184" t="s">
        <v>1149</v>
      </c>
      <c r="BD184" t="str">
        <f>"2"</f>
        <v>2</v>
      </c>
      <c r="BE184" t="s">
        <v>1089</v>
      </c>
      <c r="BF184" t="str">
        <f>"59.45"</f>
        <v>59.45</v>
      </c>
      <c r="BG184" t="str">
        <f>"57.87"</f>
        <v>57.87</v>
      </c>
      <c r="BH184" t="str">
        <f>"9.06"</f>
        <v>9.06</v>
      </c>
      <c r="BI184" t="str">
        <f>"101.85"</f>
        <v>101.85</v>
      </c>
      <c r="BJ184" t="s">
        <v>4000</v>
      </c>
      <c r="BK184" t="str">
        <f>"33.46"</f>
        <v>33.46</v>
      </c>
      <c r="BL184" t="str">
        <f>"37.8"</f>
        <v>37.8</v>
      </c>
      <c r="BM184" t="str">
        <f>"20.87"</f>
        <v>20.87</v>
      </c>
      <c r="BN184" t="str">
        <f>"43.47"</f>
        <v>43.47</v>
      </c>
      <c r="BY184" t="str">
        <f>"33.3"</f>
        <v>33.3</v>
      </c>
      <c r="BZ184" t="str">
        <f>"0.943"</f>
        <v>0.943</v>
      </c>
      <c r="CA184" t="s">
        <v>390</v>
      </c>
      <c r="CR184" t="s">
        <v>400</v>
      </c>
      <c r="CS184">
        <v>0</v>
      </c>
      <c r="CT184" t="s">
        <v>400</v>
      </c>
      <c r="CV184">
        <v>0</v>
      </c>
      <c r="CX184" t="s">
        <v>953</v>
      </c>
      <c r="CY184" t="s">
        <v>400</v>
      </c>
      <c r="DC184">
        <v>0</v>
      </c>
      <c r="DJ184" t="s">
        <v>4001</v>
      </c>
      <c r="DK184" t="s">
        <v>4002</v>
      </c>
      <c r="DM184" t="s">
        <v>473</v>
      </c>
      <c r="DX184" t="s">
        <v>1039</v>
      </c>
      <c r="EI184" t="s">
        <v>578</v>
      </c>
      <c r="EJ184" t="s">
        <v>1039</v>
      </c>
      <c r="EK184" t="s">
        <v>441</v>
      </c>
      <c r="EL184" t="s">
        <v>4003</v>
      </c>
      <c r="EM184" t="s">
        <v>402</v>
      </c>
      <c r="EN184">
        <v>0</v>
      </c>
      <c r="EO184">
        <v>0</v>
      </c>
      <c r="EX184" t="s">
        <v>4004</v>
      </c>
    </row>
    <row r="185" spans="1:216" x14ac:dyDescent="0.25">
      <c r="A185" t="s">
        <v>4005</v>
      </c>
      <c r="B185" t="str">
        <f>"801542614294"</f>
        <v>801542614294</v>
      </c>
      <c r="C185" t="s">
        <v>4006</v>
      </c>
      <c r="D185" t="s">
        <v>1224</v>
      </c>
      <c r="E185" t="s">
        <v>459</v>
      </c>
      <c r="G185" t="str">
        <f>"20"</f>
        <v>20</v>
      </c>
      <c r="H185" t="str">
        <f>"20"</f>
        <v>20</v>
      </c>
      <c r="I185" t="str">
        <f>"21"</f>
        <v>21</v>
      </c>
      <c r="J185" t="str">
        <f>"24.25"</f>
        <v>24.25</v>
      </c>
      <c r="K185" t="s">
        <v>3952</v>
      </c>
      <c r="L185" t="s">
        <v>460</v>
      </c>
      <c r="N185" t="s">
        <v>3953</v>
      </c>
      <c r="O185" t="s">
        <v>461</v>
      </c>
      <c r="T185" t="s">
        <v>373</v>
      </c>
      <c r="U185" t="s">
        <v>373</v>
      </c>
      <c r="V185" t="s">
        <v>4007</v>
      </c>
      <c r="W185" t="s">
        <v>4008</v>
      </c>
      <c r="X185" t="s">
        <v>4009</v>
      </c>
      <c r="Y185" t="s">
        <v>4010</v>
      </c>
      <c r="Z185" t="s">
        <v>4011</v>
      </c>
      <c r="AA185" t="s">
        <v>3959</v>
      </c>
      <c r="AB185" t="s">
        <v>4012</v>
      </c>
      <c r="AC185" t="s">
        <v>4013</v>
      </c>
      <c r="AD185" t="s">
        <v>4014</v>
      </c>
      <c r="AE185" t="s">
        <v>4015</v>
      </c>
      <c r="AF185" t="s">
        <v>4016</v>
      </c>
      <c r="AG185" t="s">
        <v>4017</v>
      </c>
      <c r="BA185" t="str">
        <f>"1099"</f>
        <v>1099</v>
      </c>
      <c r="BB185" t="str">
        <f>"465"</f>
        <v>465</v>
      </c>
      <c r="BC185" t="s">
        <v>1149</v>
      </c>
      <c r="BD185" t="str">
        <f t="shared" ref="BD185:BD199" si="40">"1"</f>
        <v>1</v>
      </c>
      <c r="BE185" t="s">
        <v>389</v>
      </c>
      <c r="BF185" t="str">
        <f>"25.98"</f>
        <v>25.98</v>
      </c>
      <c r="BG185" t="str">
        <f>"25.59"</f>
        <v>25.59</v>
      </c>
      <c r="BH185" t="str">
        <f>"27.56"</f>
        <v>27.56</v>
      </c>
      <c r="BI185" t="str">
        <f>"41.01"</f>
        <v>41.01</v>
      </c>
      <c r="BY185" t="str">
        <f>"10.59"</f>
        <v>10.59</v>
      </c>
      <c r="BZ185" t="str">
        <f>"0.3"</f>
        <v>0.3</v>
      </c>
      <c r="CA185" t="s">
        <v>495</v>
      </c>
      <c r="CR185" t="s">
        <v>400</v>
      </c>
      <c r="CS185">
        <v>0</v>
      </c>
      <c r="CT185" t="s">
        <v>400</v>
      </c>
      <c r="CV185">
        <v>0</v>
      </c>
      <c r="CX185" t="s">
        <v>1241</v>
      </c>
      <c r="CY185" t="s">
        <v>400</v>
      </c>
      <c r="DC185">
        <v>0</v>
      </c>
      <c r="DJ185" t="s">
        <v>471</v>
      </c>
      <c r="DK185" t="s">
        <v>3965</v>
      </c>
      <c r="DM185" t="s">
        <v>473</v>
      </c>
      <c r="DX185" t="s">
        <v>4018</v>
      </c>
      <c r="DY185" t="s">
        <v>442</v>
      </c>
      <c r="DZ185" t="s">
        <v>442</v>
      </c>
      <c r="EI185" t="s">
        <v>4019</v>
      </c>
      <c r="EJ185" t="s">
        <v>4018</v>
      </c>
      <c r="EK185" t="s">
        <v>4019</v>
      </c>
      <c r="EL185" t="s">
        <v>3383</v>
      </c>
      <c r="EM185" t="s">
        <v>402</v>
      </c>
      <c r="EN185">
        <v>0</v>
      </c>
      <c r="EO185">
        <v>0</v>
      </c>
    </row>
    <row r="186" spans="1:216" x14ac:dyDescent="0.25">
      <c r="A186" t="s">
        <v>4020</v>
      </c>
      <c r="B186" t="str">
        <f>"801542615383"</f>
        <v>801542615383</v>
      </c>
      <c r="C186" t="s">
        <v>4021</v>
      </c>
      <c r="D186" t="s">
        <v>1224</v>
      </c>
      <c r="E186" t="s">
        <v>1077</v>
      </c>
      <c r="G186" t="str">
        <f>"40"</f>
        <v>40</v>
      </c>
      <c r="H186" t="str">
        <f>"40"</f>
        <v>40</v>
      </c>
      <c r="I186" t="str">
        <f>"15"</f>
        <v>15</v>
      </c>
      <c r="J186" t="str">
        <f>"88.18"</f>
        <v>88.18</v>
      </c>
      <c r="K186" t="s">
        <v>3952</v>
      </c>
      <c r="L186" t="s">
        <v>460</v>
      </c>
      <c r="N186" t="s">
        <v>3953</v>
      </c>
      <c r="O186" t="s">
        <v>461</v>
      </c>
      <c r="T186" t="s">
        <v>373</v>
      </c>
      <c r="U186" t="s">
        <v>373</v>
      </c>
      <c r="V186" t="s">
        <v>4022</v>
      </c>
      <c r="W186" t="s">
        <v>4023</v>
      </c>
      <c r="X186" t="s">
        <v>4024</v>
      </c>
      <c r="Y186" t="s">
        <v>4025</v>
      </c>
      <c r="Z186" t="s">
        <v>4026</v>
      </c>
      <c r="AA186" t="s">
        <v>4027</v>
      </c>
      <c r="AB186" t="s">
        <v>3959</v>
      </c>
      <c r="AC186" t="s">
        <v>4028</v>
      </c>
      <c r="AD186" t="s">
        <v>4029</v>
      </c>
      <c r="AE186" t="s">
        <v>4030</v>
      </c>
      <c r="AF186" t="s">
        <v>4031</v>
      </c>
      <c r="AG186" t="s">
        <v>4032</v>
      </c>
      <c r="BA186" t="str">
        <f>"2099"</f>
        <v>2099</v>
      </c>
      <c r="BB186" t="str">
        <f>"885"</f>
        <v>885</v>
      </c>
      <c r="BC186" t="s">
        <v>1149</v>
      </c>
      <c r="BD186" t="str">
        <f t="shared" si="40"/>
        <v>1</v>
      </c>
      <c r="BE186" t="s">
        <v>389</v>
      </c>
      <c r="BF186" t="str">
        <f>"46.46"</f>
        <v>46.46</v>
      </c>
      <c r="BG186" t="str">
        <f>"46.85"</f>
        <v>46.85</v>
      </c>
      <c r="BH186" t="str">
        <f>"21.26"</f>
        <v>21.26</v>
      </c>
      <c r="BI186" t="str">
        <f>"142.64"</f>
        <v>142.64</v>
      </c>
      <c r="BY186" t="str">
        <f>"26.77"</f>
        <v>26.77</v>
      </c>
      <c r="BZ186" t="str">
        <f>"0.758"</f>
        <v>0.758</v>
      </c>
      <c r="CA186" t="s">
        <v>390</v>
      </c>
      <c r="CR186" t="s">
        <v>400</v>
      </c>
      <c r="CS186">
        <v>0</v>
      </c>
      <c r="CT186" t="s">
        <v>400</v>
      </c>
      <c r="CV186">
        <v>0</v>
      </c>
      <c r="CX186" t="s">
        <v>1241</v>
      </c>
      <c r="CY186" t="s">
        <v>400</v>
      </c>
      <c r="DC186">
        <v>0</v>
      </c>
      <c r="DJ186" t="s">
        <v>1132</v>
      </c>
      <c r="DK186" t="s">
        <v>3965</v>
      </c>
      <c r="DM186" t="s">
        <v>473</v>
      </c>
      <c r="DX186" t="s">
        <v>475</v>
      </c>
      <c r="DY186" t="s">
        <v>859</v>
      </c>
      <c r="DZ186" t="s">
        <v>859</v>
      </c>
      <c r="EI186" t="s">
        <v>4033</v>
      </c>
      <c r="EJ186" t="s">
        <v>475</v>
      </c>
      <c r="EK186" t="s">
        <v>4033</v>
      </c>
      <c r="EL186" t="s">
        <v>4034</v>
      </c>
      <c r="EM186" t="s">
        <v>402</v>
      </c>
      <c r="EN186">
        <v>0</v>
      </c>
      <c r="EO186">
        <v>0</v>
      </c>
      <c r="EX186" t="s">
        <v>827</v>
      </c>
    </row>
    <row r="187" spans="1:216" x14ac:dyDescent="0.25">
      <c r="A187" t="s">
        <v>4035</v>
      </c>
      <c r="B187" t="str">
        <f>"801542703608"</f>
        <v>801542703608</v>
      </c>
      <c r="C187" t="s">
        <v>4036</v>
      </c>
      <c r="D187" t="s">
        <v>4037</v>
      </c>
      <c r="E187" t="s">
        <v>1077</v>
      </c>
      <c r="G187" t="str">
        <f>"38"</f>
        <v>38</v>
      </c>
      <c r="H187" t="str">
        <f>"38"</f>
        <v>38</v>
      </c>
      <c r="I187" t="str">
        <f>"16"</f>
        <v>16</v>
      </c>
      <c r="J187" t="str">
        <f>"82.67"</f>
        <v>82.67</v>
      </c>
      <c r="K187" t="s">
        <v>4038</v>
      </c>
      <c r="L187" t="s">
        <v>1987</v>
      </c>
      <c r="N187" t="s">
        <v>1384</v>
      </c>
      <c r="O187" t="s">
        <v>555</v>
      </c>
      <c r="T187" t="s">
        <v>373</v>
      </c>
      <c r="U187" t="s">
        <v>373</v>
      </c>
      <c r="V187" t="s">
        <v>4039</v>
      </c>
      <c r="W187" t="s">
        <v>4040</v>
      </c>
      <c r="X187" t="s">
        <v>4041</v>
      </c>
      <c r="Y187" t="s">
        <v>4042</v>
      </c>
      <c r="Z187" t="s">
        <v>4043</v>
      </c>
      <c r="AA187" t="s">
        <v>4044</v>
      </c>
      <c r="AB187" t="s">
        <v>4045</v>
      </c>
      <c r="AC187" t="s">
        <v>4046</v>
      </c>
      <c r="BA187" t="str">
        <f>"1299"</f>
        <v>1299</v>
      </c>
      <c r="BB187" t="str">
        <f>"550"</f>
        <v>550</v>
      </c>
      <c r="BC187" t="s">
        <v>665</v>
      </c>
      <c r="BD187" t="str">
        <f t="shared" si="40"/>
        <v>1</v>
      </c>
      <c r="BE187" t="s">
        <v>389</v>
      </c>
      <c r="BF187" t="str">
        <f>"42.13"</f>
        <v>42.13</v>
      </c>
      <c r="BG187" t="str">
        <f>"42.13"</f>
        <v>42.13</v>
      </c>
      <c r="BH187" t="str">
        <f>"8.46"</f>
        <v>8.46</v>
      </c>
      <c r="BI187" t="str">
        <f>"112.44"</f>
        <v>112.44</v>
      </c>
      <c r="BY187" t="str">
        <f>"8.69"</f>
        <v>8.69</v>
      </c>
      <c r="BZ187" t="str">
        <f>"0.246"</f>
        <v>0.246</v>
      </c>
      <c r="CA187" t="s">
        <v>495</v>
      </c>
      <c r="CR187" t="s">
        <v>400</v>
      </c>
      <c r="CS187">
        <v>0</v>
      </c>
      <c r="CT187" t="s">
        <v>400</v>
      </c>
      <c r="CV187">
        <v>0</v>
      </c>
      <c r="CY187" t="s">
        <v>400</v>
      </c>
      <c r="DC187">
        <v>0</v>
      </c>
      <c r="DJ187" t="s">
        <v>471</v>
      </c>
      <c r="DK187" t="s">
        <v>4047</v>
      </c>
      <c r="DM187" t="s">
        <v>473</v>
      </c>
      <c r="DX187" t="s">
        <v>950</v>
      </c>
      <c r="EI187" t="s">
        <v>4048</v>
      </c>
      <c r="EJ187" t="s">
        <v>950</v>
      </c>
      <c r="EK187" t="s">
        <v>4048</v>
      </c>
      <c r="EL187" t="s">
        <v>637</v>
      </c>
      <c r="EN187">
        <v>0</v>
      </c>
      <c r="EO187">
        <v>0</v>
      </c>
      <c r="EX187" t="s">
        <v>4049</v>
      </c>
    </row>
    <row r="188" spans="1:216" x14ac:dyDescent="0.25">
      <c r="A188" t="s">
        <v>4050</v>
      </c>
      <c r="B188" t="str">
        <f>"801542932930"</f>
        <v>801542932930</v>
      </c>
      <c r="C188" t="s">
        <v>4051</v>
      </c>
      <c r="D188" t="s">
        <v>4052</v>
      </c>
      <c r="E188" t="s">
        <v>988</v>
      </c>
      <c r="G188" t="str">
        <f>"70"</f>
        <v>70</v>
      </c>
      <c r="H188" t="str">
        <f>"18"</f>
        <v>18</v>
      </c>
      <c r="I188" t="str">
        <f>"35"</f>
        <v>35</v>
      </c>
      <c r="J188" t="str">
        <f>"208.33"</f>
        <v>208.33</v>
      </c>
      <c r="K188" t="s">
        <v>4053</v>
      </c>
      <c r="L188" t="s">
        <v>4054</v>
      </c>
      <c r="N188" t="s">
        <v>1970</v>
      </c>
      <c r="O188" t="s">
        <v>555</v>
      </c>
      <c r="T188" t="s">
        <v>373</v>
      </c>
      <c r="U188" t="s">
        <v>373</v>
      </c>
      <c r="V188" t="s">
        <v>4055</v>
      </c>
      <c r="W188" t="s">
        <v>4056</v>
      </c>
      <c r="X188" t="s">
        <v>4057</v>
      </c>
      <c r="Y188" t="s">
        <v>4058</v>
      </c>
      <c r="Z188" t="s">
        <v>4059</v>
      </c>
      <c r="AA188" t="s">
        <v>4060</v>
      </c>
      <c r="AB188" t="s">
        <v>4061</v>
      </c>
      <c r="AC188" t="s">
        <v>4062</v>
      </c>
      <c r="AD188" t="s">
        <v>4063</v>
      </c>
      <c r="AE188" t="s">
        <v>4064</v>
      </c>
      <c r="AF188" t="s">
        <v>4065</v>
      </c>
      <c r="AG188" t="s">
        <v>4066</v>
      </c>
      <c r="AH188" t="s">
        <v>4067</v>
      </c>
      <c r="BA188" t="str">
        <f>"1599"</f>
        <v>1599</v>
      </c>
      <c r="BB188" t="str">
        <f>"675"</f>
        <v>675</v>
      </c>
      <c r="BC188" t="s">
        <v>665</v>
      </c>
      <c r="BD188" t="str">
        <f t="shared" si="40"/>
        <v>1</v>
      </c>
      <c r="BE188" t="s">
        <v>389</v>
      </c>
      <c r="BF188" t="str">
        <f>"74.41"</f>
        <v>74.41</v>
      </c>
      <c r="BG188" t="str">
        <f>"22.05"</f>
        <v>22.05</v>
      </c>
      <c r="BH188" t="str">
        <f>"36.61"</f>
        <v>36.61</v>
      </c>
      <c r="BI188" t="str">
        <f>"247.8"</f>
        <v>247.8</v>
      </c>
      <c r="BY188" t="str">
        <f>"34.75"</f>
        <v>34.75</v>
      </c>
      <c r="BZ188" t="str">
        <f>"0.984"</f>
        <v>0.984</v>
      </c>
      <c r="CA188" t="s">
        <v>390</v>
      </c>
      <c r="CR188" t="s">
        <v>1007</v>
      </c>
      <c r="CS188">
        <v>6</v>
      </c>
      <c r="CT188" t="s">
        <v>1312</v>
      </c>
      <c r="CV188">
        <v>0</v>
      </c>
      <c r="CX188" t="s">
        <v>953</v>
      </c>
      <c r="CY188" t="s">
        <v>1009</v>
      </c>
      <c r="DC188">
        <v>0</v>
      </c>
      <c r="DJ188" t="s">
        <v>1010</v>
      </c>
      <c r="DK188" t="s">
        <v>4068</v>
      </c>
      <c r="DM188" t="s">
        <v>473</v>
      </c>
      <c r="DX188" t="s">
        <v>576</v>
      </c>
      <c r="EN188">
        <v>0</v>
      </c>
      <c r="FI188">
        <v>0</v>
      </c>
      <c r="FJ188" t="s">
        <v>1012</v>
      </c>
      <c r="FK188" t="s">
        <v>961</v>
      </c>
      <c r="FR188" t="s">
        <v>4069</v>
      </c>
      <c r="FT188" t="s">
        <v>4070</v>
      </c>
      <c r="FV188" t="s">
        <v>4071</v>
      </c>
      <c r="FX188" t="s">
        <v>1017</v>
      </c>
      <c r="FZ188" t="s">
        <v>953</v>
      </c>
      <c r="GA188" t="s">
        <v>402</v>
      </c>
    </row>
    <row r="189" spans="1:216" x14ac:dyDescent="0.25">
      <c r="A189" t="s">
        <v>4072</v>
      </c>
      <c r="B189" t="str">
        <f>"801542339715"</f>
        <v>801542339715</v>
      </c>
      <c r="C189" t="s">
        <v>4073</v>
      </c>
      <c r="D189" t="s">
        <v>1420</v>
      </c>
      <c r="E189" t="s">
        <v>4074</v>
      </c>
      <c r="G189" t="str">
        <f>"78.75"</f>
        <v>78.75</v>
      </c>
      <c r="H189" t="str">
        <f>"15"</f>
        <v>15</v>
      </c>
      <c r="I189" t="str">
        <f>"30.75"</f>
        <v>30.75</v>
      </c>
      <c r="J189" t="str">
        <f>"87.08"</f>
        <v>87.08</v>
      </c>
      <c r="K189" t="s">
        <v>4075</v>
      </c>
      <c r="N189" t="s">
        <v>1463</v>
      </c>
      <c r="T189" t="s">
        <v>373</v>
      </c>
      <c r="U189" t="s">
        <v>373</v>
      </c>
      <c r="V189" t="s">
        <v>4076</v>
      </c>
      <c r="W189" t="s">
        <v>4077</v>
      </c>
      <c r="X189" t="s">
        <v>4078</v>
      </c>
      <c r="Y189" t="s">
        <v>4079</v>
      </c>
      <c r="Z189" t="s">
        <v>4080</v>
      </c>
      <c r="AA189" t="s">
        <v>4081</v>
      </c>
      <c r="AB189" t="s">
        <v>4082</v>
      </c>
      <c r="AC189" t="s">
        <v>4083</v>
      </c>
      <c r="AD189" t="s">
        <v>4084</v>
      </c>
      <c r="AE189" t="s">
        <v>4085</v>
      </c>
      <c r="AF189" t="s">
        <v>4086</v>
      </c>
      <c r="AG189" t="s">
        <v>4087</v>
      </c>
      <c r="AH189" t="s">
        <v>4088</v>
      </c>
      <c r="AI189" t="s">
        <v>4089</v>
      </c>
      <c r="AJ189" t="s">
        <v>4090</v>
      </c>
      <c r="AK189" t="s">
        <v>4091</v>
      </c>
      <c r="AL189" t="s">
        <v>4092</v>
      </c>
      <c r="BA189" t="str">
        <f>"1299"</f>
        <v>1299</v>
      </c>
      <c r="BB189" t="str">
        <f>"550"</f>
        <v>550</v>
      </c>
      <c r="BC189" t="s">
        <v>665</v>
      </c>
      <c r="BD189" t="str">
        <f t="shared" si="40"/>
        <v>1</v>
      </c>
      <c r="BE189" t="s">
        <v>4093</v>
      </c>
      <c r="BF189" t="str">
        <f>"84.65"</f>
        <v>84.65</v>
      </c>
      <c r="BG189" t="str">
        <f>"18.9"</f>
        <v>18.9</v>
      </c>
      <c r="BH189" t="str">
        <f>"14.57"</f>
        <v>14.57</v>
      </c>
      <c r="BI189" t="str">
        <f>"114.64"</f>
        <v>114.64</v>
      </c>
      <c r="BY189" t="str">
        <f>"13.49"</f>
        <v>13.49</v>
      </c>
      <c r="BZ189" t="str">
        <f>"0.382"</f>
        <v>0.382</v>
      </c>
      <c r="CA189" t="s">
        <v>431</v>
      </c>
      <c r="CR189" t="s">
        <v>400</v>
      </c>
      <c r="CS189">
        <v>0</v>
      </c>
      <c r="CT189" t="s">
        <v>400</v>
      </c>
      <c r="CV189">
        <v>0</v>
      </c>
      <c r="CX189" t="s">
        <v>1414</v>
      </c>
      <c r="CY189" t="s">
        <v>400</v>
      </c>
      <c r="DC189">
        <v>0</v>
      </c>
      <c r="DJ189" t="s">
        <v>408</v>
      </c>
      <c r="DK189" t="s">
        <v>4094</v>
      </c>
      <c r="DM189" t="s">
        <v>669</v>
      </c>
      <c r="DX189" t="s">
        <v>4095</v>
      </c>
      <c r="DZ189" t="s">
        <v>4096</v>
      </c>
      <c r="EI189" t="s">
        <v>979</v>
      </c>
      <c r="EJ189" t="s">
        <v>539</v>
      </c>
      <c r="EK189" t="s">
        <v>395</v>
      </c>
      <c r="EL189" t="s">
        <v>395</v>
      </c>
      <c r="EM189" t="s">
        <v>402</v>
      </c>
      <c r="EN189">
        <v>0</v>
      </c>
      <c r="EO189">
        <v>0</v>
      </c>
      <c r="FI189">
        <v>0</v>
      </c>
      <c r="FJ189" t="s">
        <v>1012</v>
      </c>
    </row>
    <row r="190" spans="1:216" x14ac:dyDescent="0.25">
      <c r="A190" t="s">
        <v>4097</v>
      </c>
      <c r="B190" t="str">
        <f>"801542804657"</f>
        <v>801542804657</v>
      </c>
      <c r="C190" t="s">
        <v>4098</v>
      </c>
      <c r="D190" t="s">
        <v>1420</v>
      </c>
      <c r="E190" t="s">
        <v>4074</v>
      </c>
      <c r="G190" t="str">
        <f>"78.75"</f>
        <v>78.75</v>
      </c>
      <c r="H190" t="str">
        <f>"15"</f>
        <v>15</v>
      </c>
      <c r="I190" t="str">
        <f>"30.75"</f>
        <v>30.75</v>
      </c>
      <c r="J190" t="str">
        <f>"87.08"</f>
        <v>87.08</v>
      </c>
      <c r="K190" t="s">
        <v>4099</v>
      </c>
      <c r="N190" t="s">
        <v>1463</v>
      </c>
      <c r="T190" t="s">
        <v>373</v>
      </c>
      <c r="U190" t="s">
        <v>373</v>
      </c>
      <c r="V190" t="s">
        <v>4100</v>
      </c>
      <c r="W190" t="s">
        <v>4101</v>
      </c>
      <c r="X190" t="s">
        <v>4102</v>
      </c>
      <c r="Y190" t="s">
        <v>4103</v>
      </c>
      <c r="Z190" t="s">
        <v>4104</v>
      </c>
      <c r="AA190" t="s">
        <v>4105</v>
      </c>
      <c r="AB190" t="s">
        <v>4106</v>
      </c>
      <c r="AC190" t="s">
        <v>4107</v>
      </c>
      <c r="AD190" t="s">
        <v>4108</v>
      </c>
      <c r="AE190" t="s">
        <v>4109</v>
      </c>
      <c r="AF190" t="s">
        <v>4110</v>
      </c>
      <c r="AG190" t="s">
        <v>4111</v>
      </c>
      <c r="AH190" t="s">
        <v>4112</v>
      </c>
      <c r="AI190" t="s">
        <v>4113</v>
      </c>
      <c r="AJ190" t="s">
        <v>4114</v>
      </c>
      <c r="AK190" t="s">
        <v>4115</v>
      </c>
      <c r="AL190" t="s">
        <v>4116</v>
      </c>
      <c r="BA190" t="str">
        <f>"1299"</f>
        <v>1299</v>
      </c>
      <c r="BB190" t="str">
        <f>"550"</f>
        <v>550</v>
      </c>
      <c r="BC190" t="s">
        <v>665</v>
      </c>
      <c r="BD190" t="str">
        <f t="shared" si="40"/>
        <v>1</v>
      </c>
      <c r="BE190" t="s">
        <v>4093</v>
      </c>
      <c r="BF190" t="str">
        <f>"84.65"</f>
        <v>84.65</v>
      </c>
      <c r="BG190" t="str">
        <f>"18.9"</f>
        <v>18.9</v>
      </c>
      <c r="BH190" t="str">
        <f>"14.57"</f>
        <v>14.57</v>
      </c>
      <c r="BI190" t="str">
        <f>"114.64"</f>
        <v>114.64</v>
      </c>
      <c r="BY190" t="str">
        <f>"13.49"</f>
        <v>13.49</v>
      </c>
      <c r="BZ190" t="str">
        <f>"0.382"</f>
        <v>0.382</v>
      </c>
      <c r="CA190" t="s">
        <v>431</v>
      </c>
      <c r="CR190" t="s">
        <v>400</v>
      </c>
      <c r="CS190">
        <v>0</v>
      </c>
      <c r="CT190" t="s">
        <v>400</v>
      </c>
      <c r="CV190">
        <v>0</v>
      </c>
      <c r="CX190" t="s">
        <v>1414</v>
      </c>
      <c r="CY190" t="s">
        <v>400</v>
      </c>
      <c r="DC190">
        <v>0</v>
      </c>
      <c r="DJ190" t="s">
        <v>408</v>
      </c>
      <c r="DK190" t="s">
        <v>4094</v>
      </c>
      <c r="DM190" t="s">
        <v>669</v>
      </c>
      <c r="DX190" t="s">
        <v>4095</v>
      </c>
      <c r="DZ190" t="s">
        <v>4096</v>
      </c>
      <c r="EI190" t="s">
        <v>979</v>
      </c>
      <c r="EJ190" t="s">
        <v>539</v>
      </c>
      <c r="EK190" t="s">
        <v>395</v>
      </c>
      <c r="EL190" t="s">
        <v>395</v>
      </c>
      <c r="EM190" t="s">
        <v>402</v>
      </c>
      <c r="EN190">
        <v>0</v>
      </c>
      <c r="EO190">
        <v>0</v>
      </c>
      <c r="FI190">
        <v>0</v>
      </c>
      <c r="FJ190" t="s">
        <v>1012</v>
      </c>
    </row>
    <row r="191" spans="1:216" x14ac:dyDescent="0.25">
      <c r="A191" t="s">
        <v>4117</v>
      </c>
      <c r="B191" t="str">
        <f>"198394016759"</f>
        <v>198394016759</v>
      </c>
      <c r="C191" t="s">
        <v>4118</v>
      </c>
      <c r="D191" t="s">
        <v>1420</v>
      </c>
      <c r="E191" t="s">
        <v>4074</v>
      </c>
      <c r="G191" t="str">
        <f>"78.75"</f>
        <v>78.75</v>
      </c>
      <c r="H191" t="str">
        <f>"15"</f>
        <v>15</v>
      </c>
      <c r="I191" t="str">
        <f>"30.75"</f>
        <v>30.75</v>
      </c>
      <c r="J191" t="str">
        <f>"87.08"</f>
        <v>87.08</v>
      </c>
      <c r="K191" t="s">
        <v>1462</v>
      </c>
      <c r="N191" t="s">
        <v>1463</v>
      </c>
      <c r="T191" t="s">
        <v>373</v>
      </c>
      <c r="U191" t="s">
        <v>373</v>
      </c>
      <c r="V191" t="s">
        <v>4119</v>
      </c>
      <c r="W191" t="s">
        <v>4120</v>
      </c>
      <c r="X191" t="s">
        <v>4121</v>
      </c>
      <c r="Y191" t="s">
        <v>4122</v>
      </c>
      <c r="Z191" t="s">
        <v>4123</v>
      </c>
      <c r="AA191" t="s">
        <v>4124</v>
      </c>
      <c r="AB191" t="s">
        <v>4125</v>
      </c>
      <c r="AC191" t="s">
        <v>4126</v>
      </c>
      <c r="AD191" t="s">
        <v>4127</v>
      </c>
      <c r="BA191" t="str">
        <f>"1399"</f>
        <v>1399</v>
      </c>
      <c r="BB191" t="str">
        <f>"590"</f>
        <v>590</v>
      </c>
      <c r="BC191" t="s">
        <v>665</v>
      </c>
      <c r="BD191" t="str">
        <f t="shared" si="40"/>
        <v>1</v>
      </c>
      <c r="BE191" t="s">
        <v>4093</v>
      </c>
      <c r="BF191" t="str">
        <f>"84.65"</f>
        <v>84.65</v>
      </c>
      <c r="BG191" t="str">
        <f>"18.9"</f>
        <v>18.9</v>
      </c>
      <c r="BH191" t="str">
        <f>"14.57"</f>
        <v>14.57</v>
      </c>
      <c r="BI191" t="str">
        <f>"114.64"</f>
        <v>114.64</v>
      </c>
      <c r="BY191" t="str">
        <f>"13.49"</f>
        <v>13.49</v>
      </c>
      <c r="BZ191" t="str">
        <f>"0.382"</f>
        <v>0.382</v>
      </c>
      <c r="CA191" t="s">
        <v>431</v>
      </c>
      <c r="CR191" t="s">
        <v>400</v>
      </c>
      <c r="CS191">
        <v>0</v>
      </c>
      <c r="CT191" t="s">
        <v>400</v>
      </c>
      <c r="CV191">
        <v>0</v>
      </c>
      <c r="CX191" t="s">
        <v>1414</v>
      </c>
      <c r="CY191" t="s">
        <v>400</v>
      </c>
      <c r="DC191">
        <v>0</v>
      </c>
      <c r="DJ191" t="s">
        <v>408</v>
      </c>
      <c r="DK191" t="s">
        <v>4094</v>
      </c>
      <c r="DM191" t="s">
        <v>669</v>
      </c>
      <c r="DX191" t="s">
        <v>4095</v>
      </c>
      <c r="DZ191" t="s">
        <v>4096</v>
      </c>
      <c r="EI191" t="s">
        <v>979</v>
      </c>
      <c r="EJ191" t="s">
        <v>539</v>
      </c>
      <c r="EK191" t="s">
        <v>395</v>
      </c>
      <c r="EL191" t="s">
        <v>395</v>
      </c>
      <c r="EM191" t="s">
        <v>402</v>
      </c>
      <c r="EN191">
        <v>0</v>
      </c>
      <c r="EO191">
        <v>0</v>
      </c>
      <c r="FI191">
        <v>0</v>
      </c>
      <c r="FJ191" t="s">
        <v>1012</v>
      </c>
    </row>
    <row r="192" spans="1:216" x14ac:dyDescent="0.25">
      <c r="A192" t="s">
        <v>4128</v>
      </c>
      <c r="B192" t="str">
        <f>"801542705039"</f>
        <v>801542705039</v>
      </c>
      <c r="C192" t="s">
        <v>4129</v>
      </c>
      <c r="D192" t="s">
        <v>4130</v>
      </c>
      <c r="E192" t="s">
        <v>988</v>
      </c>
      <c r="G192" t="str">
        <f>"30"</f>
        <v>30</v>
      </c>
      <c r="H192" t="str">
        <f>"18"</f>
        <v>18</v>
      </c>
      <c r="I192" t="str">
        <f>"31"</f>
        <v>31</v>
      </c>
      <c r="J192" t="str">
        <f>"85.98"</f>
        <v>85.98</v>
      </c>
      <c r="K192" t="s">
        <v>4131</v>
      </c>
      <c r="L192" t="s">
        <v>1987</v>
      </c>
      <c r="N192" t="s">
        <v>1399</v>
      </c>
      <c r="O192" t="s">
        <v>555</v>
      </c>
      <c r="T192" t="s">
        <v>373</v>
      </c>
      <c r="U192" t="s">
        <v>373</v>
      </c>
      <c r="V192" t="s">
        <v>4132</v>
      </c>
      <c r="W192" t="s">
        <v>4133</v>
      </c>
      <c r="X192" t="s">
        <v>4134</v>
      </c>
      <c r="Y192" t="s">
        <v>4135</v>
      </c>
      <c r="Z192" t="s">
        <v>4136</v>
      </c>
      <c r="AA192" t="s">
        <v>4137</v>
      </c>
      <c r="AB192" t="s">
        <v>4138</v>
      </c>
      <c r="AC192" t="s">
        <v>4139</v>
      </c>
      <c r="AD192" t="s">
        <v>4140</v>
      </c>
      <c r="AE192" t="s">
        <v>4141</v>
      </c>
      <c r="AF192" t="s">
        <v>4142</v>
      </c>
      <c r="AG192" t="s">
        <v>4143</v>
      </c>
      <c r="AH192" t="s">
        <v>4144</v>
      </c>
      <c r="BA192" t="str">
        <f>"949"</f>
        <v>949</v>
      </c>
      <c r="BB192" t="str">
        <f>"400"</f>
        <v>400</v>
      </c>
      <c r="BC192" t="s">
        <v>665</v>
      </c>
      <c r="BD192" t="str">
        <f t="shared" si="40"/>
        <v>1</v>
      </c>
      <c r="BE192" t="s">
        <v>389</v>
      </c>
      <c r="BF192" t="str">
        <f>"33.86"</f>
        <v>33.86</v>
      </c>
      <c r="BG192" t="str">
        <f>"22.05"</f>
        <v>22.05</v>
      </c>
      <c r="BH192" t="str">
        <f>"31.1"</f>
        <v>31.1</v>
      </c>
      <c r="BI192" t="str">
        <f>"108.03"</f>
        <v>108.03</v>
      </c>
      <c r="BY192" t="str">
        <f>"13.42"</f>
        <v>13.42</v>
      </c>
      <c r="BZ192" t="str">
        <f>"0.38"</f>
        <v>0.38</v>
      </c>
      <c r="CA192" t="s">
        <v>495</v>
      </c>
      <c r="CR192" t="s">
        <v>1343</v>
      </c>
      <c r="CS192">
        <v>3</v>
      </c>
      <c r="CT192" t="s">
        <v>1008</v>
      </c>
      <c r="CV192">
        <v>0</v>
      </c>
      <c r="CX192" t="s">
        <v>1414</v>
      </c>
      <c r="CY192" t="s">
        <v>1009</v>
      </c>
      <c r="DC192">
        <v>0</v>
      </c>
      <c r="DJ192" t="s">
        <v>4145</v>
      </c>
      <c r="DK192" t="s">
        <v>4130</v>
      </c>
      <c r="DM192" t="s">
        <v>473</v>
      </c>
      <c r="DX192" t="s">
        <v>3079</v>
      </c>
      <c r="EM192" t="s">
        <v>402</v>
      </c>
      <c r="EN192">
        <v>0</v>
      </c>
      <c r="FI192">
        <v>0</v>
      </c>
      <c r="FJ192" t="s">
        <v>1012</v>
      </c>
      <c r="FR192" t="s">
        <v>4146</v>
      </c>
      <c r="FT192" t="s">
        <v>4147</v>
      </c>
      <c r="FV192" t="s">
        <v>4148</v>
      </c>
      <c r="FX192" t="s">
        <v>1017</v>
      </c>
      <c r="GA192" t="s">
        <v>402</v>
      </c>
    </row>
    <row r="193" spans="1:251" x14ac:dyDescent="0.25">
      <c r="A193" t="s">
        <v>4149</v>
      </c>
      <c r="B193" t="str">
        <f>"801542825027"</f>
        <v>801542825027</v>
      </c>
      <c r="C193" t="s">
        <v>4150</v>
      </c>
      <c r="D193" t="s">
        <v>4130</v>
      </c>
      <c r="E193" t="s">
        <v>988</v>
      </c>
      <c r="G193" t="str">
        <f>"30"</f>
        <v>30</v>
      </c>
      <c r="H193" t="str">
        <f>"19"</f>
        <v>19</v>
      </c>
      <c r="I193" t="str">
        <f>"50"</f>
        <v>50</v>
      </c>
      <c r="J193" t="str">
        <f>"143.3"</f>
        <v>143.3</v>
      </c>
      <c r="K193" t="s">
        <v>4131</v>
      </c>
      <c r="L193" t="s">
        <v>1987</v>
      </c>
      <c r="N193" t="s">
        <v>1399</v>
      </c>
      <c r="O193" t="s">
        <v>555</v>
      </c>
      <c r="T193" t="s">
        <v>373</v>
      </c>
      <c r="U193" t="s">
        <v>373</v>
      </c>
      <c r="V193" t="s">
        <v>4151</v>
      </c>
      <c r="W193" t="s">
        <v>4152</v>
      </c>
      <c r="X193" t="s">
        <v>4153</v>
      </c>
      <c r="Y193" t="s">
        <v>4154</v>
      </c>
      <c r="Z193" t="s">
        <v>4155</v>
      </c>
      <c r="AA193" t="s">
        <v>4156</v>
      </c>
      <c r="AB193" t="s">
        <v>4157</v>
      </c>
      <c r="AC193" t="s">
        <v>4158</v>
      </c>
      <c r="AD193" t="s">
        <v>4159</v>
      </c>
      <c r="AE193" t="s">
        <v>4160</v>
      </c>
      <c r="AF193" t="s">
        <v>4161</v>
      </c>
      <c r="AG193" t="s">
        <v>4162</v>
      </c>
      <c r="AH193" t="s">
        <v>4163</v>
      </c>
      <c r="BA193" t="str">
        <f>"1399"</f>
        <v>1399</v>
      </c>
      <c r="BB193" t="str">
        <f>"590"</f>
        <v>590</v>
      </c>
      <c r="BC193" t="s">
        <v>665</v>
      </c>
      <c r="BD193" t="str">
        <f t="shared" si="40"/>
        <v>1</v>
      </c>
      <c r="BE193" t="s">
        <v>389</v>
      </c>
      <c r="BF193" t="str">
        <f>"34.06"</f>
        <v>34.06</v>
      </c>
      <c r="BG193" t="str">
        <f>"22.83"</f>
        <v>22.83</v>
      </c>
      <c r="BH193" t="str">
        <f>"50"</f>
        <v>50</v>
      </c>
      <c r="BI193" t="str">
        <f>"165.35"</f>
        <v>165.35</v>
      </c>
      <c r="BY193" t="str">
        <f>"22.5"</f>
        <v>22.5</v>
      </c>
      <c r="BZ193" t="str">
        <f>"0.637"</f>
        <v>0.637</v>
      </c>
      <c r="CA193" t="s">
        <v>390</v>
      </c>
      <c r="CR193" t="s">
        <v>1343</v>
      </c>
      <c r="CS193">
        <v>5</v>
      </c>
      <c r="CT193" t="s">
        <v>1008</v>
      </c>
      <c r="CV193">
        <v>0</v>
      </c>
      <c r="CX193" t="s">
        <v>1414</v>
      </c>
      <c r="CY193" t="s">
        <v>1009</v>
      </c>
      <c r="DC193">
        <v>0</v>
      </c>
      <c r="DJ193" t="s">
        <v>1267</v>
      </c>
      <c r="DK193" t="s">
        <v>4130</v>
      </c>
      <c r="DM193" t="s">
        <v>473</v>
      </c>
      <c r="DX193" t="s">
        <v>3079</v>
      </c>
      <c r="EM193" t="s">
        <v>402</v>
      </c>
      <c r="EN193">
        <v>0</v>
      </c>
      <c r="FI193">
        <v>0</v>
      </c>
      <c r="FJ193" t="s">
        <v>1012</v>
      </c>
      <c r="FR193" t="s">
        <v>4164</v>
      </c>
      <c r="FT193" t="s">
        <v>3521</v>
      </c>
      <c r="FV193" t="s">
        <v>4148</v>
      </c>
      <c r="FX193" t="s">
        <v>1017</v>
      </c>
      <c r="GA193" t="s">
        <v>402</v>
      </c>
    </row>
    <row r="194" spans="1:251" x14ac:dyDescent="0.25">
      <c r="A194" t="s">
        <v>4165</v>
      </c>
      <c r="B194" t="str">
        <f>"801542617585"</f>
        <v>801542617585</v>
      </c>
      <c r="C194" t="s">
        <v>4166</v>
      </c>
      <c r="D194" t="s">
        <v>4130</v>
      </c>
      <c r="E194" t="s">
        <v>988</v>
      </c>
      <c r="G194" t="str">
        <f>"58"</f>
        <v>58</v>
      </c>
      <c r="H194" t="str">
        <f>"18"</f>
        <v>18</v>
      </c>
      <c r="I194" t="str">
        <f>"31"</f>
        <v>31</v>
      </c>
      <c r="J194" t="str">
        <f>"156.09"</f>
        <v>156.09</v>
      </c>
      <c r="K194" t="s">
        <v>4131</v>
      </c>
      <c r="L194" t="s">
        <v>1987</v>
      </c>
      <c r="N194" t="s">
        <v>1399</v>
      </c>
      <c r="O194" t="s">
        <v>555</v>
      </c>
      <c r="T194" t="s">
        <v>373</v>
      </c>
      <c r="U194" t="s">
        <v>373</v>
      </c>
      <c r="V194" t="s">
        <v>4167</v>
      </c>
      <c r="W194" t="s">
        <v>4168</v>
      </c>
      <c r="X194" t="s">
        <v>4169</v>
      </c>
      <c r="Y194" t="s">
        <v>4170</v>
      </c>
      <c r="Z194" t="s">
        <v>4171</v>
      </c>
      <c r="AA194" t="s">
        <v>4172</v>
      </c>
      <c r="AB194" t="s">
        <v>4173</v>
      </c>
      <c r="AC194" t="s">
        <v>4174</v>
      </c>
      <c r="AD194" t="s">
        <v>4175</v>
      </c>
      <c r="AE194" t="s">
        <v>4176</v>
      </c>
      <c r="AF194" t="s">
        <v>4177</v>
      </c>
      <c r="AG194" t="s">
        <v>4178</v>
      </c>
      <c r="AH194" t="s">
        <v>4179</v>
      </c>
      <c r="BA194" t="str">
        <f>"1649"</f>
        <v>1649</v>
      </c>
      <c r="BB194" t="str">
        <f>"695"</f>
        <v>695</v>
      </c>
      <c r="BC194" t="s">
        <v>665</v>
      </c>
      <c r="BD194" t="str">
        <f t="shared" si="40"/>
        <v>1</v>
      </c>
      <c r="BE194" t="s">
        <v>1266</v>
      </c>
      <c r="BF194" t="str">
        <f>"62.01"</f>
        <v>62.01</v>
      </c>
      <c r="BG194" t="str">
        <f>"21.85"</f>
        <v>21.85</v>
      </c>
      <c r="BH194" t="str">
        <f>"31.1"</f>
        <v>31.1</v>
      </c>
      <c r="BI194" t="str">
        <f>"177.03"</f>
        <v>177.03</v>
      </c>
      <c r="BY194" t="str">
        <f>"24.4"</f>
        <v>24.4</v>
      </c>
      <c r="BZ194" t="str">
        <f>"0.691"</f>
        <v>0.691</v>
      </c>
      <c r="CA194" t="s">
        <v>495</v>
      </c>
      <c r="CR194" t="s">
        <v>3806</v>
      </c>
      <c r="CS194">
        <v>6</v>
      </c>
      <c r="CT194" t="s">
        <v>1008</v>
      </c>
      <c r="CV194">
        <v>0</v>
      </c>
      <c r="CX194" t="s">
        <v>1414</v>
      </c>
      <c r="CY194" t="s">
        <v>1009</v>
      </c>
      <c r="DC194">
        <v>0</v>
      </c>
      <c r="DJ194" t="s">
        <v>1010</v>
      </c>
      <c r="DK194" t="s">
        <v>4130</v>
      </c>
      <c r="DM194" t="s">
        <v>473</v>
      </c>
      <c r="DX194" t="s">
        <v>3079</v>
      </c>
      <c r="EM194" t="s">
        <v>402</v>
      </c>
      <c r="EN194">
        <v>0</v>
      </c>
      <c r="FI194">
        <v>0</v>
      </c>
      <c r="FJ194" t="s">
        <v>1012</v>
      </c>
      <c r="FR194" t="s">
        <v>4180</v>
      </c>
      <c r="FT194" t="s">
        <v>4147</v>
      </c>
      <c r="FV194" t="s">
        <v>4181</v>
      </c>
      <c r="FX194" t="s">
        <v>1017</v>
      </c>
      <c r="FZ194" t="s">
        <v>953</v>
      </c>
      <c r="GA194" t="s">
        <v>402</v>
      </c>
    </row>
    <row r="195" spans="1:251" x14ac:dyDescent="0.25">
      <c r="A195" t="s">
        <v>4182</v>
      </c>
      <c r="B195" t="str">
        <f>"801542633578"</f>
        <v>801542633578</v>
      </c>
      <c r="C195" t="s">
        <v>4183</v>
      </c>
      <c r="D195" t="s">
        <v>4184</v>
      </c>
      <c r="E195" t="s">
        <v>988</v>
      </c>
      <c r="G195" t="str">
        <f>"32.5"</f>
        <v>32.5</v>
      </c>
      <c r="H195" t="str">
        <f>"19.5"</f>
        <v>19.5</v>
      </c>
      <c r="I195" t="str">
        <f>"32.5"</f>
        <v>32.5</v>
      </c>
      <c r="J195" t="str">
        <f>"121.25"</f>
        <v>121.25</v>
      </c>
      <c r="K195" t="s">
        <v>4185</v>
      </c>
      <c r="L195" t="s">
        <v>4186</v>
      </c>
      <c r="N195" t="s">
        <v>1970</v>
      </c>
      <c r="O195" t="s">
        <v>416</v>
      </c>
      <c r="T195" t="s">
        <v>402</v>
      </c>
      <c r="U195" t="s">
        <v>373</v>
      </c>
      <c r="V195" t="s">
        <v>4187</v>
      </c>
      <c r="W195" t="s">
        <v>4188</v>
      </c>
      <c r="X195" t="s">
        <v>4189</v>
      </c>
      <c r="Y195" t="s">
        <v>4190</v>
      </c>
      <c r="Z195" t="s">
        <v>4191</v>
      </c>
      <c r="AA195" t="s">
        <v>4192</v>
      </c>
      <c r="AB195" t="s">
        <v>4193</v>
      </c>
      <c r="AC195" t="s">
        <v>4194</v>
      </c>
      <c r="AD195" t="s">
        <v>4195</v>
      </c>
      <c r="AE195" t="s">
        <v>4196</v>
      </c>
      <c r="AF195" t="s">
        <v>4197</v>
      </c>
      <c r="AG195" t="s">
        <v>4198</v>
      </c>
      <c r="AH195" t="s">
        <v>4199</v>
      </c>
      <c r="AI195" t="s">
        <v>4200</v>
      </c>
      <c r="AJ195" t="s">
        <v>4201</v>
      </c>
      <c r="AK195" t="s">
        <v>4202</v>
      </c>
      <c r="AL195" t="s">
        <v>4203</v>
      </c>
      <c r="BA195" t="str">
        <f>"949"</f>
        <v>949</v>
      </c>
      <c r="BB195" t="str">
        <f>"400"</f>
        <v>400</v>
      </c>
      <c r="BC195" t="s">
        <v>665</v>
      </c>
      <c r="BD195" t="str">
        <f t="shared" si="40"/>
        <v>1</v>
      </c>
      <c r="BE195" t="s">
        <v>4204</v>
      </c>
      <c r="BF195" t="str">
        <f>"36.81"</f>
        <v>36.81</v>
      </c>
      <c r="BG195" t="str">
        <f>"22.64"</f>
        <v>22.64</v>
      </c>
      <c r="BH195" t="str">
        <f>"38.78"</f>
        <v>38.78</v>
      </c>
      <c r="BI195" t="str">
        <f>"147.71"</f>
        <v>147.71</v>
      </c>
      <c r="BY195" t="str">
        <f>"18.72"</f>
        <v>18.72</v>
      </c>
      <c r="BZ195" t="str">
        <f>"0.53"</f>
        <v>0.53</v>
      </c>
      <c r="CA195" t="s">
        <v>495</v>
      </c>
      <c r="CR195" t="s">
        <v>1007</v>
      </c>
      <c r="CS195">
        <v>3</v>
      </c>
      <c r="CT195" t="s">
        <v>400</v>
      </c>
      <c r="CV195">
        <v>0</v>
      </c>
      <c r="CX195" t="s">
        <v>953</v>
      </c>
      <c r="CY195" t="s">
        <v>1009</v>
      </c>
      <c r="DC195">
        <v>0</v>
      </c>
      <c r="DJ195" t="s">
        <v>4145</v>
      </c>
      <c r="DK195" t="s">
        <v>4205</v>
      </c>
      <c r="DM195" t="s">
        <v>473</v>
      </c>
      <c r="DX195" t="s">
        <v>4206</v>
      </c>
      <c r="EM195" t="s">
        <v>402</v>
      </c>
      <c r="EN195">
        <v>0</v>
      </c>
      <c r="FI195">
        <v>0</v>
      </c>
      <c r="FJ195" t="s">
        <v>1012</v>
      </c>
      <c r="FR195" t="s">
        <v>4207</v>
      </c>
      <c r="FS195" t="s">
        <v>4207</v>
      </c>
      <c r="FT195" t="s">
        <v>4208</v>
      </c>
      <c r="FU195" t="s">
        <v>1015</v>
      </c>
      <c r="FV195" t="s">
        <v>4209</v>
      </c>
      <c r="FW195" t="s">
        <v>4209</v>
      </c>
      <c r="FX195" t="s">
        <v>4210</v>
      </c>
      <c r="FZ195" t="s">
        <v>1018</v>
      </c>
    </row>
    <row r="196" spans="1:251" x14ac:dyDescent="0.25">
      <c r="A196" t="s">
        <v>4211</v>
      </c>
      <c r="B196" t="str">
        <f>"801542757441"</f>
        <v>801542757441</v>
      </c>
      <c r="C196" t="s">
        <v>4212</v>
      </c>
      <c r="D196" t="s">
        <v>4184</v>
      </c>
      <c r="E196" t="s">
        <v>988</v>
      </c>
      <c r="G196" t="str">
        <f>"32.5"</f>
        <v>32.5</v>
      </c>
      <c r="H196" t="str">
        <f>"19.5"</f>
        <v>19.5</v>
      </c>
      <c r="I196" t="str">
        <f>"32.5"</f>
        <v>32.5</v>
      </c>
      <c r="J196" t="str">
        <f>"121.25"</f>
        <v>121.25</v>
      </c>
      <c r="K196" t="s">
        <v>4213</v>
      </c>
      <c r="L196" t="s">
        <v>4186</v>
      </c>
      <c r="N196" t="s">
        <v>1970</v>
      </c>
      <c r="O196" t="s">
        <v>416</v>
      </c>
      <c r="T196" t="s">
        <v>402</v>
      </c>
      <c r="U196" t="s">
        <v>373</v>
      </c>
      <c r="V196" t="s">
        <v>4214</v>
      </c>
      <c r="W196" t="s">
        <v>4215</v>
      </c>
      <c r="X196" t="s">
        <v>4216</v>
      </c>
      <c r="Y196" t="s">
        <v>4217</v>
      </c>
      <c r="Z196" t="s">
        <v>4218</v>
      </c>
      <c r="AA196" t="s">
        <v>4219</v>
      </c>
      <c r="AB196" t="s">
        <v>4220</v>
      </c>
      <c r="AC196" t="s">
        <v>4221</v>
      </c>
      <c r="AD196" t="s">
        <v>4222</v>
      </c>
      <c r="AE196" t="s">
        <v>4223</v>
      </c>
      <c r="AF196" t="s">
        <v>4224</v>
      </c>
      <c r="AG196" t="s">
        <v>4225</v>
      </c>
      <c r="AH196" t="s">
        <v>4226</v>
      </c>
      <c r="BA196" t="str">
        <f>"949"</f>
        <v>949</v>
      </c>
      <c r="BB196" t="str">
        <f>"400"</f>
        <v>400</v>
      </c>
      <c r="BC196" t="s">
        <v>665</v>
      </c>
      <c r="BD196" t="str">
        <f t="shared" si="40"/>
        <v>1</v>
      </c>
      <c r="BE196" t="s">
        <v>4204</v>
      </c>
      <c r="BF196" t="str">
        <f>"36.81"</f>
        <v>36.81</v>
      </c>
      <c r="BG196" t="str">
        <f>"22.64"</f>
        <v>22.64</v>
      </c>
      <c r="BH196" t="str">
        <f>"38.78"</f>
        <v>38.78</v>
      </c>
      <c r="BI196" t="str">
        <f>"147.71"</f>
        <v>147.71</v>
      </c>
      <c r="BY196" t="str">
        <f>"18.72"</f>
        <v>18.72</v>
      </c>
      <c r="BZ196" t="str">
        <f>"0.53"</f>
        <v>0.53</v>
      </c>
      <c r="CA196" t="s">
        <v>495</v>
      </c>
      <c r="CR196" t="s">
        <v>1007</v>
      </c>
      <c r="CS196">
        <v>3</v>
      </c>
      <c r="CT196" t="s">
        <v>400</v>
      </c>
      <c r="CV196">
        <v>0</v>
      </c>
      <c r="CX196" t="s">
        <v>953</v>
      </c>
      <c r="CY196" t="s">
        <v>1009</v>
      </c>
      <c r="DC196">
        <v>0</v>
      </c>
      <c r="DJ196" t="s">
        <v>4145</v>
      </c>
      <c r="DK196" t="s">
        <v>4205</v>
      </c>
      <c r="DM196" t="s">
        <v>473</v>
      </c>
      <c r="DX196" t="s">
        <v>4206</v>
      </c>
      <c r="EM196" t="s">
        <v>402</v>
      </c>
      <c r="EN196">
        <v>0</v>
      </c>
      <c r="FI196">
        <v>0</v>
      </c>
      <c r="FJ196" t="s">
        <v>1012</v>
      </c>
      <c r="FR196" t="s">
        <v>4207</v>
      </c>
      <c r="FS196" t="s">
        <v>4207</v>
      </c>
      <c r="FT196" t="s">
        <v>4208</v>
      </c>
      <c r="FU196" t="s">
        <v>1015</v>
      </c>
      <c r="FV196" t="s">
        <v>4209</v>
      </c>
      <c r="FW196" t="s">
        <v>4209</v>
      </c>
      <c r="FX196" t="s">
        <v>4210</v>
      </c>
      <c r="FZ196" t="s">
        <v>1018</v>
      </c>
    </row>
    <row r="197" spans="1:251" x14ac:dyDescent="0.25">
      <c r="A197" t="s">
        <v>4227</v>
      </c>
      <c r="B197" t="str">
        <f>"801542566067"</f>
        <v>801542566067</v>
      </c>
      <c r="C197" t="s">
        <v>4228</v>
      </c>
      <c r="D197" t="s">
        <v>3784</v>
      </c>
      <c r="E197" t="s">
        <v>1043</v>
      </c>
      <c r="G197" t="str">
        <f>"24"</f>
        <v>24</v>
      </c>
      <c r="H197" t="str">
        <f>"17"</f>
        <v>17</v>
      </c>
      <c r="I197" t="str">
        <f>"27"</f>
        <v>27</v>
      </c>
      <c r="J197" t="str">
        <f>"40.79"</f>
        <v>40.79</v>
      </c>
      <c r="K197" t="s">
        <v>3861</v>
      </c>
      <c r="L197" t="s">
        <v>3862</v>
      </c>
      <c r="N197" t="s">
        <v>3787</v>
      </c>
      <c r="O197" t="s">
        <v>416</v>
      </c>
      <c r="T197" t="s">
        <v>373</v>
      </c>
      <c r="U197" t="s">
        <v>373</v>
      </c>
      <c r="V197" t="s">
        <v>4229</v>
      </c>
      <c r="W197" t="s">
        <v>4230</v>
      </c>
      <c r="X197" t="s">
        <v>4231</v>
      </c>
      <c r="Y197" t="s">
        <v>4232</v>
      </c>
      <c r="Z197" t="s">
        <v>4233</v>
      </c>
      <c r="AA197" t="s">
        <v>4234</v>
      </c>
      <c r="AB197" t="s">
        <v>4235</v>
      </c>
      <c r="AC197" t="s">
        <v>4236</v>
      </c>
      <c r="AD197" t="s">
        <v>4237</v>
      </c>
      <c r="AE197" t="s">
        <v>4238</v>
      </c>
      <c r="AF197" t="s">
        <v>4239</v>
      </c>
      <c r="AG197" t="s">
        <v>4240</v>
      </c>
      <c r="AH197" t="s">
        <v>4241</v>
      </c>
      <c r="BA197" t="str">
        <f>"699"</f>
        <v>699</v>
      </c>
      <c r="BB197" t="str">
        <f>"295"</f>
        <v>295</v>
      </c>
      <c r="BC197" t="s">
        <v>1149</v>
      </c>
      <c r="BD197" t="str">
        <f t="shared" si="40"/>
        <v>1</v>
      </c>
      <c r="BE197" t="s">
        <v>389</v>
      </c>
      <c r="BF197" t="str">
        <f>"28.54"</f>
        <v>28.54</v>
      </c>
      <c r="BG197" t="str">
        <f>"21.06"</f>
        <v>21.06</v>
      </c>
      <c r="BH197" t="str">
        <f>"32.28"</f>
        <v>32.28</v>
      </c>
      <c r="BI197" t="str">
        <f>"54.01"</f>
        <v>54.01</v>
      </c>
      <c r="BY197" t="str">
        <f>"11.23"</f>
        <v>11.23</v>
      </c>
      <c r="BZ197" t="str">
        <f>"0.318"</f>
        <v>0.318</v>
      </c>
      <c r="CA197" t="s">
        <v>431</v>
      </c>
      <c r="CB197" t="s">
        <v>3810</v>
      </c>
      <c r="CC197" t="s">
        <v>956</v>
      </c>
      <c r="CD197" t="s">
        <v>1636</v>
      </c>
      <c r="CE197" t="s">
        <v>3810</v>
      </c>
      <c r="CF197" t="s">
        <v>4242</v>
      </c>
      <c r="CG197" t="s">
        <v>1636</v>
      </c>
      <c r="CR197" t="s">
        <v>3806</v>
      </c>
      <c r="CS197">
        <v>1</v>
      </c>
      <c r="CT197" t="s">
        <v>1344</v>
      </c>
      <c r="CV197">
        <v>1</v>
      </c>
      <c r="CW197" t="s">
        <v>402</v>
      </c>
      <c r="CX197" t="s">
        <v>1018</v>
      </c>
      <c r="CY197" t="s">
        <v>1009</v>
      </c>
      <c r="DC197">
        <v>0</v>
      </c>
      <c r="DJ197" t="s">
        <v>408</v>
      </c>
      <c r="DK197" t="s">
        <v>3807</v>
      </c>
      <c r="DM197" t="s">
        <v>473</v>
      </c>
      <c r="DX197" t="s">
        <v>566</v>
      </c>
      <c r="EM197" t="s">
        <v>402</v>
      </c>
      <c r="EN197">
        <v>1</v>
      </c>
      <c r="FI197">
        <v>0</v>
      </c>
      <c r="FJ197" t="s">
        <v>1012</v>
      </c>
      <c r="FR197" t="s">
        <v>4243</v>
      </c>
      <c r="FT197" t="s">
        <v>4244</v>
      </c>
      <c r="FV197" t="s">
        <v>4245</v>
      </c>
      <c r="FX197" t="s">
        <v>1008</v>
      </c>
      <c r="FZ197" t="s">
        <v>1018</v>
      </c>
      <c r="GA197" t="s">
        <v>402</v>
      </c>
    </row>
    <row r="198" spans="1:251" x14ac:dyDescent="0.25">
      <c r="A198" t="s">
        <v>4246</v>
      </c>
      <c r="B198" t="str">
        <f>"801542570347"</f>
        <v>801542570347</v>
      </c>
      <c r="C198" t="s">
        <v>4247</v>
      </c>
      <c r="D198" t="s">
        <v>3784</v>
      </c>
      <c r="E198" t="s">
        <v>1043</v>
      </c>
      <c r="G198" t="str">
        <f>"24"</f>
        <v>24</v>
      </c>
      <c r="H198" t="str">
        <f>"17"</f>
        <v>17</v>
      </c>
      <c r="I198" t="str">
        <f>"27"</f>
        <v>27</v>
      </c>
      <c r="J198" t="str">
        <f>"40.79"</f>
        <v>40.79</v>
      </c>
      <c r="K198" t="s">
        <v>3886</v>
      </c>
      <c r="L198" t="s">
        <v>3786</v>
      </c>
      <c r="N198" t="s">
        <v>3787</v>
      </c>
      <c r="O198" t="s">
        <v>416</v>
      </c>
      <c r="T198" t="s">
        <v>373</v>
      </c>
      <c r="U198" t="s">
        <v>373</v>
      </c>
      <c r="V198" t="s">
        <v>4248</v>
      </c>
      <c r="W198" t="s">
        <v>4249</v>
      </c>
      <c r="X198" t="s">
        <v>4250</v>
      </c>
      <c r="Y198" t="s">
        <v>4251</v>
      </c>
      <c r="Z198" t="s">
        <v>4252</v>
      </c>
      <c r="AA198" t="s">
        <v>4253</v>
      </c>
      <c r="AB198" t="s">
        <v>4254</v>
      </c>
      <c r="AC198" t="s">
        <v>4255</v>
      </c>
      <c r="AD198" t="s">
        <v>4256</v>
      </c>
      <c r="AE198" t="s">
        <v>4257</v>
      </c>
      <c r="AF198" t="s">
        <v>4258</v>
      </c>
      <c r="AG198" t="s">
        <v>4259</v>
      </c>
      <c r="BA198" t="str">
        <f>"699"</f>
        <v>699</v>
      </c>
      <c r="BB198" t="str">
        <f>"295"</f>
        <v>295</v>
      </c>
      <c r="BC198" t="s">
        <v>1149</v>
      </c>
      <c r="BD198" t="str">
        <f t="shared" si="40"/>
        <v>1</v>
      </c>
      <c r="BE198" t="s">
        <v>389</v>
      </c>
      <c r="BF198" t="str">
        <f>"28.54"</f>
        <v>28.54</v>
      </c>
      <c r="BG198" t="str">
        <f>"21.06"</f>
        <v>21.06</v>
      </c>
      <c r="BH198" t="str">
        <f>"32.28"</f>
        <v>32.28</v>
      </c>
      <c r="BI198" t="str">
        <f>"54.01"</f>
        <v>54.01</v>
      </c>
      <c r="BY198" t="str">
        <f>"11.23"</f>
        <v>11.23</v>
      </c>
      <c r="BZ198" t="str">
        <f>"0.318"</f>
        <v>0.318</v>
      </c>
      <c r="CA198" t="s">
        <v>431</v>
      </c>
      <c r="CB198" t="s">
        <v>3810</v>
      </c>
      <c r="CC198" t="s">
        <v>956</v>
      </c>
      <c r="CD198" t="s">
        <v>1636</v>
      </c>
      <c r="CE198" t="s">
        <v>3810</v>
      </c>
      <c r="CF198" t="s">
        <v>4242</v>
      </c>
      <c r="CG198" t="s">
        <v>1636</v>
      </c>
      <c r="CR198" t="s">
        <v>3806</v>
      </c>
      <c r="CS198">
        <v>1</v>
      </c>
      <c r="CT198" t="s">
        <v>1344</v>
      </c>
      <c r="CV198">
        <v>1</v>
      </c>
      <c r="CW198" t="s">
        <v>402</v>
      </c>
      <c r="CX198" t="s">
        <v>1018</v>
      </c>
      <c r="CY198" t="s">
        <v>1009</v>
      </c>
      <c r="DC198">
        <v>0</v>
      </c>
      <c r="DJ198" t="s">
        <v>408</v>
      </c>
      <c r="DK198" t="s">
        <v>3807</v>
      </c>
      <c r="DM198" t="s">
        <v>473</v>
      </c>
      <c r="DX198" t="s">
        <v>566</v>
      </c>
      <c r="EM198" t="s">
        <v>402</v>
      </c>
      <c r="EN198">
        <v>1</v>
      </c>
      <c r="FI198">
        <v>0</v>
      </c>
      <c r="FJ198" t="s">
        <v>1012</v>
      </c>
      <c r="FR198" t="s">
        <v>4243</v>
      </c>
      <c r="FT198" t="s">
        <v>4244</v>
      </c>
      <c r="FV198" t="s">
        <v>4245</v>
      </c>
      <c r="FX198" t="s">
        <v>1008</v>
      </c>
      <c r="FZ198" t="s">
        <v>1018</v>
      </c>
      <c r="GA198" t="s">
        <v>402</v>
      </c>
    </row>
    <row r="199" spans="1:251" x14ac:dyDescent="0.25">
      <c r="A199" t="s">
        <v>4260</v>
      </c>
      <c r="B199" t="str">
        <f>"801542769567"</f>
        <v>801542769567</v>
      </c>
      <c r="C199" t="s">
        <v>4261</v>
      </c>
      <c r="D199" t="s">
        <v>3784</v>
      </c>
      <c r="E199" t="s">
        <v>1043</v>
      </c>
      <c r="G199" t="str">
        <f>"24"</f>
        <v>24</v>
      </c>
      <c r="H199" t="str">
        <f>"17"</f>
        <v>17</v>
      </c>
      <c r="I199" t="str">
        <f>"27"</f>
        <v>27</v>
      </c>
      <c r="J199" t="str">
        <f>"40.79"</f>
        <v>40.79</v>
      </c>
      <c r="K199" t="s">
        <v>3785</v>
      </c>
      <c r="L199" t="s">
        <v>3786</v>
      </c>
      <c r="N199" t="s">
        <v>3787</v>
      </c>
      <c r="O199" t="s">
        <v>416</v>
      </c>
      <c r="T199" t="s">
        <v>373</v>
      </c>
      <c r="U199" t="s">
        <v>373</v>
      </c>
      <c r="V199" t="s">
        <v>4262</v>
      </c>
      <c r="W199" t="s">
        <v>4263</v>
      </c>
      <c r="X199" t="s">
        <v>4264</v>
      </c>
      <c r="Y199" t="s">
        <v>4265</v>
      </c>
      <c r="Z199" t="s">
        <v>4266</v>
      </c>
      <c r="AA199" t="s">
        <v>4267</v>
      </c>
      <c r="AB199" t="s">
        <v>4268</v>
      </c>
      <c r="AC199" t="s">
        <v>4269</v>
      </c>
      <c r="AD199" t="s">
        <v>3796</v>
      </c>
      <c r="AE199" t="s">
        <v>4270</v>
      </c>
      <c r="AF199" t="s">
        <v>4271</v>
      </c>
      <c r="AG199" t="s">
        <v>4272</v>
      </c>
      <c r="AH199" t="s">
        <v>4273</v>
      </c>
      <c r="AI199" t="s">
        <v>4274</v>
      </c>
      <c r="AJ199" t="s">
        <v>4275</v>
      </c>
      <c r="BA199" t="str">
        <f>"699"</f>
        <v>699</v>
      </c>
      <c r="BB199" t="str">
        <f>"295"</f>
        <v>295</v>
      </c>
      <c r="BC199" t="s">
        <v>1149</v>
      </c>
      <c r="BD199" t="str">
        <f t="shared" si="40"/>
        <v>1</v>
      </c>
      <c r="BE199" t="s">
        <v>389</v>
      </c>
      <c r="BF199" t="str">
        <f>"28.54"</f>
        <v>28.54</v>
      </c>
      <c r="BG199" t="str">
        <f>"21.06"</f>
        <v>21.06</v>
      </c>
      <c r="BH199" t="str">
        <f>"32.28"</f>
        <v>32.28</v>
      </c>
      <c r="BI199" t="str">
        <f>"54.01"</f>
        <v>54.01</v>
      </c>
      <c r="BY199" t="str">
        <f>"11.23"</f>
        <v>11.23</v>
      </c>
      <c r="BZ199" t="str">
        <f>"0.318"</f>
        <v>0.318</v>
      </c>
      <c r="CA199" t="s">
        <v>495</v>
      </c>
      <c r="CB199" t="s">
        <v>3810</v>
      </c>
      <c r="CC199" t="s">
        <v>956</v>
      </c>
      <c r="CD199" t="s">
        <v>1636</v>
      </c>
      <c r="CE199" t="s">
        <v>3810</v>
      </c>
      <c r="CF199" t="s">
        <v>4242</v>
      </c>
      <c r="CG199" t="s">
        <v>1636</v>
      </c>
      <c r="CR199" t="s">
        <v>3806</v>
      </c>
      <c r="CS199">
        <v>1</v>
      </c>
      <c r="CT199" t="s">
        <v>1344</v>
      </c>
      <c r="CV199">
        <v>1</v>
      </c>
      <c r="CW199" t="s">
        <v>402</v>
      </c>
      <c r="CX199" t="s">
        <v>1018</v>
      </c>
      <c r="CY199" t="s">
        <v>1009</v>
      </c>
      <c r="DC199">
        <v>0</v>
      </c>
      <c r="DJ199" t="s">
        <v>408</v>
      </c>
      <c r="DK199" t="s">
        <v>3807</v>
      </c>
      <c r="DM199" t="s">
        <v>473</v>
      </c>
      <c r="DX199" t="s">
        <v>566</v>
      </c>
      <c r="EM199" t="s">
        <v>402</v>
      </c>
      <c r="EN199">
        <v>1</v>
      </c>
      <c r="FI199">
        <v>0</v>
      </c>
      <c r="FJ199" t="s">
        <v>1012</v>
      </c>
      <c r="FR199" t="s">
        <v>4243</v>
      </c>
      <c r="FT199" t="s">
        <v>4244</v>
      </c>
      <c r="FV199" t="s">
        <v>4245</v>
      </c>
      <c r="FX199" t="s">
        <v>1008</v>
      </c>
      <c r="FZ199" t="s">
        <v>1018</v>
      </c>
      <c r="GA199" t="s">
        <v>402</v>
      </c>
    </row>
    <row r="200" spans="1:251" x14ac:dyDescent="0.25">
      <c r="A200" t="s">
        <v>4276</v>
      </c>
      <c r="B200" t="str">
        <f>"801542633646"</f>
        <v>801542633646</v>
      </c>
      <c r="C200" t="s">
        <v>4277</v>
      </c>
      <c r="D200" t="s">
        <v>4184</v>
      </c>
      <c r="E200" t="s">
        <v>2006</v>
      </c>
      <c r="F200" t="s">
        <v>2007</v>
      </c>
      <c r="G200" t="str">
        <f>"63.5"</f>
        <v>63.5</v>
      </c>
      <c r="H200" t="str">
        <f t="shared" ref="H200:H205" si="41">"85"</f>
        <v>85</v>
      </c>
      <c r="I200" t="str">
        <f t="shared" ref="I200:I205" si="42">"51"</f>
        <v>51</v>
      </c>
      <c r="J200" t="str">
        <f>"158.72"</f>
        <v>158.72</v>
      </c>
      <c r="K200" t="s">
        <v>4186</v>
      </c>
      <c r="L200" t="s">
        <v>4185</v>
      </c>
      <c r="N200" t="s">
        <v>416</v>
      </c>
      <c r="O200" t="s">
        <v>1970</v>
      </c>
      <c r="T200" t="s">
        <v>373</v>
      </c>
      <c r="U200" t="s">
        <v>373</v>
      </c>
      <c r="V200" t="s">
        <v>4278</v>
      </c>
      <c r="W200" t="s">
        <v>4279</v>
      </c>
      <c r="X200" t="s">
        <v>4280</v>
      </c>
      <c r="Y200" t="s">
        <v>4281</v>
      </c>
      <c r="Z200" t="s">
        <v>4282</v>
      </c>
      <c r="AA200" t="s">
        <v>4283</v>
      </c>
      <c r="AB200" t="s">
        <v>4284</v>
      </c>
      <c r="AC200" t="s">
        <v>4285</v>
      </c>
      <c r="AD200" t="s">
        <v>4286</v>
      </c>
      <c r="AE200" t="s">
        <v>4287</v>
      </c>
      <c r="AF200" t="s">
        <v>4288</v>
      </c>
      <c r="AG200" t="s">
        <v>4289</v>
      </c>
      <c r="AH200" t="s">
        <v>4290</v>
      </c>
      <c r="AI200" t="s">
        <v>4291</v>
      </c>
      <c r="AJ200" t="s">
        <v>4292</v>
      </c>
      <c r="AK200" t="s">
        <v>4293</v>
      </c>
      <c r="AL200" t="s">
        <v>4294</v>
      </c>
      <c r="BA200" t="str">
        <f>"1999"</f>
        <v>1999</v>
      </c>
      <c r="BB200" t="str">
        <f>"840"</f>
        <v>840</v>
      </c>
      <c r="BC200" t="s">
        <v>665</v>
      </c>
      <c r="BD200" t="str">
        <f t="shared" ref="BD200:BD205" si="43">"3"</f>
        <v>3</v>
      </c>
      <c r="BE200" t="s">
        <v>2163</v>
      </c>
      <c r="BF200" t="str">
        <f>"66.93"</f>
        <v>66.93</v>
      </c>
      <c r="BG200" t="str">
        <f t="shared" ref="BG200:BG205" si="44">"5.91"</f>
        <v>5.91</v>
      </c>
      <c r="BH200" t="str">
        <f t="shared" ref="BH200:BH205" si="45">"54.72"</f>
        <v>54.72</v>
      </c>
      <c r="BI200" t="str">
        <f>"84.88"</f>
        <v>84.88</v>
      </c>
      <c r="BJ200" t="s">
        <v>4295</v>
      </c>
      <c r="BK200" t="str">
        <f>"66.93"</f>
        <v>66.93</v>
      </c>
      <c r="BL200" t="str">
        <f t="shared" ref="BL200:BL205" si="46">"4.72"</f>
        <v>4.72</v>
      </c>
      <c r="BM200" t="str">
        <f t="shared" ref="BM200:BM205" si="47">"37.8"</f>
        <v>37.8</v>
      </c>
      <c r="BN200" t="str">
        <f>"65.04"</f>
        <v>65.04</v>
      </c>
      <c r="BO200" t="s">
        <v>2026</v>
      </c>
      <c r="BP200" t="str">
        <f t="shared" ref="BP200:BP205" si="48">"85.43"</f>
        <v>85.43</v>
      </c>
      <c r="BQ200" t="str">
        <f t="shared" ref="BQ200:BQ205" si="49">"5.91"</f>
        <v>5.91</v>
      </c>
      <c r="BR200" t="str">
        <f t="shared" ref="BR200:BR205" si="50">"13.39"</f>
        <v>13.39</v>
      </c>
      <c r="BS200" t="str">
        <f t="shared" ref="BS200:BS205" si="51">"46.3"</f>
        <v>46.3</v>
      </c>
      <c r="BY200" t="str">
        <f>"23.34"</f>
        <v>23.34</v>
      </c>
      <c r="BZ200" t="str">
        <f>"0.661"</f>
        <v>0.661</v>
      </c>
      <c r="CA200" t="s">
        <v>431</v>
      </c>
      <c r="CQ200" t="s">
        <v>438</v>
      </c>
      <c r="CR200" t="s">
        <v>400</v>
      </c>
      <c r="CS200">
        <v>0</v>
      </c>
      <c r="CT200" t="s">
        <v>400</v>
      </c>
      <c r="CV200">
        <v>0</v>
      </c>
      <c r="CX200" t="s">
        <v>953</v>
      </c>
      <c r="CY200" t="s">
        <v>400</v>
      </c>
      <c r="DA200">
        <v>0</v>
      </c>
      <c r="DB200">
        <v>0</v>
      </c>
      <c r="DC200">
        <v>0</v>
      </c>
      <c r="DD200">
        <v>0</v>
      </c>
      <c r="DK200" t="s">
        <v>4205</v>
      </c>
      <c r="DM200" t="s">
        <v>2028</v>
      </c>
      <c r="EN200">
        <v>0</v>
      </c>
      <c r="HN200" t="s">
        <v>4296</v>
      </c>
      <c r="HO200" t="s">
        <v>4296</v>
      </c>
      <c r="HP200" t="s">
        <v>4296</v>
      </c>
      <c r="HQ200" t="s">
        <v>2071</v>
      </c>
      <c r="HR200" t="s">
        <v>1552</v>
      </c>
      <c r="HS200" t="s">
        <v>4297</v>
      </c>
      <c r="HT200" t="s">
        <v>4298</v>
      </c>
      <c r="HU200" t="s">
        <v>4299</v>
      </c>
      <c r="HV200" t="s">
        <v>4297</v>
      </c>
      <c r="HW200" t="s">
        <v>4300</v>
      </c>
      <c r="HX200" t="s">
        <v>392</v>
      </c>
      <c r="HY200" t="s">
        <v>4301</v>
      </c>
      <c r="HZ200" t="s">
        <v>573</v>
      </c>
      <c r="IA200" t="s">
        <v>4302</v>
      </c>
      <c r="IB200" t="s">
        <v>1712</v>
      </c>
      <c r="IC200" t="s">
        <v>402</v>
      </c>
      <c r="ID200" t="s">
        <v>2036</v>
      </c>
      <c r="IE200" t="s">
        <v>2037</v>
      </c>
      <c r="IF200" t="s">
        <v>2177</v>
      </c>
      <c r="IG200" t="s">
        <v>2007</v>
      </c>
      <c r="IM200" t="s">
        <v>395</v>
      </c>
      <c r="IN200" t="s">
        <v>4303</v>
      </c>
      <c r="IO200" t="s">
        <v>395</v>
      </c>
      <c r="IP200" t="s">
        <v>402</v>
      </c>
      <c r="IQ200" t="s">
        <v>3522</v>
      </c>
    </row>
    <row r="201" spans="1:251" x14ac:dyDescent="0.25">
      <c r="A201" t="s">
        <v>4304</v>
      </c>
      <c r="B201" t="str">
        <f>"801542633615"</f>
        <v>801542633615</v>
      </c>
      <c r="C201" t="s">
        <v>4277</v>
      </c>
      <c r="D201" t="s">
        <v>4184</v>
      </c>
      <c r="E201" t="s">
        <v>2006</v>
      </c>
      <c r="F201" t="s">
        <v>2040</v>
      </c>
      <c r="G201" t="str">
        <f>"79.5"</f>
        <v>79.5</v>
      </c>
      <c r="H201" t="str">
        <f t="shared" si="41"/>
        <v>85</v>
      </c>
      <c r="I201" t="str">
        <f t="shared" si="42"/>
        <v>51</v>
      </c>
      <c r="J201" t="str">
        <f>"187.39"</f>
        <v>187.39</v>
      </c>
      <c r="K201" t="s">
        <v>4186</v>
      </c>
      <c r="L201" t="s">
        <v>4185</v>
      </c>
      <c r="N201" t="s">
        <v>416</v>
      </c>
      <c r="O201" t="s">
        <v>1970</v>
      </c>
      <c r="T201" t="s">
        <v>373</v>
      </c>
      <c r="U201" t="s">
        <v>373</v>
      </c>
      <c r="V201" t="s">
        <v>4278</v>
      </c>
      <c r="W201" t="s">
        <v>4305</v>
      </c>
      <c r="X201" t="s">
        <v>4306</v>
      </c>
      <c r="Y201" t="s">
        <v>4307</v>
      </c>
      <c r="Z201" t="s">
        <v>4308</v>
      </c>
      <c r="AA201" t="s">
        <v>4309</v>
      </c>
      <c r="AB201" t="s">
        <v>4310</v>
      </c>
      <c r="AC201" t="s">
        <v>4311</v>
      </c>
      <c r="AD201" t="s">
        <v>4312</v>
      </c>
      <c r="AE201" t="s">
        <v>4313</v>
      </c>
      <c r="AF201" t="s">
        <v>4314</v>
      </c>
      <c r="AG201" t="s">
        <v>4315</v>
      </c>
      <c r="AH201" t="s">
        <v>4316</v>
      </c>
      <c r="AI201" t="s">
        <v>4317</v>
      </c>
      <c r="AJ201" t="s">
        <v>4318</v>
      </c>
      <c r="AK201" t="s">
        <v>4319</v>
      </c>
      <c r="BA201" t="str">
        <f>"2299"</f>
        <v>2299</v>
      </c>
      <c r="BB201" t="str">
        <f>"970"</f>
        <v>970</v>
      </c>
      <c r="BC201" t="s">
        <v>665</v>
      </c>
      <c r="BD201" t="str">
        <f t="shared" si="43"/>
        <v>3</v>
      </c>
      <c r="BE201" t="s">
        <v>2163</v>
      </c>
      <c r="BF201" t="str">
        <f>"83.07"</f>
        <v>83.07</v>
      </c>
      <c r="BG201" t="str">
        <f t="shared" si="44"/>
        <v>5.91</v>
      </c>
      <c r="BH201" t="str">
        <f t="shared" si="45"/>
        <v>54.72</v>
      </c>
      <c r="BI201" t="str">
        <f>"104.72"</f>
        <v>104.72</v>
      </c>
      <c r="BJ201" t="s">
        <v>4295</v>
      </c>
      <c r="BK201" t="str">
        <f>"83.07"</f>
        <v>83.07</v>
      </c>
      <c r="BL201" t="str">
        <f t="shared" si="46"/>
        <v>4.72</v>
      </c>
      <c r="BM201" t="str">
        <f t="shared" si="47"/>
        <v>37.8</v>
      </c>
      <c r="BN201" t="str">
        <f>"81.57"</f>
        <v>81.57</v>
      </c>
      <c r="BO201" t="s">
        <v>2026</v>
      </c>
      <c r="BP201" t="str">
        <f t="shared" si="48"/>
        <v>85.43</v>
      </c>
      <c r="BQ201" t="str">
        <f t="shared" si="49"/>
        <v>5.91</v>
      </c>
      <c r="BR201" t="str">
        <f t="shared" si="50"/>
        <v>13.39</v>
      </c>
      <c r="BS201" t="str">
        <f t="shared" si="51"/>
        <v>46.3</v>
      </c>
      <c r="BY201" t="str">
        <f>"28.04"</f>
        <v>28.04</v>
      </c>
      <c r="BZ201" t="str">
        <f>"0.794"</f>
        <v>0.794</v>
      </c>
      <c r="CA201" t="s">
        <v>431</v>
      </c>
      <c r="CQ201" t="s">
        <v>438</v>
      </c>
      <c r="CR201" t="s">
        <v>400</v>
      </c>
      <c r="CS201">
        <v>0</v>
      </c>
      <c r="CT201" t="s">
        <v>400</v>
      </c>
      <c r="CV201">
        <v>0</v>
      </c>
      <c r="CX201" t="s">
        <v>953</v>
      </c>
      <c r="CY201" t="s">
        <v>400</v>
      </c>
      <c r="DA201">
        <v>0</v>
      </c>
      <c r="DB201">
        <v>0</v>
      </c>
      <c r="DC201">
        <v>0</v>
      </c>
      <c r="DD201">
        <v>0</v>
      </c>
      <c r="DK201" t="s">
        <v>4205</v>
      </c>
      <c r="DM201" t="s">
        <v>2028</v>
      </c>
      <c r="EN201">
        <v>0</v>
      </c>
      <c r="HN201" t="s">
        <v>4296</v>
      </c>
      <c r="HO201" t="s">
        <v>4296</v>
      </c>
      <c r="HP201" t="s">
        <v>4296</v>
      </c>
      <c r="HQ201" t="s">
        <v>2071</v>
      </c>
      <c r="HR201" t="s">
        <v>1552</v>
      </c>
      <c r="HS201" t="s">
        <v>4320</v>
      </c>
      <c r="HT201" t="s">
        <v>4298</v>
      </c>
      <c r="HU201" t="s">
        <v>4299</v>
      </c>
      <c r="HV201" t="s">
        <v>4320</v>
      </c>
      <c r="HW201" t="s">
        <v>4300</v>
      </c>
      <c r="HX201" t="s">
        <v>392</v>
      </c>
      <c r="HY201" t="s">
        <v>3255</v>
      </c>
      <c r="HZ201" t="s">
        <v>573</v>
      </c>
      <c r="IA201" t="s">
        <v>4302</v>
      </c>
      <c r="IB201" t="s">
        <v>1712</v>
      </c>
      <c r="IC201" t="s">
        <v>402</v>
      </c>
      <c r="ID201" t="s">
        <v>2036</v>
      </c>
      <c r="IE201" t="s">
        <v>2037</v>
      </c>
      <c r="IF201" t="s">
        <v>2177</v>
      </c>
      <c r="IG201" t="s">
        <v>2040</v>
      </c>
      <c r="IM201" t="s">
        <v>395</v>
      </c>
      <c r="IN201" t="s">
        <v>4303</v>
      </c>
      <c r="IO201" t="s">
        <v>395</v>
      </c>
      <c r="IP201" t="s">
        <v>402</v>
      </c>
      <c r="IQ201" t="s">
        <v>3522</v>
      </c>
    </row>
    <row r="202" spans="1:251" x14ac:dyDescent="0.25">
      <c r="A202" t="s">
        <v>4321</v>
      </c>
      <c r="B202" t="str">
        <f>"801542751708"</f>
        <v>801542751708</v>
      </c>
      <c r="C202" t="s">
        <v>4322</v>
      </c>
      <c r="D202" t="s">
        <v>4184</v>
      </c>
      <c r="E202" t="s">
        <v>2006</v>
      </c>
      <c r="F202" t="s">
        <v>2007</v>
      </c>
      <c r="G202" t="str">
        <f>"63.5"</f>
        <v>63.5</v>
      </c>
      <c r="H202" t="str">
        <f t="shared" si="41"/>
        <v>85</v>
      </c>
      <c r="I202" t="str">
        <f t="shared" si="42"/>
        <v>51</v>
      </c>
      <c r="J202" t="str">
        <f>"158.73"</f>
        <v>158.73</v>
      </c>
      <c r="K202" t="s">
        <v>2294</v>
      </c>
      <c r="L202" t="s">
        <v>4185</v>
      </c>
      <c r="N202" t="s">
        <v>1170</v>
      </c>
      <c r="O202" t="s">
        <v>2269</v>
      </c>
      <c r="P202" t="s">
        <v>1970</v>
      </c>
      <c r="T202" t="s">
        <v>402</v>
      </c>
      <c r="U202" t="s">
        <v>402</v>
      </c>
      <c r="V202" t="s">
        <v>4323</v>
      </c>
      <c r="W202" t="s">
        <v>4324</v>
      </c>
      <c r="X202" t="s">
        <v>4325</v>
      </c>
      <c r="Y202" t="s">
        <v>4326</v>
      </c>
      <c r="Z202" t="s">
        <v>4327</v>
      </c>
      <c r="AA202" t="s">
        <v>4328</v>
      </c>
      <c r="AB202" t="s">
        <v>4329</v>
      </c>
      <c r="AC202" t="s">
        <v>4330</v>
      </c>
      <c r="AD202" t="s">
        <v>4331</v>
      </c>
      <c r="AE202" t="s">
        <v>4332</v>
      </c>
      <c r="AF202" t="s">
        <v>4333</v>
      </c>
      <c r="AG202" t="s">
        <v>4334</v>
      </c>
      <c r="AH202" t="s">
        <v>4335</v>
      </c>
      <c r="BA202" t="str">
        <f>"1699"</f>
        <v>1699</v>
      </c>
      <c r="BB202" t="str">
        <f>"715"</f>
        <v>715</v>
      </c>
      <c r="BC202" t="s">
        <v>665</v>
      </c>
      <c r="BD202" t="str">
        <f t="shared" si="43"/>
        <v>3</v>
      </c>
      <c r="BE202" t="s">
        <v>2163</v>
      </c>
      <c r="BF202" t="str">
        <f>"66.93"</f>
        <v>66.93</v>
      </c>
      <c r="BG202" t="str">
        <f t="shared" si="44"/>
        <v>5.91</v>
      </c>
      <c r="BH202" t="str">
        <f t="shared" si="45"/>
        <v>54.72</v>
      </c>
      <c r="BI202" t="str">
        <f>"84.88"</f>
        <v>84.88</v>
      </c>
      <c r="BJ202" t="s">
        <v>4295</v>
      </c>
      <c r="BK202" t="str">
        <f>"66.93"</f>
        <v>66.93</v>
      </c>
      <c r="BL202" t="str">
        <f t="shared" si="46"/>
        <v>4.72</v>
      </c>
      <c r="BM202" t="str">
        <f t="shared" si="47"/>
        <v>37.8</v>
      </c>
      <c r="BN202" t="str">
        <f>"65.04"</f>
        <v>65.04</v>
      </c>
      <c r="BO202" t="s">
        <v>2026</v>
      </c>
      <c r="BP202" t="str">
        <f t="shared" si="48"/>
        <v>85.43</v>
      </c>
      <c r="BQ202" t="str">
        <f t="shared" si="49"/>
        <v>5.91</v>
      </c>
      <c r="BR202" t="str">
        <f t="shared" si="50"/>
        <v>13.39</v>
      </c>
      <c r="BS202" t="str">
        <f t="shared" si="51"/>
        <v>46.3</v>
      </c>
      <c r="BY202" t="str">
        <f>"23.34"</f>
        <v>23.34</v>
      </c>
      <c r="BZ202" t="str">
        <f>"0.661"</f>
        <v>0.661</v>
      </c>
      <c r="CA202" t="s">
        <v>495</v>
      </c>
      <c r="CQ202" t="s">
        <v>631</v>
      </c>
      <c r="CR202" t="s">
        <v>400</v>
      </c>
      <c r="CS202">
        <v>0</v>
      </c>
      <c r="CT202" t="s">
        <v>400</v>
      </c>
      <c r="CV202">
        <v>0</v>
      </c>
      <c r="CX202" t="s">
        <v>953</v>
      </c>
      <c r="CY202" t="s">
        <v>400</v>
      </c>
      <c r="DA202">
        <v>0</v>
      </c>
      <c r="DB202">
        <v>0</v>
      </c>
      <c r="DC202">
        <v>0</v>
      </c>
      <c r="DD202">
        <v>25000</v>
      </c>
      <c r="DK202" t="s">
        <v>4205</v>
      </c>
      <c r="DM202" t="s">
        <v>2028</v>
      </c>
      <c r="EN202">
        <v>0</v>
      </c>
      <c r="HN202" t="s">
        <v>4296</v>
      </c>
      <c r="HO202" t="s">
        <v>4296</v>
      </c>
      <c r="HP202" t="s">
        <v>4296</v>
      </c>
      <c r="HQ202" t="s">
        <v>2071</v>
      </c>
      <c r="HR202" t="s">
        <v>1552</v>
      </c>
      <c r="HS202" t="s">
        <v>4297</v>
      </c>
      <c r="HT202" t="s">
        <v>4298</v>
      </c>
      <c r="HU202" t="s">
        <v>4299</v>
      </c>
      <c r="HV202" t="s">
        <v>4297</v>
      </c>
      <c r="HW202" t="s">
        <v>4300</v>
      </c>
      <c r="HX202" t="s">
        <v>392</v>
      </c>
      <c r="HY202" t="s">
        <v>4301</v>
      </c>
      <c r="HZ202" t="s">
        <v>573</v>
      </c>
      <c r="IA202" t="s">
        <v>4302</v>
      </c>
      <c r="IB202" t="s">
        <v>1712</v>
      </c>
      <c r="IC202" t="s">
        <v>402</v>
      </c>
      <c r="ID202" t="s">
        <v>2036</v>
      </c>
      <c r="IE202" t="s">
        <v>2037</v>
      </c>
      <c r="IF202" t="s">
        <v>2177</v>
      </c>
      <c r="IG202" t="s">
        <v>2007</v>
      </c>
      <c r="IM202" t="s">
        <v>395</v>
      </c>
      <c r="IN202" t="s">
        <v>4303</v>
      </c>
      <c r="IO202" t="s">
        <v>395</v>
      </c>
      <c r="IP202" t="s">
        <v>402</v>
      </c>
      <c r="IQ202" t="s">
        <v>3522</v>
      </c>
    </row>
    <row r="203" spans="1:251" x14ac:dyDescent="0.25">
      <c r="A203" t="s">
        <v>4336</v>
      </c>
      <c r="B203" t="str">
        <f>"801542751685"</f>
        <v>801542751685</v>
      </c>
      <c r="C203" t="s">
        <v>4322</v>
      </c>
      <c r="D203" t="s">
        <v>4184</v>
      </c>
      <c r="E203" t="s">
        <v>2006</v>
      </c>
      <c r="F203" t="s">
        <v>2040</v>
      </c>
      <c r="G203" t="str">
        <f>"79.5"</f>
        <v>79.5</v>
      </c>
      <c r="H203" t="str">
        <f t="shared" si="41"/>
        <v>85</v>
      </c>
      <c r="I203" t="str">
        <f t="shared" si="42"/>
        <v>51</v>
      </c>
      <c r="J203" t="str">
        <f>"187.39"</f>
        <v>187.39</v>
      </c>
      <c r="K203" t="s">
        <v>2294</v>
      </c>
      <c r="L203" t="s">
        <v>4185</v>
      </c>
      <c r="N203" t="s">
        <v>1170</v>
      </c>
      <c r="O203" t="s">
        <v>2269</v>
      </c>
      <c r="P203" t="s">
        <v>1970</v>
      </c>
      <c r="T203" t="s">
        <v>402</v>
      </c>
      <c r="U203" t="s">
        <v>402</v>
      </c>
      <c r="V203" t="s">
        <v>4337</v>
      </c>
      <c r="W203" t="s">
        <v>4338</v>
      </c>
      <c r="X203" t="s">
        <v>4339</v>
      </c>
      <c r="Y203" t="s">
        <v>4340</v>
      </c>
      <c r="Z203" t="s">
        <v>4341</v>
      </c>
      <c r="AA203" t="s">
        <v>4342</v>
      </c>
      <c r="AB203" t="s">
        <v>4343</v>
      </c>
      <c r="AC203" t="s">
        <v>4344</v>
      </c>
      <c r="AD203" t="s">
        <v>4345</v>
      </c>
      <c r="AE203" t="s">
        <v>4346</v>
      </c>
      <c r="AF203" t="s">
        <v>4347</v>
      </c>
      <c r="AG203" t="s">
        <v>4348</v>
      </c>
      <c r="AH203" t="s">
        <v>4349</v>
      </c>
      <c r="AI203" t="s">
        <v>4350</v>
      </c>
      <c r="BA203" t="str">
        <f>"1999"</f>
        <v>1999</v>
      </c>
      <c r="BB203" t="str">
        <f>"840"</f>
        <v>840</v>
      </c>
      <c r="BC203" t="s">
        <v>665</v>
      </c>
      <c r="BD203" t="str">
        <f t="shared" si="43"/>
        <v>3</v>
      </c>
      <c r="BE203" t="s">
        <v>2163</v>
      </c>
      <c r="BF203" t="str">
        <f>"83.07"</f>
        <v>83.07</v>
      </c>
      <c r="BG203" t="str">
        <f t="shared" si="44"/>
        <v>5.91</v>
      </c>
      <c r="BH203" t="str">
        <f t="shared" si="45"/>
        <v>54.72</v>
      </c>
      <c r="BI203" t="str">
        <f>"104.72"</f>
        <v>104.72</v>
      </c>
      <c r="BJ203" t="s">
        <v>4295</v>
      </c>
      <c r="BK203" t="str">
        <f>"83.07"</f>
        <v>83.07</v>
      </c>
      <c r="BL203" t="str">
        <f t="shared" si="46"/>
        <v>4.72</v>
      </c>
      <c r="BM203" t="str">
        <f t="shared" si="47"/>
        <v>37.8</v>
      </c>
      <c r="BN203" t="str">
        <f>"81.57"</f>
        <v>81.57</v>
      </c>
      <c r="BO203" t="s">
        <v>2026</v>
      </c>
      <c r="BP203" t="str">
        <f t="shared" si="48"/>
        <v>85.43</v>
      </c>
      <c r="BQ203" t="str">
        <f t="shared" si="49"/>
        <v>5.91</v>
      </c>
      <c r="BR203" t="str">
        <f t="shared" si="50"/>
        <v>13.39</v>
      </c>
      <c r="BS203" t="str">
        <f t="shared" si="51"/>
        <v>46.3</v>
      </c>
      <c r="BY203" t="str">
        <f>"28.04"</f>
        <v>28.04</v>
      </c>
      <c r="BZ203" t="str">
        <f>"0.794"</f>
        <v>0.794</v>
      </c>
      <c r="CA203" t="s">
        <v>390</v>
      </c>
      <c r="CQ203" t="s">
        <v>631</v>
      </c>
      <c r="CR203" t="s">
        <v>400</v>
      </c>
      <c r="CS203">
        <v>0</v>
      </c>
      <c r="CT203" t="s">
        <v>400</v>
      </c>
      <c r="CV203">
        <v>0</v>
      </c>
      <c r="CX203" t="s">
        <v>953</v>
      </c>
      <c r="CY203" t="s">
        <v>400</v>
      </c>
      <c r="DA203">
        <v>0</v>
      </c>
      <c r="DB203">
        <v>0</v>
      </c>
      <c r="DC203">
        <v>0</v>
      </c>
      <c r="DD203">
        <v>25000</v>
      </c>
      <c r="DK203" t="s">
        <v>4205</v>
      </c>
      <c r="DM203" t="s">
        <v>2028</v>
      </c>
      <c r="EN203">
        <v>0</v>
      </c>
      <c r="HN203" t="s">
        <v>4296</v>
      </c>
      <c r="HO203" t="s">
        <v>4296</v>
      </c>
      <c r="HP203" t="s">
        <v>4296</v>
      </c>
      <c r="HQ203" t="s">
        <v>2071</v>
      </c>
      <c r="HR203" t="s">
        <v>1552</v>
      </c>
      <c r="HS203" t="s">
        <v>4320</v>
      </c>
      <c r="HT203" t="s">
        <v>4298</v>
      </c>
      <c r="HU203" t="s">
        <v>4299</v>
      </c>
      <c r="HV203" t="s">
        <v>4320</v>
      </c>
      <c r="HW203" t="s">
        <v>4300</v>
      </c>
      <c r="HX203" t="s">
        <v>392</v>
      </c>
      <c r="HY203" t="s">
        <v>3255</v>
      </c>
      <c r="HZ203" t="s">
        <v>573</v>
      </c>
      <c r="IA203" t="s">
        <v>4302</v>
      </c>
      <c r="IB203" t="s">
        <v>1712</v>
      </c>
      <c r="IC203" t="s">
        <v>402</v>
      </c>
      <c r="ID203" t="s">
        <v>2036</v>
      </c>
      <c r="IE203" t="s">
        <v>2037</v>
      </c>
      <c r="IF203" t="s">
        <v>2177</v>
      </c>
      <c r="IG203" t="s">
        <v>2040</v>
      </c>
      <c r="IM203" t="s">
        <v>395</v>
      </c>
      <c r="IN203" t="s">
        <v>4303</v>
      </c>
      <c r="IO203" t="s">
        <v>395</v>
      </c>
      <c r="IP203" t="s">
        <v>402</v>
      </c>
      <c r="IQ203" t="s">
        <v>3522</v>
      </c>
    </row>
    <row r="204" spans="1:251" x14ac:dyDescent="0.25">
      <c r="A204" t="s">
        <v>4351</v>
      </c>
      <c r="B204" t="str">
        <f>"801542759148"</f>
        <v>801542759148</v>
      </c>
      <c r="C204" t="s">
        <v>4352</v>
      </c>
      <c r="D204" t="s">
        <v>4184</v>
      </c>
      <c r="E204" t="s">
        <v>2006</v>
      </c>
      <c r="F204" t="s">
        <v>2040</v>
      </c>
      <c r="G204" t="str">
        <f>"79.5"</f>
        <v>79.5</v>
      </c>
      <c r="H204" t="str">
        <f t="shared" si="41"/>
        <v>85</v>
      </c>
      <c r="I204" t="str">
        <f t="shared" si="42"/>
        <v>51</v>
      </c>
      <c r="J204" t="str">
        <f>"187.39"</f>
        <v>187.39</v>
      </c>
      <c r="K204" t="s">
        <v>4353</v>
      </c>
      <c r="L204" t="s">
        <v>4213</v>
      </c>
      <c r="N204" t="s">
        <v>1170</v>
      </c>
      <c r="O204" t="s">
        <v>2269</v>
      </c>
      <c r="P204" t="s">
        <v>1970</v>
      </c>
      <c r="T204" t="s">
        <v>402</v>
      </c>
      <c r="U204" t="s">
        <v>402</v>
      </c>
      <c r="V204" t="s">
        <v>4354</v>
      </c>
      <c r="W204" t="s">
        <v>4355</v>
      </c>
      <c r="X204" t="s">
        <v>4356</v>
      </c>
      <c r="Y204" t="s">
        <v>4357</v>
      </c>
      <c r="Z204" t="s">
        <v>4358</v>
      </c>
      <c r="AA204" t="s">
        <v>4359</v>
      </c>
      <c r="AB204" t="s">
        <v>4360</v>
      </c>
      <c r="AC204" t="s">
        <v>4361</v>
      </c>
      <c r="AD204" t="s">
        <v>4362</v>
      </c>
      <c r="AE204" t="s">
        <v>4363</v>
      </c>
      <c r="AF204" t="s">
        <v>4364</v>
      </c>
      <c r="AG204" t="s">
        <v>4365</v>
      </c>
      <c r="AH204" t="s">
        <v>4366</v>
      </c>
      <c r="AI204" t="s">
        <v>4367</v>
      </c>
      <c r="AJ204" t="s">
        <v>4368</v>
      </c>
      <c r="BA204" t="str">
        <f>"1999"</f>
        <v>1999</v>
      </c>
      <c r="BB204" t="str">
        <f>"840"</f>
        <v>840</v>
      </c>
      <c r="BC204" t="s">
        <v>665</v>
      </c>
      <c r="BD204" t="str">
        <f t="shared" si="43"/>
        <v>3</v>
      </c>
      <c r="BE204" t="s">
        <v>2163</v>
      </c>
      <c r="BF204" t="str">
        <f>"83.07"</f>
        <v>83.07</v>
      </c>
      <c r="BG204" t="str">
        <f t="shared" si="44"/>
        <v>5.91</v>
      </c>
      <c r="BH204" t="str">
        <f t="shared" si="45"/>
        <v>54.72</v>
      </c>
      <c r="BI204" t="str">
        <f>"104.72"</f>
        <v>104.72</v>
      </c>
      <c r="BJ204" t="s">
        <v>4295</v>
      </c>
      <c r="BK204" t="str">
        <f>"83.07"</f>
        <v>83.07</v>
      </c>
      <c r="BL204" t="str">
        <f t="shared" si="46"/>
        <v>4.72</v>
      </c>
      <c r="BM204" t="str">
        <f t="shared" si="47"/>
        <v>37.8</v>
      </c>
      <c r="BN204" t="str">
        <f>"81.57"</f>
        <v>81.57</v>
      </c>
      <c r="BO204" t="s">
        <v>2026</v>
      </c>
      <c r="BP204" t="str">
        <f t="shared" si="48"/>
        <v>85.43</v>
      </c>
      <c r="BQ204" t="str">
        <f t="shared" si="49"/>
        <v>5.91</v>
      </c>
      <c r="BR204" t="str">
        <f t="shared" si="50"/>
        <v>13.39</v>
      </c>
      <c r="BS204" t="str">
        <f t="shared" si="51"/>
        <v>46.3</v>
      </c>
      <c r="BY204" t="str">
        <f>"28.04"</f>
        <v>28.04</v>
      </c>
      <c r="BZ204" t="str">
        <f>"0.794"</f>
        <v>0.794</v>
      </c>
      <c r="CA204" t="s">
        <v>495</v>
      </c>
      <c r="CQ204" t="s">
        <v>631</v>
      </c>
      <c r="CR204" t="s">
        <v>400</v>
      </c>
      <c r="CS204">
        <v>0</v>
      </c>
      <c r="CT204" t="s">
        <v>400</v>
      </c>
      <c r="CV204">
        <v>0</v>
      </c>
      <c r="CX204" t="s">
        <v>953</v>
      </c>
      <c r="CY204" t="s">
        <v>400</v>
      </c>
      <c r="DA204">
        <v>0</v>
      </c>
      <c r="DB204">
        <v>0</v>
      </c>
      <c r="DC204">
        <v>0</v>
      </c>
      <c r="DD204">
        <v>25000</v>
      </c>
      <c r="DK204" t="s">
        <v>4205</v>
      </c>
      <c r="DM204" t="s">
        <v>2028</v>
      </c>
      <c r="EN204">
        <v>0</v>
      </c>
      <c r="HN204" t="s">
        <v>4296</v>
      </c>
      <c r="HO204" t="s">
        <v>4296</v>
      </c>
      <c r="HP204" t="s">
        <v>4296</v>
      </c>
      <c r="HQ204" t="s">
        <v>2071</v>
      </c>
      <c r="HR204" t="s">
        <v>1552</v>
      </c>
      <c r="HS204" t="s">
        <v>4320</v>
      </c>
      <c r="HT204" t="s">
        <v>4298</v>
      </c>
      <c r="HU204" t="s">
        <v>4299</v>
      </c>
      <c r="HV204" t="s">
        <v>4320</v>
      </c>
      <c r="HW204" t="s">
        <v>4300</v>
      </c>
      <c r="HX204" t="s">
        <v>392</v>
      </c>
      <c r="HY204" t="s">
        <v>3255</v>
      </c>
      <c r="HZ204" t="s">
        <v>573</v>
      </c>
      <c r="IA204" t="s">
        <v>4302</v>
      </c>
      <c r="IB204" t="s">
        <v>1712</v>
      </c>
      <c r="IC204" t="s">
        <v>402</v>
      </c>
      <c r="ID204" t="s">
        <v>2036</v>
      </c>
      <c r="IE204" t="s">
        <v>2037</v>
      </c>
      <c r="IF204" t="s">
        <v>2177</v>
      </c>
      <c r="IG204" t="s">
        <v>2040</v>
      </c>
      <c r="IM204" t="s">
        <v>395</v>
      </c>
      <c r="IN204" t="s">
        <v>4303</v>
      </c>
      <c r="IO204" t="s">
        <v>395</v>
      </c>
      <c r="IP204" t="s">
        <v>402</v>
      </c>
      <c r="IQ204" t="s">
        <v>3522</v>
      </c>
    </row>
    <row r="205" spans="1:251" x14ac:dyDescent="0.25">
      <c r="A205" t="s">
        <v>4369</v>
      </c>
      <c r="B205" t="str">
        <f>"801542759162"</f>
        <v>801542759162</v>
      </c>
      <c r="C205" t="s">
        <v>4352</v>
      </c>
      <c r="D205" t="s">
        <v>4184</v>
      </c>
      <c r="E205" t="s">
        <v>2006</v>
      </c>
      <c r="F205" t="s">
        <v>2007</v>
      </c>
      <c r="G205" t="str">
        <f>"63.5"</f>
        <v>63.5</v>
      </c>
      <c r="H205" t="str">
        <f t="shared" si="41"/>
        <v>85</v>
      </c>
      <c r="I205" t="str">
        <f t="shared" si="42"/>
        <v>51</v>
      </c>
      <c r="J205" t="str">
        <f>"158.73"</f>
        <v>158.73</v>
      </c>
      <c r="K205" t="s">
        <v>4353</v>
      </c>
      <c r="L205" t="s">
        <v>4213</v>
      </c>
      <c r="N205" t="s">
        <v>1170</v>
      </c>
      <c r="O205" t="s">
        <v>2269</v>
      </c>
      <c r="P205" t="s">
        <v>1970</v>
      </c>
      <c r="T205" t="s">
        <v>402</v>
      </c>
      <c r="U205" t="s">
        <v>402</v>
      </c>
      <c r="V205" t="s">
        <v>4354</v>
      </c>
      <c r="W205" t="s">
        <v>4370</v>
      </c>
      <c r="X205" t="s">
        <v>4371</v>
      </c>
      <c r="Y205" t="s">
        <v>4372</v>
      </c>
      <c r="Z205" t="s">
        <v>4373</v>
      </c>
      <c r="AA205" t="s">
        <v>4359</v>
      </c>
      <c r="AB205" t="s">
        <v>4374</v>
      </c>
      <c r="AC205" t="s">
        <v>4375</v>
      </c>
      <c r="AD205" t="s">
        <v>4376</v>
      </c>
      <c r="AE205" t="s">
        <v>4377</v>
      </c>
      <c r="AF205" t="s">
        <v>4378</v>
      </c>
      <c r="AG205" t="s">
        <v>4379</v>
      </c>
      <c r="AH205" t="s">
        <v>4380</v>
      </c>
      <c r="AI205" t="s">
        <v>4381</v>
      </c>
      <c r="AJ205" t="s">
        <v>4382</v>
      </c>
      <c r="BA205" t="str">
        <f>"1699"</f>
        <v>1699</v>
      </c>
      <c r="BB205" t="str">
        <f>"715"</f>
        <v>715</v>
      </c>
      <c r="BC205" t="s">
        <v>665</v>
      </c>
      <c r="BD205" t="str">
        <f t="shared" si="43"/>
        <v>3</v>
      </c>
      <c r="BE205" t="s">
        <v>2163</v>
      </c>
      <c r="BF205" t="str">
        <f>"66.93"</f>
        <v>66.93</v>
      </c>
      <c r="BG205" t="str">
        <f t="shared" si="44"/>
        <v>5.91</v>
      </c>
      <c r="BH205" t="str">
        <f t="shared" si="45"/>
        <v>54.72</v>
      </c>
      <c r="BI205" t="str">
        <f>"84.88"</f>
        <v>84.88</v>
      </c>
      <c r="BJ205" t="s">
        <v>4295</v>
      </c>
      <c r="BK205" t="str">
        <f>"66.93"</f>
        <v>66.93</v>
      </c>
      <c r="BL205" t="str">
        <f t="shared" si="46"/>
        <v>4.72</v>
      </c>
      <c r="BM205" t="str">
        <f t="shared" si="47"/>
        <v>37.8</v>
      </c>
      <c r="BN205" t="str">
        <f>"65.04"</f>
        <v>65.04</v>
      </c>
      <c r="BO205" t="s">
        <v>2026</v>
      </c>
      <c r="BP205" t="str">
        <f t="shared" si="48"/>
        <v>85.43</v>
      </c>
      <c r="BQ205" t="str">
        <f t="shared" si="49"/>
        <v>5.91</v>
      </c>
      <c r="BR205" t="str">
        <f t="shared" si="50"/>
        <v>13.39</v>
      </c>
      <c r="BS205" t="str">
        <f t="shared" si="51"/>
        <v>46.3</v>
      </c>
      <c r="BY205" t="str">
        <f>"23.34"</f>
        <v>23.34</v>
      </c>
      <c r="BZ205" t="str">
        <f>"0.661"</f>
        <v>0.661</v>
      </c>
      <c r="CA205" t="s">
        <v>495</v>
      </c>
      <c r="CQ205" t="s">
        <v>631</v>
      </c>
      <c r="CR205" t="s">
        <v>400</v>
      </c>
      <c r="CS205">
        <v>0</v>
      </c>
      <c r="CT205" t="s">
        <v>400</v>
      </c>
      <c r="CV205">
        <v>0</v>
      </c>
      <c r="CX205" t="s">
        <v>953</v>
      </c>
      <c r="CY205" t="s">
        <v>400</v>
      </c>
      <c r="DA205">
        <v>0</v>
      </c>
      <c r="DB205">
        <v>0</v>
      </c>
      <c r="DC205">
        <v>0</v>
      </c>
      <c r="DD205">
        <v>25000</v>
      </c>
      <c r="DK205" t="s">
        <v>4205</v>
      </c>
      <c r="DM205" t="s">
        <v>2028</v>
      </c>
      <c r="EN205">
        <v>0</v>
      </c>
      <c r="HN205" t="s">
        <v>4296</v>
      </c>
      <c r="HO205" t="s">
        <v>4296</v>
      </c>
      <c r="HP205" t="s">
        <v>4296</v>
      </c>
      <c r="HQ205" t="s">
        <v>2071</v>
      </c>
      <c r="HR205" t="s">
        <v>1552</v>
      </c>
      <c r="HS205" t="s">
        <v>4297</v>
      </c>
      <c r="HT205" t="s">
        <v>4298</v>
      </c>
      <c r="HU205" t="s">
        <v>4299</v>
      </c>
      <c r="HV205" t="s">
        <v>4297</v>
      </c>
      <c r="HW205" t="s">
        <v>4300</v>
      </c>
      <c r="HX205" t="s">
        <v>392</v>
      </c>
      <c r="HY205" t="s">
        <v>4301</v>
      </c>
      <c r="HZ205" t="s">
        <v>573</v>
      </c>
      <c r="IA205" t="s">
        <v>4302</v>
      </c>
      <c r="IB205" t="s">
        <v>1712</v>
      </c>
      <c r="IC205" t="s">
        <v>402</v>
      </c>
      <c r="ID205" t="s">
        <v>2036</v>
      </c>
      <c r="IE205" t="s">
        <v>2037</v>
      </c>
      <c r="IF205" t="s">
        <v>2177</v>
      </c>
      <c r="IG205" t="s">
        <v>2007</v>
      </c>
      <c r="IM205" t="s">
        <v>395</v>
      </c>
      <c r="IN205" t="s">
        <v>4303</v>
      </c>
      <c r="IO205" t="s">
        <v>395</v>
      </c>
      <c r="IP205" t="s">
        <v>402</v>
      </c>
      <c r="IQ205" t="s">
        <v>3522</v>
      </c>
    </row>
    <row r="206" spans="1:251" x14ac:dyDescent="0.25">
      <c r="A206" t="s">
        <v>4383</v>
      </c>
      <c r="B206" t="str">
        <f>"801542643317"</f>
        <v>801542643317</v>
      </c>
      <c r="C206" t="s">
        <v>4384</v>
      </c>
      <c r="D206" t="s">
        <v>583</v>
      </c>
      <c r="E206" t="s">
        <v>367</v>
      </c>
      <c r="F206" t="s">
        <v>368</v>
      </c>
      <c r="G206" t="str">
        <f>"59"</f>
        <v>59</v>
      </c>
      <c r="H206" t="str">
        <f>"19"</f>
        <v>19</v>
      </c>
      <c r="I206" t="str">
        <f>"22"</f>
        <v>22</v>
      </c>
      <c r="J206" t="str">
        <f>"35.3"</f>
        <v>35.3</v>
      </c>
      <c r="K206" t="s">
        <v>584</v>
      </c>
      <c r="L206" t="s">
        <v>1875</v>
      </c>
      <c r="M206" t="s">
        <v>1932</v>
      </c>
      <c r="N206" t="s">
        <v>416</v>
      </c>
      <c r="O206" t="s">
        <v>1876</v>
      </c>
      <c r="P206" t="s">
        <v>519</v>
      </c>
      <c r="T206" t="s">
        <v>373</v>
      </c>
      <c r="U206" t="s">
        <v>373</v>
      </c>
      <c r="V206" t="s">
        <v>4385</v>
      </c>
      <c r="W206" t="s">
        <v>4386</v>
      </c>
      <c r="X206" t="s">
        <v>4387</v>
      </c>
      <c r="Y206" t="s">
        <v>4388</v>
      </c>
      <c r="Z206" t="s">
        <v>4389</v>
      </c>
      <c r="AA206" t="s">
        <v>4390</v>
      </c>
      <c r="AB206" t="s">
        <v>4391</v>
      </c>
      <c r="AC206" t="s">
        <v>4392</v>
      </c>
      <c r="AD206" t="s">
        <v>4393</v>
      </c>
      <c r="BA206" t="str">
        <f>"1649"</f>
        <v>1649</v>
      </c>
      <c r="BB206" t="str">
        <f>"695"</f>
        <v>695</v>
      </c>
      <c r="BC206" t="s">
        <v>388</v>
      </c>
      <c r="BD206" t="str">
        <f t="shared" ref="BD206:BD250" si="52">"1"</f>
        <v>1</v>
      </c>
      <c r="BE206" t="s">
        <v>389</v>
      </c>
      <c r="BF206" t="str">
        <f>"61.42"</f>
        <v>61.42</v>
      </c>
      <c r="BG206" t="str">
        <f>"21.46"</f>
        <v>21.46</v>
      </c>
      <c r="BH206" t="str">
        <f>"24.8"</f>
        <v>24.8</v>
      </c>
      <c r="BI206" t="str">
        <f>"57.32"</f>
        <v>57.32</v>
      </c>
      <c r="BY206" t="str">
        <f>"18.93"</f>
        <v>18.93</v>
      </c>
      <c r="BZ206" t="str">
        <f>"0.536"</f>
        <v>0.536</v>
      </c>
      <c r="CA206" t="s">
        <v>495</v>
      </c>
      <c r="CH206" t="s">
        <v>791</v>
      </c>
      <c r="CI206" t="s">
        <v>799</v>
      </c>
      <c r="CJ206" t="s">
        <v>2807</v>
      </c>
      <c r="CK206" t="s">
        <v>791</v>
      </c>
      <c r="CL206" t="s">
        <v>602</v>
      </c>
      <c r="CM206" t="s">
        <v>2807</v>
      </c>
      <c r="CN206">
        <v>0</v>
      </c>
      <c r="CO206">
        <v>0</v>
      </c>
      <c r="CP206" t="s">
        <v>398</v>
      </c>
      <c r="CQ206" t="s">
        <v>438</v>
      </c>
      <c r="CR206" t="s">
        <v>400</v>
      </c>
      <c r="CS206">
        <v>0</v>
      </c>
      <c r="CT206" t="s">
        <v>400</v>
      </c>
      <c r="CV206">
        <v>0</v>
      </c>
      <c r="CX206" t="s">
        <v>403</v>
      </c>
      <c r="CY206" t="s">
        <v>400</v>
      </c>
      <c r="CZ206">
        <v>0</v>
      </c>
      <c r="DA206">
        <v>0</v>
      </c>
      <c r="DB206">
        <v>0</v>
      </c>
      <c r="DC206">
        <v>0</v>
      </c>
      <c r="DD206">
        <v>0</v>
      </c>
      <c r="DE206" t="s">
        <v>405</v>
      </c>
      <c r="DF206" t="s">
        <v>632</v>
      </c>
      <c r="DG206" t="s">
        <v>2641</v>
      </c>
      <c r="DH206">
        <v>1</v>
      </c>
      <c r="DI206">
        <v>2</v>
      </c>
      <c r="DJ206" t="s">
        <v>408</v>
      </c>
      <c r="DK206" t="s">
        <v>4394</v>
      </c>
      <c r="DL206">
        <v>0</v>
      </c>
      <c r="DM206" t="s">
        <v>1736</v>
      </c>
      <c r="DN206" t="s">
        <v>601</v>
      </c>
      <c r="DO206" t="s">
        <v>827</v>
      </c>
      <c r="DP206" t="s">
        <v>981</v>
      </c>
      <c r="DT206" t="s">
        <v>1040</v>
      </c>
      <c r="DX206" t="s">
        <v>2696</v>
      </c>
      <c r="DY206" t="s">
        <v>4395</v>
      </c>
      <c r="DZ206" t="s">
        <v>1038</v>
      </c>
      <c r="EG206" t="s">
        <v>641</v>
      </c>
      <c r="EP206" t="s">
        <v>2807</v>
      </c>
      <c r="EQ206" t="s">
        <v>2807</v>
      </c>
    </row>
    <row r="207" spans="1:251" x14ac:dyDescent="0.25">
      <c r="A207" t="s">
        <v>4396</v>
      </c>
      <c r="B207" t="str">
        <f>"801542708979"</f>
        <v>801542708979</v>
      </c>
      <c r="C207" t="s">
        <v>4397</v>
      </c>
      <c r="D207" t="s">
        <v>583</v>
      </c>
      <c r="E207" t="s">
        <v>367</v>
      </c>
      <c r="F207" t="s">
        <v>368</v>
      </c>
      <c r="G207" t="str">
        <f>"59"</f>
        <v>59</v>
      </c>
      <c r="H207" t="str">
        <f>"19"</f>
        <v>19</v>
      </c>
      <c r="I207" t="str">
        <f>"22"</f>
        <v>22</v>
      </c>
      <c r="J207" t="str">
        <f>"35.3"</f>
        <v>35.3</v>
      </c>
      <c r="K207" t="s">
        <v>4398</v>
      </c>
      <c r="L207" t="s">
        <v>1875</v>
      </c>
      <c r="M207" t="s">
        <v>1476</v>
      </c>
      <c r="N207" t="s">
        <v>371</v>
      </c>
      <c r="O207" t="s">
        <v>1876</v>
      </c>
      <c r="P207" t="s">
        <v>372</v>
      </c>
      <c r="T207" t="s">
        <v>373</v>
      </c>
      <c r="U207" t="s">
        <v>373</v>
      </c>
      <c r="V207" t="s">
        <v>4399</v>
      </c>
      <c r="W207" t="s">
        <v>4400</v>
      </c>
      <c r="X207" t="s">
        <v>4401</v>
      </c>
      <c r="Y207" t="s">
        <v>4402</v>
      </c>
      <c r="Z207" t="s">
        <v>4403</v>
      </c>
      <c r="AA207" t="s">
        <v>4404</v>
      </c>
      <c r="AB207" t="s">
        <v>4405</v>
      </c>
      <c r="AC207" t="s">
        <v>4406</v>
      </c>
      <c r="AD207" t="s">
        <v>4407</v>
      </c>
      <c r="BA207" t="str">
        <f>"1199"</f>
        <v>1199</v>
      </c>
      <c r="BB207" t="str">
        <f>"505"</f>
        <v>505</v>
      </c>
      <c r="BC207" t="s">
        <v>388</v>
      </c>
      <c r="BD207" t="str">
        <f t="shared" si="52"/>
        <v>1</v>
      </c>
      <c r="BE207" t="s">
        <v>389</v>
      </c>
      <c r="BF207" t="str">
        <f>"61.42"</f>
        <v>61.42</v>
      </c>
      <c r="BG207" t="str">
        <f>"21.46"</f>
        <v>21.46</v>
      </c>
      <c r="BH207" t="str">
        <f>"24.8"</f>
        <v>24.8</v>
      </c>
      <c r="BI207" t="str">
        <f>"57.32"</f>
        <v>57.32</v>
      </c>
      <c r="BY207" t="str">
        <f>"18.93"</f>
        <v>18.93</v>
      </c>
      <c r="BZ207" t="str">
        <f>"0.536"</f>
        <v>0.536</v>
      </c>
      <c r="CA207" t="s">
        <v>495</v>
      </c>
      <c r="CH207" t="s">
        <v>791</v>
      </c>
      <c r="CI207" t="s">
        <v>799</v>
      </c>
      <c r="CJ207" t="s">
        <v>2807</v>
      </c>
      <c r="CK207" t="s">
        <v>791</v>
      </c>
      <c r="CL207" t="s">
        <v>602</v>
      </c>
      <c r="CM207" t="s">
        <v>2807</v>
      </c>
      <c r="CN207">
        <v>0</v>
      </c>
      <c r="CO207">
        <v>0</v>
      </c>
      <c r="CP207" t="s">
        <v>398</v>
      </c>
      <c r="CQ207" t="s">
        <v>399</v>
      </c>
      <c r="CR207" t="s">
        <v>400</v>
      </c>
      <c r="CS207">
        <v>0</v>
      </c>
      <c r="CT207" t="s">
        <v>400</v>
      </c>
      <c r="CV207">
        <v>0</v>
      </c>
      <c r="CX207" t="s">
        <v>403</v>
      </c>
      <c r="CY207" t="s">
        <v>400</v>
      </c>
      <c r="CZ207">
        <v>0</v>
      </c>
      <c r="DA207">
        <v>0</v>
      </c>
      <c r="DB207">
        <v>0</v>
      </c>
      <c r="DC207">
        <v>0</v>
      </c>
      <c r="DD207">
        <v>10000</v>
      </c>
      <c r="DE207" t="s">
        <v>405</v>
      </c>
      <c r="DF207" t="s">
        <v>632</v>
      </c>
      <c r="DG207" t="s">
        <v>2641</v>
      </c>
      <c r="DH207">
        <v>1</v>
      </c>
      <c r="DI207">
        <v>2</v>
      </c>
      <c r="DJ207" t="s">
        <v>408</v>
      </c>
      <c r="DK207" t="s">
        <v>4394</v>
      </c>
      <c r="DL207">
        <v>0</v>
      </c>
      <c r="DM207" t="s">
        <v>1736</v>
      </c>
      <c r="DN207" t="s">
        <v>601</v>
      </c>
      <c r="DO207" t="s">
        <v>827</v>
      </c>
      <c r="DP207" t="s">
        <v>981</v>
      </c>
      <c r="DT207" t="s">
        <v>1040</v>
      </c>
      <c r="DX207" t="s">
        <v>2696</v>
      </c>
      <c r="DY207" t="s">
        <v>4395</v>
      </c>
      <c r="DZ207" t="s">
        <v>1038</v>
      </c>
      <c r="EG207" t="s">
        <v>641</v>
      </c>
      <c r="EP207" t="s">
        <v>2807</v>
      </c>
      <c r="EQ207" t="s">
        <v>2807</v>
      </c>
    </row>
    <row r="208" spans="1:251" x14ac:dyDescent="0.25">
      <c r="A208" t="s">
        <v>4408</v>
      </c>
      <c r="B208" t="str">
        <f>"801542765644"</f>
        <v>801542765644</v>
      </c>
      <c r="C208" t="s">
        <v>4409</v>
      </c>
      <c r="D208" t="s">
        <v>583</v>
      </c>
      <c r="E208" t="s">
        <v>367</v>
      </c>
      <c r="F208" t="s">
        <v>368</v>
      </c>
      <c r="G208" t="str">
        <f>"59"</f>
        <v>59</v>
      </c>
      <c r="H208" t="str">
        <f>"19"</f>
        <v>19</v>
      </c>
      <c r="I208" t="str">
        <f>"22"</f>
        <v>22</v>
      </c>
      <c r="J208" t="str">
        <f>"35.27"</f>
        <v>35.27</v>
      </c>
      <c r="K208" t="s">
        <v>1896</v>
      </c>
      <c r="L208" t="s">
        <v>1875</v>
      </c>
      <c r="M208" t="s">
        <v>1476</v>
      </c>
      <c r="N208" t="s">
        <v>808</v>
      </c>
      <c r="O208" t="s">
        <v>809</v>
      </c>
      <c r="P208" t="s">
        <v>810</v>
      </c>
      <c r="Q208" t="s">
        <v>1876</v>
      </c>
      <c r="R208" t="s">
        <v>372</v>
      </c>
      <c r="T208" t="s">
        <v>373</v>
      </c>
      <c r="U208" t="s">
        <v>402</v>
      </c>
      <c r="V208" t="s">
        <v>4410</v>
      </c>
      <c r="W208" t="s">
        <v>4411</v>
      </c>
      <c r="X208" t="s">
        <v>4412</v>
      </c>
      <c r="Y208" t="s">
        <v>4413</v>
      </c>
      <c r="Z208" t="s">
        <v>4414</v>
      </c>
      <c r="AA208" t="s">
        <v>4415</v>
      </c>
      <c r="AB208" t="s">
        <v>4416</v>
      </c>
      <c r="AC208" t="s">
        <v>4417</v>
      </c>
      <c r="AD208" t="s">
        <v>4418</v>
      </c>
      <c r="AE208" t="s">
        <v>4419</v>
      </c>
      <c r="AF208" t="s">
        <v>4420</v>
      </c>
      <c r="AG208" t="s">
        <v>4421</v>
      </c>
      <c r="BA208" t="str">
        <f>"1199"</f>
        <v>1199</v>
      </c>
      <c r="BB208" t="str">
        <f>"505"</f>
        <v>505</v>
      </c>
      <c r="BC208" t="s">
        <v>388</v>
      </c>
      <c r="BD208" t="str">
        <f t="shared" si="52"/>
        <v>1</v>
      </c>
      <c r="BE208" t="s">
        <v>389</v>
      </c>
      <c r="BF208" t="str">
        <f>"61.42"</f>
        <v>61.42</v>
      </c>
      <c r="BG208" t="str">
        <f>"21.46"</f>
        <v>21.46</v>
      </c>
      <c r="BH208" t="str">
        <f>"24.8"</f>
        <v>24.8</v>
      </c>
      <c r="BI208" t="str">
        <f>"57.32"</f>
        <v>57.32</v>
      </c>
      <c r="BY208" t="str">
        <f>"18.93"</f>
        <v>18.93</v>
      </c>
      <c r="BZ208" t="str">
        <f>"0.536"</f>
        <v>0.536</v>
      </c>
      <c r="CA208" t="s">
        <v>495</v>
      </c>
      <c r="CH208" t="s">
        <v>791</v>
      </c>
      <c r="CI208" t="s">
        <v>799</v>
      </c>
      <c r="CJ208" t="s">
        <v>2807</v>
      </c>
      <c r="CK208" t="s">
        <v>791</v>
      </c>
      <c r="CL208" t="s">
        <v>602</v>
      </c>
      <c r="CM208" t="s">
        <v>2807</v>
      </c>
      <c r="CN208">
        <v>0</v>
      </c>
      <c r="CO208">
        <v>0</v>
      </c>
      <c r="CP208" t="s">
        <v>398</v>
      </c>
      <c r="CQ208" t="s">
        <v>631</v>
      </c>
      <c r="CR208" t="s">
        <v>400</v>
      </c>
      <c r="CS208">
        <v>0</v>
      </c>
      <c r="CT208" t="s">
        <v>400</v>
      </c>
      <c r="CV208">
        <v>0</v>
      </c>
      <c r="CX208" t="s">
        <v>403</v>
      </c>
      <c r="CY208" t="s">
        <v>400</v>
      </c>
      <c r="CZ208">
        <v>0</v>
      </c>
      <c r="DA208">
        <v>0</v>
      </c>
      <c r="DB208">
        <v>0</v>
      </c>
      <c r="DC208">
        <v>0</v>
      </c>
      <c r="DD208">
        <v>25000</v>
      </c>
      <c r="DE208" t="s">
        <v>405</v>
      </c>
      <c r="DF208" t="s">
        <v>632</v>
      </c>
      <c r="DG208" t="s">
        <v>2641</v>
      </c>
      <c r="DH208">
        <v>1</v>
      </c>
      <c r="DI208">
        <v>2</v>
      </c>
      <c r="DJ208" t="s">
        <v>408</v>
      </c>
      <c r="DK208" t="s">
        <v>4394</v>
      </c>
      <c r="DL208">
        <v>0</v>
      </c>
      <c r="DM208" t="s">
        <v>1736</v>
      </c>
      <c r="DN208" t="s">
        <v>601</v>
      </c>
      <c r="DO208" t="s">
        <v>827</v>
      </c>
      <c r="DP208" t="s">
        <v>981</v>
      </c>
      <c r="DT208" t="s">
        <v>1040</v>
      </c>
      <c r="DX208" t="s">
        <v>2696</v>
      </c>
      <c r="DY208" t="s">
        <v>4395</v>
      </c>
      <c r="DZ208" t="s">
        <v>1038</v>
      </c>
      <c r="EG208" t="s">
        <v>641</v>
      </c>
      <c r="EP208" t="s">
        <v>2807</v>
      </c>
      <c r="EQ208" t="s">
        <v>2807</v>
      </c>
    </row>
    <row r="209" spans="1:217" x14ac:dyDescent="0.25">
      <c r="A209" t="s">
        <v>4422</v>
      </c>
      <c r="B209" t="str">
        <f>"801542666675"</f>
        <v>801542666675</v>
      </c>
      <c r="C209" t="s">
        <v>4423</v>
      </c>
      <c r="D209" t="s">
        <v>583</v>
      </c>
      <c r="E209" t="s">
        <v>2388</v>
      </c>
      <c r="G209" t="str">
        <f t="shared" ref="G209:G215" si="53">"21.5"</f>
        <v>21.5</v>
      </c>
      <c r="H209" t="str">
        <f t="shared" ref="H209:H215" si="54">"21"</f>
        <v>21</v>
      </c>
      <c r="I209" t="str">
        <f t="shared" ref="I209:I215" si="55">"18"</f>
        <v>18</v>
      </c>
      <c r="J209" t="str">
        <f t="shared" ref="J209:J215" si="56">"24.91"</f>
        <v>24.91</v>
      </c>
      <c r="K209" t="s">
        <v>1768</v>
      </c>
      <c r="N209" t="s">
        <v>416</v>
      </c>
      <c r="T209" t="s">
        <v>402</v>
      </c>
      <c r="U209" t="s">
        <v>373</v>
      </c>
      <c r="V209" t="s">
        <v>4424</v>
      </c>
      <c r="W209" t="s">
        <v>4425</v>
      </c>
      <c r="X209" t="s">
        <v>4426</v>
      </c>
      <c r="Y209" t="s">
        <v>4427</v>
      </c>
      <c r="Z209" t="s">
        <v>4428</v>
      </c>
      <c r="AA209" t="s">
        <v>4429</v>
      </c>
      <c r="AB209" t="s">
        <v>4430</v>
      </c>
      <c r="AC209" t="s">
        <v>4431</v>
      </c>
      <c r="BA209" t="str">
        <f>"949"</f>
        <v>949</v>
      </c>
      <c r="BB209" t="str">
        <f>"400"</f>
        <v>400</v>
      </c>
      <c r="BC209" t="s">
        <v>388</v>
      </c>
      <c r="BD209" t="str">
        <f t="shared" si="52"/>
        <v>1</v>
      </c>
      <c r="BE209" t="s">
        <v>389</v>
      </c>
      <c r="BF209" t="str">
        <f t="shared" ref="BF209:BF215" si="57">"22.24"</f>
        <v>22.24</v>
      </c>
      <c r="BG209" t="str">
        <f t="shared" ref="BG209:BG215" si="58">"21.85"</f>
        <v>21.85</v>
      </c>
      <c r="BH209" t="str">
        <f t="shared" ref="BH209:BH215" si="59">"19.29"</f>
        <v>19.29</v>
      </c>
      <c r="BI209" t="str">
        <f t="shared" ref="BI209:BI215" si="60">"30.86"</f>
        <v>30.86</v>
      </c>
      <c r="BY209" t="str">
        <f t="shared" ref="BY209:BY215" si="61">"5.44"</f>
        <v>5.44</v>
      </c>
      <c r="BZ209" t="str">
        <f t="shared" ref="BZ209:BZ215" si="62">"0.154"</f>
        <v>0.154</v>
      </c>
      <c r="CA209" t="s">
        <v>390</v>
      </c>
      <c r="CK209" t="s">
        <v>1151</v>
      </c>
      <c r="CL209" t="s">
        <v>449</v>
      </c>
      <c r="CM209" t="s">
        <v>1491</v>
      </c>
      <c r="CO209">
        <v>0</v>
      </c>
      <c r="CQ209" t="s">
        <v>438</v>
      </c>
      <c r="CX209" t="s">
        <v>403</v>
      </c>
      <c r="CY209" t="s">
        <v>400</v>
      </c>
      <c r="CZ209">
        <v>0</v>
      </c>
      <c r="DD209">
        <v>0</v>
      </c>
      <c r="DE209" t="s">
        <v>405</v>
      </c>
      <c r="DF209" t="s">
        <v>632</v>
      </c>
      <c r="DG209" t="s">
        <v>1808</v>
      </c>
      <c r="DH209">
        <v>1</v>
      </c>
      <c r="DI209">
        <v>2</v>
      </c>
      <c r="DJ209" t="s">
        <v>1132</v>
      </c>
      <c r="DK209" t="s">
        <v>633</v>
      </c>
      <c r="DL209">
        <v>0</v>
      </c>
      <c r="DM209" t="s">
        <v>1736</v>
      </c>
      <c r="DX209" t="s">
        <v>613</v>
      </c>
      <c r="DZ209" t="s">
        <v>2240</v>
      </c>
      <c r="EG209" t="s">
        <v>641</v>
      </c>
      <c r="ET209" t="s">
        <v>643</v>
      </c>
    </row>
    <row r="210" spans="1:217" x14ac:dyDescent="0.25">
      <c r="A210" t="s">
        <v>4432</v>
      </c>
      <c r="B210" t="str">
        <f>"801542651756"</f>
        <v>801542651756</v>
      </c>
      <c r="C210" t="s">
        <v>4433</v>
      </c>
      <c r="D210" t="s">
        <v>583</v>
      </c>
      <c r="E210" t="s">
        <v>2388</v>
      </c>
      <c r="G210" t="str">
        <f t="shared" si="53"/>
        <v>21.5</v>
      </c>
      <c r="H210" t="str">
        <f t="shared" si="54"/>
        <v>21</v>
      </c>
      <c r="I210" t="str">
        <f t="shared" si="55"/>
        <v>18</v>
      </c>
      <c r="J210" t="str">
        <f t="shared" si="56"/>
        <v>24.91</v>
      </c>
      <c r="K210" t="s">
        <v>618</v>
      </c>
      <c r="N210" t="s">
        <v>619</v>
      </c>
      <c r="O210" t="s">
        <v>620</v>
      </c>
      <c r="P210" t="s">
        <v>621</v>
      </c>
      <c r="T210" t="s">
        <v>402</v>
      </c>
      <c r="U210" t="s">
        <v>402</v>
      </c>
      <c r="V210" t="s">
        <v>4434</v>
      </c>
      <c r="W210" t="s">
        <v>4435</v>
      </c>
      <c r="X210" t="s">
        <v>4436</v>
      </c>
      <c r="Y210" t="s">
        <v>4437</v>
      </c>
      <c r="Z210" t="s">
        <v>4438</v>
      </c>
      <c r="AA210" t="s">
        <v>4439</v>
      </c>
      <c r="AB210" t="s">
        <v>4440</v>
      </c>
      <c r="AC210" t="s">
        <v>4441</v>
      </c>
      <c r="AD210" t="s">
        <v>4442</v>
      </c>
      <c r="BA210" t="str">
        <f>"399"</f>
        <v>399</v>
      </c>
      <c r="BB210" t="str">
        <f>"170"</f>
        <v>170</v>
      </c>
      <c r="BC210" t="s">
        <v>388</v>
      </c>
      <c r="BD210" t="str">
        <f t="shared" si="52"/>
        <v>1</v>
      </c>
      <c r="BE210" t="s">
        <v>389</v>
      </c>
      <c r="BF210" t="str">
        <f t="shared" si="57"/>
        <v>22.24</v>
      </c>
      <c r="BG210" t="str">
        <f t="shared" si="58"/>
        <v>21.85</v>
      </c>
      <c r="BH210" t="str">
        <f t="shared" si="59"/>
        <v>19.29</v>
      </c>
      <c r="BI210" t="str">
        <f t="shared" si="60"/>
        <v>30.86</v>
      </c>
      <c r="BY210" t="str">
        <f t="shared" si="61"/>
        <v>5.44</v>
      </c>
      <c r="BZ210" t="str">
        <f t="shared" si="62"/>
        <v>0.154</v>
      </c>
      <c r="CA210" t="s">
        <v>431</v>
      </c>
      <c r="CK210" t="s">
        <v>1151</v>
      </c>
      <c r="CL210" t="s">
        <v>449</v>
      </c>
      <c r="CM210" t="s">
        <v>1491</v>
      </c>
      <c r="CO210">
        <v>0</v>
      </c>
      <c r="CQ210" t="s">
        <v>631</v>
      </c>
      <c r="CX210" t="s">
        <v>403</v>
      </c>
      <c r="CY210" t="s">
        <v>400</v>
      </c>
      <c r="CZ210">
        <v>0</v>
      </c>
      <c r="DD210">
        <v>25000</v>
      </c>
      <c r="DE210" t="s">
        <v>405</v>
      </c>
      <c r="DF210" t="s">
        <v>632</v>
      </c>
      <c r="DG210" t="s">
        <v>1808</v>
      </c>
      <c r="DH210">
        <v>1</v>
      </c>
      <c r="DI210">
        <v>2</v>
      </c>
      <c r="DJ210" t="s">
        <v>1132</v>
      </c>
      <c r="DK210" t="s">
        <v>633</v>
      </c>
      <c r="DL210">
        <v>0</v>
      </c>
      <c r="DM210" t="s">
        <v>1736</v>
      </c>
      <c r="DX210" t="s">
        <v>613</v>
      </c>
      <c r="DZ210" t="s">
        <v>2240</v>
      </c>
      <c r="EG210" t="s">
        <v>641</v>
      </c>
      <c r="ET210" t="s">
        <v>643</v>
      </c>
    </row>
    <row r="211" spans="1:217" x14ac:dyDescent="0.25">
      <c r="A211" t="s">
        <v>4443</v>
      </c>
      <c r="B211" t="str">
        <f>"801542623654"</f>
        <v>801542623654</v>
      </c>
      <c r="C211" t="s">
        <v>4444</v>
      </c>
      <c r="D211" t="s">
        <v>583</v>
      </c>
      <c r="E211" t="s">
        <v>2388</v>
      </c>
      <c r="G211" t="str">
        <f t="shared" si="53"/>
        <v>21.5</v>
      </c>
      <c r="H211" t="str">
        <f t="shared" si="54"/>
        <v>21</v>
      </c>
      <c r="I211" t="str">
        <f t="shared" si="55"/>
        <v>18</v>
      </c>
      <c r="J211" t="str">
        <f t="shared" si="56"/>
        <v>24.91</v>
      </c>
      <c r="K211" t="s">
        <v>1744</v>
      </c>
      <c r="N211" t="s">
        <v>371</v>
      </c>
      <c r="T211" t="s">
        <v>402</v>
      </c>
      <c r="U211" t="s">
        <v>373</v>
      </c>
      <c r="V211" t="s">
        <v>4445</v>
      </c>
      <c r="W211" t="s">
        <v>4446</v>
      </c>
      <c r="X211" t="s">
        <v>4447</v>
      </c>
      <c r="Y211" t="s">
        <v>4448</v>
      </c>
      <c r="Z211" t="s">
        <v>4449</v>
      </c>
      <c r="AA211" t="s">
        <v>4450</v>
      </c>
      <c r="AB211" t="s">
        <v>4451</v>
      </c>
      <c r="AC211" t="s">
        <v>4452</v>
      </c>
      <c r="AD211" t="s">
        <v>4453</v>
      </c>
      <c r="AE211" t="s">
        <v>4454</v>
      </c>
      <c r="BA211" t="str">
        <f>"399"</f>
        <v>399</v>
      </c>
      <c r="BB211" t="str">
        <f>"170"</f>
        <v>170</v>
      </c>
      <c r="BC211" t="s">
        <v>388</v>
      </c>
      <c r="BD211" t="str">
        <f t="shared" si="52"/>
        <v>1</v>
      </c>
      <c r="BE211" t="s">
        <v>389</v>
      </c>
      <c r="BF211" t="str">
        <f t="shared" si="57"/>
        <v>22.24</v>
      </c>
      <c r="BG211" t="str">
        <f t="shared" si="58"/>
        <v>21.85</v>
      </c>
      <c r="BH211" t="str">
        <f t="shared" si="59"/>
        <v>19.29</v>
      </c>
      <c r="BI211" t="str">
        <f t="shared" si="60"/>
        <v>30.86</v>
      </c>
      <c r="BY211" t="str">
        <f t="shared" si="61"/>
        <v>5.44</v>
      </c>
      <c r="BZ211" t="str">
        <f t="shared" si="62"/>
        <v>0.154</v>
      </c>
      <c r="CA211" t="s">
        <v>495</v>
      </c>
      <c r="CK211" t="s">
        <v>1151</v>
      </c>
      <c r="CL211" t="s">
        <v>449</v>
      </c>
      <c r="CM211" t="s">
        <v>1491</v>
      </c>
      <c r="CO211">
        <v>0</v>
      </c>
      <c r="CQ211" t="s">
        <v>631</v>
      </c>
      <c r="CX211" t="s">
        <v>403</v>
      </c>
      <c r="CY211" t="s">
        <v>400</v>
      </c>
      <c r="CZ211">
        <v>0</v>
      </c>
      <c r="DD211">
        <v>25000</v>
      </c>
      <c r="DE211" t="s">
        <v>405</v>
      </c>
      <c r="DF211" t="s">
        <v>632</v>
      </c>
      <c r="DG211" t="s">
        <v>1808</v>
      </c>
      <c r="DH211">
        <v>1</v>
      </c>
      <c r="DI211">
        <v>2</v>
      </c>
      <c r="DJ211" t="s">
        <v>1132</v>
      </c>
      <c r="DK211" t="s">
        <v>633</v>
      </c>
      <c r="DL211">
        <v>0</v>
      </c>
      <c r="DM211" t="s">
        <v>1736</v>
      </c>
      <c r="DX211" t="s">
        <v>613</v>
      </c>
      <c r="DZ211" t="s">
        <v>2240</v>
      </c>
      <c r="EG211" t="s">
        <v>641</v>
      </c>
      <c r="ET211" t="s">
        <v>643</v>
      </c>
    </row>
    <row r="212" spans="1:217" x14ac:dyDescent="0.25">
      <c r="A212" t="s">
        <v>4455</v>
      </c>
      <c r="B212" t="str">
        <f>"801542623661"</f>
        <v>801542623661</v>
      </c>
      <c r="C212" t="s">
        <v>4456</v>
      </c>
      <c r="D212" t="s">
        <v>583</v>
      </c>
      <c r="E212" t="s">
        <v>2388</v>
      </c>
      <c r="G212" t="str">
        <f t="shared" si="53"/>
        <v>21.5</v>
      </c>
      <c r="H212" t="str">
        <f t="shared" si="54"/>
        <v>21</v>
      </c>
      <c r="I212" t="str">
        <f t="shared" si="55"/>
        <v>18</v>
      </c>
      <c r="J212" t="str">
        <f t="shared" si="56"/>
        <v>24.91</v>
      </c>
      <c r="K212" t="s">
        <v>3083</v>
      </c>
      <c r="N212" t="s">
        <v>1170</v>
      </c>
      <c r="O212" t="s">
        <v>3084</v>
      </c>
      <c r="T212" t="s">
        <v>402</v>
      </c>
      <c r="U212" t="s">
        <v>373</v>
      </c>
      <c r="V212" t="s">
        <v>4457</v>
      </c>
      <c r="W212" t="s">
        <v>4458</v>
      </c>
      <c r="X212" t="s">
        <v>4459</v>
      </c>
      <c r="Y212" t="s">
        <v>4460</v>
      </c>
      <c r="Z212" t="s">
        <v>4461</v>
      </c>
      <c r="AA212" t="s">
        <v>4462</v>
      </c>
      <c r="AB212" t="s">
        <v>4463</v>
      </c>
      <c r="AC212" t="s">
        <v>4464</v>
      </c>
      <c r="BA212" t="str">
        <f>"449"</f>
        <v>449</v>
      </c>
      <c r="BB212" t="str">
        <f>"190"</f>
        <v>190</v>
      </c>
      <c r="BC212" t="s">
        <v>388</v>
      </c>
      <c r="BD212" t="str">
        <f t="shared" si="52"/>
        <v>1</v>
      </c>
      <c r="BE212" t="s">
        <v>389</v>
      </c>
      <c r="BF212" t="str">
        <f t="shared" si="57"/>
        <v>22.24</v>
      </c>
      <c r="BG212" t="str">
        <f t="shared" si="58"/>
        <v>21.85</v>
      </c>
      <c r="BH212" t="str">
        <f t="shared" si="59"/>
        <v>19.29</v>
      </c>
      <c r="BI212" t="str">
        <f t="shared" si="60"/>
        <v>30.86</v>
      </c>
      <c r="BY212" t="str">
        <f t="shared" si="61"/>
        <v>5.44</v>
      </c>
      <c r="BZ212" t="str">
        <f t="shared" si="62"/>
        <v>0.154</v>
      </c>
      <c r="CA212" t="s">
        <v>495</v>
      </c>
      <c r="CK212" t="s">
        <v>1151</v>
      </c>
      <c r="CL212" t="s">
        <v>449</v>
      </c>
      <c r="CM212" t="s">
        <v>1491</v>
      </c>
      <c r="CO212">
        <v>0</v>
      </c>
      <c r="CQ212" t="s">
        <v>399</v>
      </c>
      <c r="CX212" t="s">
        <v>403</v>
      </c>
      <c r="CY212" t="s">
        <v>400</v>
      </c>
      <c r="CZ212">
        <v>0</v>
      </c>
      <c r="DD212">
        <v>100000</v>
      </c>
      <c r="DE212" t="s">
        <v>405</v>
      </c>
      <c r="DF212" t="s">
        <v>632</v>
      </c>
      <c r="DG212" t="s">
        <v>1808</v>
      </c>
      <c r="DH212">
        <v>1</v>
      </c>
      <c r="DI212">
        <v>2</v>
      </c>
      <c r="DJ212" t="s">
        <v>1132</v>
      </c>
      <c r="DK212" t="s">
        <v>633</v>
      </c>
      <c r="DL212">
        <v>0</v>
      </c>
      <c r="DM212" t="s">
        <v>1736</v>
      </c>
      <c r="DX212" t="s">
        <v>613</v>
      </c>
      <c r="DZ212" t="s">
        <v>2240</v>
      </c>
      <c r="EG212" t="s">
        <v>641</v>
      </c>
      <c r="ET212" t="s">
        <v>643</v>
      </c>
    </row>
    <row r="213" spans="1:217" x14ac:dyDescent="0.25">
      <c r="A213" t="s">
        <v>4465</v>
      </c>
      <c r="B213" t="str">
        <f>"801542672355"</f>
        <v>801542672355</v>
      </c>
      <c r="C213" t="s">
        <v>4466</v>
      </c>
      <c r="D213" t="s">
        <v>583</v>
      </c>
      <c r="E213" t="s">
        <v>2388</v>
      </c>
      <c r="G213" t="str">
        <f t="shared" si="53"/>
        <v>21.5</v>
      </c>
      <c r="H213" t="str">
        <f t="shared" si="54"/>
        <v>21</v>
      </c>
      <c r="I213" t="str">
        <f t="shared" si="55"/>
        <v>18</v>
      </c>
      <c r="J213" t="str">
        <f t="shared" si="56"/>
        <v>24.91</v>
      </c>
      <c r="K213" t="s">
        <v>1792</v>
      </c>
      <c r="N213" t="s">
        <v>1793</v>
      </c>
      <c r="O213" t="s">
        <v>1794</v>
      </c>
      <c r="T213" t="s">
        <v>402</v>
      </c>
      <c r="U213" t="s">
        <v>373</v>
      </c>
      <c r="V213" t="s">
        <v>4467</v>
      </c>
      <c r="W213" t="s">
        <v>4468</v>
      </c>
      <c r="X213" t="s">
        <v>4469</v>
      </c>
      <c r="Y213" t="s">
        <v>4470</v>
      </c>
      <c r="Z213" t="s">
        <v>4471</v>
      </c>
      <c r="AA213" t="s">
        <v>4472</v>
      </c>
      <c r="AB213" t="s">
        <v>4473</v>
      </c>
      <c r="AC213" t="s">
        <v>4474</v>
      </c>
      <c r="AD213" t="s">
        <v>4475</v>
      </c>
      <c r="AE213" t="s">
        <v>4476</v>
      </c>
      <c r="BA213" t="str">
        <f>"449"</f>
        <v>449</v>
      </c>
      <c r="BB213" t="str">
        <f>"190"</f>
        <v>190</v>
      </c>
      <c r="BC213" t="s">
        <v>388</v>
      </c>
      <c r="BD213" t="str">
        <f t="shared" si="52"/>
        <v>1</v>
      </c>
      <c r="BE213" t="s">
        <v>389</v>
      </c>
      <c r="BF213" t="str">
        <f t="shared" si="57"/>
        <v>22.24</v>
      </c>
      <c r="BG213" t="str">
        <f t="shared" si="58"/>
        <v>21.85</v>
      </c>
      <c r="BH213" t="str">
        <f t="shared" si="59"/>
        <v>19.29</v>
      </c>
      <c r="BI213" t="str">
        <f t="shared" si="60"/>
        <v>30.86</v>
      </c>
      <c r="BY213" t="str">
        <f t="shared" si="61"/>
        <v>5.44</v>
      </c>
      <c r="BZ213" t="str">
        <f t="shared" si="62"/>
        <v>0.154</v>
      </c>
      <c r="CA213" t="s">
        <v>495</v>
      </c>
      <c r="CK213" t="s">
        <v>1151</v>
      </c>
      <c r="CL213" t="s">
        <v>449</v>
      </c>
      <c r="CM213" t="s">
        <v>1491</v>
      </c>
      <c r="CO213">
        <v>0</v>
      </c>
      <c r="CQ213" t="s">
        <v>438</v>
      </c>
      <c r="CX213" t="s">
        <v>403</v>
      </c>
      <c r="CY213" t="s">
        <v>400</v>
      </c>
      <c r="CZ213">
        <v>0</v>
      </c>
      <c r="DD213">
        <v>30000</v>
      </c>
      <c r="DE213" t="s">
        <v>405</v>
      </c>
      <c r="DF213" t="s">
        <v>632</v>
      </c>
      <c r="DG213" t="s">
        <v>1808</v>
      </c>
      <c r="DH213">
        <v>1</v>
      </c>
      <c r="DI213">
        <v>2</v>
      </c>
      <c r="DJ213" t="s">
        <v>1132</v>
      </c>
      <c r="DK213" t="s">
        <v>633</v>
      </c>
      <c r="DL213">
        <v>0</v>
      </c>
      <c r="DM213" t="s">
        <v>1736</v>
      </c>
      <c r="DX213" t="s">
        <v>613</v>
      </c>
      <c r="DZ213" t="s">
        <v>2240</v>
      </c>
      <c r="EG213" t="s">
        <v>641</v>
      </c>
      <c r="ET213" t="s">
        <v>643</v>
      </c>
    </row>
    <row r="214" spans="1:217" x14ac:dyDescent="0.25">
      <c r="A214" t="s">
        <v>4477</v>
      </c>
      <c r="B214" t="str">
        <f>"801542699031"</f>
        <v>801542699031</v>
      </c>
      <c r="C214" t="s">
        <v>4478</v>
      </c>
      <c r="D214" t="s">
        <v>583</v>
      </c>
      <c r="E214" t="s">
        <v>2388</v>
      </c>
      <c r="G214" t="str">
        <f t="shared" si="53"/>
        <v>21.5</v>
      </c>
      <c r="H214" t="str">
        <f t="shared" si="54"/>
        <v>21</v>
      </c>
      <c r="I214" t="str">
        <f t="shared" si="55"/>
        <v>18</v>
      </c>
      <c r="J214" t="str">
        <f t="shared" si="56"/>
        <v>24.91</v>
      </c>
      <c r="K214" t="s">
        <v>584</v>
      </c>
      <c r="N214" t="s">
        <v>416</v>
      </c>
      <c r="T214" t="s">
        <v>373</v>
      </c>
      <c r="U214" t="s">
        <v>373</v>
      </c>
      <c r="V214" t="s">
        <v>4479</v>
      </c>
      <c r="W214" t="s">
        <v>4480</v>
      </c>
      <c r="X214" t="s">
        <v>4481</v>
      </c>
      <c r="Y214" t="s">
        <v>4482</v>
      </c>
      <c r="Z214" t="s">
        <v>4483</v>
      </c>
      <c r="AA214" t="s">
        <v>4484</v>
      </c>
      <c r="AB214" t="s">
        <v>4485</v>
      </c>
      <c r="AC214" t="s">
        <v>4486</v>
      </c>
      <c r="BA214" t="str">
        <f>"949"</f>
        <v>949</v>
      </c>
      <c r="BB214" t="str">
        <f>"400"</f>
        <v>400</v>
      </c>
      <c r="BC214" t="s">
        <v>388</v>
      </c>
      <c r="BD214" t="str">
        <f t="shared" si="52"/>
        <v>1</v>
      </c>
      <c r="BE214" t="s">
        <v>389</v>
      </c>
      <c r="BF214" t="str">
        <f t="shared" si="57"/>
        <v>22.24</v>
      </c>
      <c r="BG214" t="str">
        <f t="shared" si="58"/>
        <v>21.85</v>
      </c>
      <c r="BH214" t="str">
        <f t="shared" si="59"/>
        <v>19.29</v>
      </c>
      <c r="BI214" t="str">
        <f t="shared" si="60"/>
        <v>30.86</v>
      </c>
      <c r="BY214" t="str">
        <f t="shared" si="61"/>
        <v>5.44</v>
      </c>
      <c r="BZ214" t="str">
        <f t="shared" si="62"/>
        <v>0.154</v>
      </c>
      <c r="CA214" t="s">
        <v>431</v>
      </c>
      <c r="CK214" t="s">
        <v>1151</v>
      </c>
      <c r="CL214" t="s">
        <v>449</v>
      </c>
      <c r="CM214" t="s">
        <v>1491</v>
      </c>
      <c r="CO214">
        <v>0</v>
      </c>
      <c r="CQ214" t="s">
        <v>438</v>
      </c>
      <c r="CX214" t="s">
        <v>403</v>
      </c>
      <c r="CY214" t="s">
        <v>400</v>
      </c>
      <c r="CZ214">
        <v>0</v>
      </c>
      <c r="DD214">
        <v>0</v>
      </c>
      <c r="DE214" t="s">
        <v>405</v>
      </c>
      <c r="DF214" t="s">
        <v>632</v>
      </c>
      <c r="DG214" t="s">
        <v>1808</v>
      </c>
      <c r="DH214">
        <v>1</v>
      </c>
      <c r="DI214">
        <v>2</v>
      </c>
      <c r="DJ214" t="s">
        <v>1132</v>
      </c>
      <c r="DK214" t="s">
        <v>633</v>
      </c>
      <c r="DL214">
        <v>0</v>
      </c>
      <c r="DM214" t="s">
        <v>1736</v>
      </c>
      <c r="DX214" t="s">
        <v>613</v>
      </c>
      <c r="DZ214" t="s">
        <v>2240</v>
      </c>
      <c r="EG214" t="s">
        <v>641</v>
      </c>
      <c r="ET214" t="s">
        <v>643</v>
      </c>
    </row>
    <row r="215" spans="1:217" x14ac:dyDescent="0.25">
      <c r="A215" t="s">
        <v>4487</v>
      </c>
      <c r="B215" t="str">
        <f>"198394062459"</f>
        <v>198394062459</v>
      </c>
      <c r="C215" t="s">
        <v>4488</v>
      </c>
      <c r="D215" t="s">
        <v>583</v>
      </c>
      <c r="E215" t="s">
        <v>2388</v>
      </c>
      <c r="G215" t="str">
        <f t="shared" si="53"/>
        <v>21.5</v>
      </c>
      <c r="H215" t="str">
        <f t="shared" si="54"/>
        <v>21</v>
      </c>
      <c r="I215" t="str">
        <f t="shared" si="55"/>
        <v>18</v>
      </c>
      <c r="J215" t="str">
        <f t="shared" si="56"/>
        <v>24.91</v>
      </c>
      <c r="K215" t="s">
        <v>911</v>
      </c>
      <c r="N215" t="s">
        <v>912</v>
      </c>
      <c r="O215" t="s">
        <v>913</v>
      </c>
      <c r="T215" t="s">
        <v>402</v>
      </c>
      <c r="U215" t="s">
        <v>402</v>
      </c>
      <c r="V215" t="s">
        <v>4489</v>
      </c>
      <c r="W215" t="s">
        <v>4490</v>
      </c>
      <c r="X215" t="s">
        <v>4491</v>
      </c>
      <c r="Y215" t="s">
        <v>4492</v>
      </c>
      <c r="Z215" t="s">
        <v>4493</v>
      </c>
      <c r="AA215" t="s">
        <v>4494</v>
      </c>
      <c r="AB215" t="s">
        <v>4495</v>
      </c>
      <c r="AC215" t="s">
        <v>4496</v>
      </c>
      <c r="AD215" t="s">
        <v>4497</v>
      </c>
      <c r="AE215" t="s">
        <v>4498</v>
      </c>
      <c r="BA215" t="str">
        <f>"399"</f>
        <v>399</v>
      </c>
      <c r="BB215" t="str">
        <f>"170"</f>
        <v>170</v>
      </c>
      <c r="BC215" t="s">
        <v>388</v>
      </c>
      <c r="BD215" t="str">
        <f t="shared" si="52"/>
        <v>1</v>
      </c>
      <c r="BE215" t="s">
        <v>389</v>
      </c>
      <c r="BF215" t="str">
        <f t="shared" si="57"/>
        <v>22.24</v>
      </c>
      <c r="BG215" t="str">
        <f t="shared" si="58"/>
        <v>21.85</v>
      </c>
      <c r="BH215" t="str">
        <f t="shared" si="59"/>
        <v>19.29</v>
      </c>
      <c r="BI215" t="str">
        <f t="shared" si="60"/>
        <v>30.86</v>
      </c>
      <c r="BY215" t="str">
        <f t="shared" si="61"/>
        <v>5.44</v>
      </c>
      <c r="BZ215" t="str">
        <f t="shared" si="62"/>
        <v>0.154</v>
      </c>
      <c r="CA215" t="s">
        <v>431</v>
      </c>
      <c r="CK215" t="s">
        <v>1151</v>
      </c>
      <c r="CL215" t="s">
        <v>449</v>
      </c>
      <c r="CM215" t="s">
        <v>1491</v>
      </c>
      <c r="CO215">
        <v>0</v>
      </c>
      <c r="CQ215" t="s">
        <v>399</v>
      </c>
      <c r="CX215" t="s">
        <v>403</v>
      </c>
      <c r="CY215" t="s">
        <v>400</v>
      </c>
      <c r="CZ215">
        <v>0</v>
      </c>
      <c r="DD215">
        <v>50000</v>
      </c>
      <c r="DE215" t="s">
        <v>405</v>
      </c>
      <c r="DF215" t="s">
        <v>632</v>
      </c>
      <c r="DG215" t="s">
        <v>1808</v>
      </c>
      <c r="DH215">
        <v>1</v>
      </c>
      <c r="DI215">
        <v>2</v>
      </c>
      <c r="DJ215" t="s">
        <v>1132</v>
      </c>
      <c r="DK215" t="s">
        <v>633</v>
      </c>
      <c r="DL215">
        <v>0</v>
      </c>
      <c r="DM215" t="s">
        <v>1736</v>
      </c>
      <c r="DX215" t="s">
        <v>613</v>
      </c>
      <c r="DZ215" t="s">
        <v>2240</v>
      </c>
      <c r="EG215" t="s">
        <v>641</v>
      </c>
      <c r="ET215" t="s">
        <v>643</v>
      </c>
    </row>
    <row r="216" spans="1:217" x14ac:dyDescent="0.25">
      <c r="A216" t="s">
        <v>4499</v>
      </c>
      <c r="B216" t="str">
        <f>"801542933432"</f>
        <v>801542933432</v>
      </c>
      <c r="C216" t="s">
        <v>4500</v>
      </c>
      <c r="D216" t="s">
        <v>3784</v>
      </c>
      <c r="E216" t="s">
        <v>988</v>
      </c>
      <c r="G216" t="str">
        <f>"70"</f>
        <v>70</v>
      </c>
      <c r="H216" t="str">
        <f t="shared" ref="H216:H221" si="63">"19"</f>
        <v>19</v>
      </c>
      <c r="I216" t="str">
        <f>"35"</f>
        <v>35</v>
      </c>
      <c r="J216" t="str">
        <f>"179.67"</f>
        <v>179.67</v>
      </c>
      <c r="K216" t="s">
        <v>3861</v>
      </c>
      <c r="L216" t="s">
        <v>3862</v>
      </c>
      <c r="N216" t="s">
        <v>3787</v>
      </c>
      <c r="O216" t="s">
        <v>416</v>
      </c>
      <c r="T216" t="s">
        <v>373</v>
      </c>
      <c r="U216" t="s">
        <v>373</v>
      </c>
      <c r="V216" t="s">
        <v>4501</v>
      </c>
      <c r="W216" t="s">
        <v>4502</v>
      </c>
      <c r="X216" t="s">
        <v>4503</v>
      </c>
      <c r="Y216" t="s">
        <v>4504</v>
      </c>
      <c r="Z216" t="s">
        <v>4505</v>
      </c>
      <c r="AA216" t="s">
        <v>4506</v>
      </c>
      <c r="AB216" t="s">
        <v>4507</v>
      </c>
      <c r="AC216" t="s">
        <v>4508</v>
      </c>
      <c r="AD216" t="s">
        <v>4509</v>
      </c>
      <c r="AE216" t="s">
        <v>4510</v>
      </c>
      <c r="AF216" t="s">
        <v>4511</v>
      </c>
      <c r="AG216" t="s">
        <v>4512</v>
      </c>
      <c r="AH216" t="s">
        <v>4513</v>
      </c>
      <c r="AI216" t="s">
        <v>4514</v>
      </c>
      <c r="BA216" t="str">
        <f>"2199"</f>
        <v>2199</v>
      </c>
      <c r="BB216" t="str">
        <f>"925"</f>
        <v>925</v>
      </c>
      <c r="BC216" t="s">
        <v>1149</v>
      </c>
      <c r="BD216" t="str">
        <f t="shared" si="52"/>
        <v>1</v>
      </c>
      <c r="BE216" t="s">
        <v>389</v>
      </c>
      <c r="BF216" t="str">
        <f>"74.41"</f>
        <v>74.41</v>
      </c>
      <c r="BG216" t="str">
        <f>"22.44"</f>
        <v>22.44</v>
      </c>
      <c r="BH216" t="str">
        <f>"39.96"</f>
        <v>39.96</v>
      </c>
      <c r="BI216" t="str">
        <f>"207.23"</f>
        <v>207.23</v>
      </c>
      <c r="BY216" t="str">
        <f>"38.6"</f>
        <v>38.6</v>
      </c>
      <c r="BZ216" t="str">
        <f>"1.093"</f>
        <v>1.093</v>
      </c>
      <c r="CA216" t="s">
        <v>431</v>
      </c>
      <c r="CR216" t="s">
        <v>3806</v>
      </c>
      <c r="CS216">
        <v>7</v>
      </c>
      <c r="CT216" t="s">
        <v>1344</v>
      </c>
      <c r="CV216">
        <v>0</v>
      </c>
      <c r="CX216" t="s">
        <v>1018</v>
      </c>
      <c r="CY216" t="s">
        <v>1009</v>
      </c>
      <c r="DC216">
        <v>0</v>
      </c>
      <c r="DJ216" t="s">
        <v>1010</v>
      </c>
      <c r="DK216" t="s">
        <v>3807</v>
      </c>
      <c r="DM216" t="s">
        <v>473</v>
      </c>
      <c r="DX216" t="s">
        <v>4515</v>
      </c>
      <c r="EM216" t="s">
        <v>402</v>
      </c>
      <c r="EN216">
        <v>0</v>
      </c>
      <c r="FI216">
        <v>0</v>
      </c>
      <c r="FJ216" t="s">
        <v>1012</v>
      </c>
      <c r="FR216" t="s">
        <v>950</v>
      </c>
      <c r="FS216" t="s">
        <v>950</v>
      </c>
      <c r="FT216" t="s">
        <v>433</v>
      </c>
      <c r="FU216" t="s">
        <v>797</v>
      </c>
      <c r="FV216" t="s">
        <v>435</v>
      </c>
      <c r="FW216" t="s">
        <v>822</v>
      </c>
      <c r="FX216" t="s">
        <v>1008</v>
      </c>
      <c r="FZ216" t="s">
        <v>1018</v>
      </c>
      <c r="GA216" t="s">
        <v>402</v>
      </c>
    </row>
    <row r="217" spans="1:217" x14ac:dyDescent="0.25">
      <c r="A217" t="s">
        <v>4516</v>
      </c>
      <c r="B217" t="str">
        <f>"801542934026"</f>
        <v>801542934026</v>
      </c>
      <c r="C217" t="s">
        <v>4517</v>
      </c>
      <c r="D217" t="s">
        <v>3784</v>
      </c>
      <c r="E217" t="s">
        <v>988</v>
      </c>
      <c r="G217" t="str">
        <f>"70"</f>
        <v>70</v>
      </c>
      <c r="H217" t="str">
        <f t="shared" si="63"/>
        <v>19</v>
      </c>
      <c r="I217" t="str">
        <f>"35"</f>
        <v>35</v>
      </c>
      <c r="J217" t="str">
        <f>"179.67"</f>
        <v>179.67</v>
      </c>
      <c r="K217" t="s">
        <v>3886</v>
      </c>
      <c r="L217" t="s">
        <v>3786</v>
      </c>
      <c r="N217" t="s">
        <v>3787</v>
      </c>
      <c r="O217" t="s">
        <v>416</v>
      </c>
      <c r="T217" t="s">
        <v>373</v>
      </c>
      <c r="U217" t="s">
        <v>373</v>
      </c>
      <c r="V217" t="s">
        <v>4518</v>
      </c>
      <c r="W217" t="s">
        <v>4519</v>
      </c>
      <c r="X217" t="s">
        <v>4520</v>
      </c>
      <c r="Y217" t="s">
        <v>4521</v>
      </c>
      <c r="Z217" t="s">
        <v>4522</v>
      </c>
      <c r="AA217" t="s">
        <v>4523</v>
      </c>
      <c r="AB217" t="s">
        <v>4524</v>
      </c>
      <c r="AC217" t="s">
        <v>4525</v>
      </c>
      <c r="AD217" t="s">
        <v>4526</v>
      </c>
      <c r="AE217" t="s">
        <v>4527</v>
      </c>
      <c r="AF217" t="s">
        <v>4528</v>
      </c>
      <c r="AG217" t="s">
        <v>4529</v>
      </c>
      <c r="AH217" t="s">
        <v>4530</v>
      </c>
      <c r="BA217" t="str">
        <f>"2199"</f>
        <v>2199</v>
      </c>
      <c r="BB217" t="str">
        <f>"925"</f>
        <v>925</v>
      </c>
      <c r="BC217" t="s">
        <v>1149</v>
      </c>
      <c r="BD217" t="str">
        <f t="shared" si="52"/>
        <v>1</v>
      </c>
      <c r="BE217" t="s">
        <v>389</v>
      </c>
      <c r="BF217" t="str">
        <f>"74.41"</f>
        <v>74.41</v>
      </c>
      <c r="BG217" t="str">
        <f>"22.44"</f>
        <v>22.44</v>
      </c>
      <c r="BH217" t="str">
        <f>"39.96"</f>
        <v>39.96</v>
      </c>
      <c r="BI217" t="str">
        <f>"207.23"</f>
        <v>207.23</v>
      </c>
      <c r="BY217" t="str">
        <f>"38.6"</f>
        <v>38.6</v>
      </c>
      <c r="BZ217" t="str">
        <f>"1.093"</f>
        <v>1.093</v>
      </c>
      <c r="CA217" t="s">
        <v>495</v>
      </c>
      <c r="CR217" t="s">
        <v>3806</v>
      </c>
      <c r="CS217">
        <v>7</v>
      </c>
      <c r="CT217" t="s">
        <v>1344</v>
      </c>
      <c r="CV217">
        <v>0</v>
      </c>
      <c r="CX217" t="s">
        <v>1018</v>
      </c>
      <c r="CY217" t="s">
        <v>1009</v>
      </c>
      <c r="DC217">
        <v>0</v>
      </c>
      <c r="DJ217" t="s">
        <v>1010</v>
      </c>
      <c r="DK217" t="s">
        <v>3807</v>
      </c>
      <c r="DM217" t="s">
        <v>473</v>
      </c>
      <c r="DX217" t="s">
        <v>4515</v>
      </c>
      <c r="EM217" t="s">
        <v>402</v>
      </c>
      <c r="EN217">
        <v>0</v>
      </c>
      <c r="FI217">
        <v>0</v>
      </c>
      <c r="FJ217" t="s">
        <v>1012</v>
      </c>
      <c r="FR217" t="s">
        <v>950</v>
      </c>
      <c r="FS217" t="s">
        <v>950</v>
      </c>
      <c r="FT217" t="s">
        <v>433</v>
      </c>
      <c r="FU217" t="s">
        <v>797</v>
      </c>
      <c r="FV217" t="s">
        <v>435</v>
      </c>
      <c r="FW217" t="s">
        <v>822</v>
      </c>
      <c r="FX217" t="s">
        <v>1008</v>
      </c>
      <c r="FZ217" t="s">
        <v>1018</v>
      </c>
      <c r="GA217" t="s">
        <v>402</v>
      </c>
    </row>
    <row r="218" spans="1:217" x14ac:dyDescent="0.25">
      <c r="A218" t="s">
        <v>4531</v>
      </c>
      <c r="B218" t="str">
        <f>"801542934033"</f>
        <v>801542934033</v>
      </c>
      <c r="C218" t="s">
        <v>4532</v>
      </c>
      <c r="D218" t="s">
        <v>3784</v>
      </c>
      <c r="E218" t="s">
        <v>988</v>
      </c>
      <c r="G218" t="str">
        <f>"70"</f>
        <v>70</v>
      </c>
      <c r="H218" t="str">
        <f t="shared" si="63"/>
        <v>19</v>
      </c>
      <c r="I218" t="str">
        <f>"35"</f>
        <v>35</v>
      </c>
      <c r="J218" t="str">
        <f>"179.67"</f>
        <v>179.67</v>
      </c>
      <c r="K218" t="s">
        <v>3785</v>
      </c>
      <c r="L218" t="s">
        <v>3786</v>
      </c>
      <c r="N218" t="s">
        <v>3787</v>
      </c>
      <c r="O218" t="s">
        <v>416</v>
      </c>
      <c r="T218" t="s">
        <v>373</v>
      </c>
      <c r="U218" t="s">
        <v>373</v>
      </c>
      <c r="V218" t="s">
        <v>4533</v>
      </c>
      <c r="W218" t="s">
        <v>4534</v>
      </c>
      <c r="X218" t="s">
        <v>4535</v>
      </c>
      <c r="Y218" t="s">
        <v>4536</v>
      </c>
      <c r="Z218" t="s">
        <v>4537</v>
      </c>
      <c r="AA218" t="s">
        <v>4538</v>
      </c>
      <c r="AB218" t="s">
        <v>4539</v>
      </c>
      <c r="AC218" t="s">
        <v>3796</v>
      </c>
      <c r="AD218" t="s">
        <v>4540</v>
      </c>
      <c r="AE218" t="s">
        <v>4541</v>
      </c>
      <c r="AF218" t="s">
        <v>4542</v>
      </c>
      <c r="AG218" t="s">
        <v>4543</v>
      </c>
      <c r="AH218" t="s">
        <v>4544</v>
      </c>
      <c r="AI218" t="s">
        <v>4545</v>
      </c>
      <c r="AJ218" t="s">
        <v>4546</v>
      </c>
      <c r="BA218" t="str">
        <f>"2199"</f>
        <v>2199</v>
      </c>
      <c r="BB218" t="str">
        <f>"925"</f>
        <v>925</v>
      </c>
      <c r="BC218" t="s">
        <v>1149</v>
      </c>
      <c r="BD218" t="str">
        <f t="shared" si="52"/>
        <v>1</v>
      </c>
      <c r="BE218" t="s">
        <v>389</v>
      </c>
      <c r="BF218" t="str">
        <f>"74.41"</f>
        <v>74.41</v>
      </c>
      <c r="BG218" t="str">
        <f>"22.44"</f>
        <v>22.44</v>
      </c>
      <c r="BH218" t="str">
        <f>"39.96"</f>
        <v>39.96</v>
      </c>
      <c r="BI218" t="str">
        <f>"207.23"</f>
        <v>207.23</v>
      </c>
      <c r="BY218" t="str">
        <f>"38.6"</f>
        <v>38.6</v>
      </c>
      <c r="BZ218" t="str">
        <f>"1.093"</f>
        <v>1.093</v>
      </c>
      <c r="CA218" t="s">
        <v>495</v>
      </c>
      <c r="CR218" t="s">
        <v>3806</v>
      </c>
      <c r="CS218">
        <v>7</v>
      </c>
      <c r="CT218" t="s">
        <v>1344</v>
      </c>
      <c r="CV218">
        <v>0</v>
      </c>
      <c r="CX218" t="s">
        <v>1018</v>
      </c>
      <c r="CY218" t="s">
        <v>1009</v>
      </c>
      <c r="DC218">
        <v>0</v>
      </c>
      <c r="DJ218" t="s">
        <v>1010</v>
      </c>
      <c r="DK218" t="s">
        <v>3807</v>
      </c>
      <c r="DM218" t="s">
        <v>473</v>
      </c>
      <c r="DX218" t="s">
        <v>4515</v>
      </c>
      <c r="EM218" t="s">
        <v>402</v>
      </c>
      <c r="EN218">
        <v>0</v>
      </c>
      <c r="FI218">
        <v>0</v>
      </c>
      <c r="FJ218" t="s">
        <v>1012</v>
      </c>
      <c r="FR218" t="s">
        <v>950</v>
      </c>
      <c r="FS218" t="s">
        <v>950</v>
      </c>
      <c r="FT218" t="s">
        <v>433</v>
      </c>
      <c r="FU218" t="s">
        <v>797</v>
      </c>
      <c r="FV218" t="s">
        <v>435</v>
      </c>
      <c r="FW218" t="s">
        <v>822</v>
      </c>
      <c r="FX218" t="s">
        <v>1008</v>
      </c>
      <c r="FZ218" t="s">
        <v>1018</v>
      </c>
      <c r="GA218" t="s">
        <v>402</v>
      </c>
    </row>
    <row r="219" spans="1:217" x14ac:dyDescent="0.25">
      <c r="A219" t="s">
        <v>4547</v>
      </c>
      <c r="B219" t="str">
        <f>"801542933401"</f>
        <v>801542933401</v>
      </c>
      <c r="C219" t="s">
        <v>4548</v>
      </c>
      <c r="D219" t="s">
        <v>3784</v>
      </c>
      <c r="E219" t="s">
        <v>988</v>
      </c>
      <c r="G219" t="str">
        <f>"36"</f>
        <v>36</v>
      </c>
      <c r="H219" t="str">
        <f t="shared" si="63"/>
        <v>19</v>
      </c>
      <c r="I219" t="str">
        <f>"49"</f>
        <v>49</v>
      </c>
      <c r="J219" t="str">
        <f>"147.71"</f>
        <v>147.71</v>
      </c>
      <c r="K219" t="s">
        <v>3861</v>
      </c>
      <c r="L219" t="s">
        <v>3862</v>
      </c>
      <c r="N219" t="s">
        <v>3787</v>
      </c>
      <c r="O219" t="s">
        <v>416</v>
      </c>
      <c r="T219" t="s">
        <v>373</v>
      </c>
      <c r="U219" t="s">
        <v>373</v>
      </c>
      <c r="V219" t="s">
        <v>4549</v>
      </c>
      <c r="W219" t="s">
        <v>4550</v>
      </c>
      <c r="X219" t="s">
        <v>4551</v>
      </c>
      <c r="Y219" t="s">
        <v>4552</v>
      </c>
      <c r="Z219" t="s">
        <v>4553</v>
      </c>
      <c r="AA219" t="s">
        <v>4554</v>
      </c>
      <c r="AB219" t="s">
        <v>4555</v>
      </c>
      <c r="AC219" t="s">
        <v>4556</v>
      </c>
      <c r="AD219" t="s">
        <v>4557</v>
      </c>
      <c r="AE219" t="s">
        <v>4558</v>
      </c>
      <c r="AF219" t="s">
        <v>4559</v>
      </c>
      <c r="AG219" t="s">
        <v>4560</v>
      </c>
      <c r="BA219" t="str">
        <f>"1899"</f>
        <v>1899</v>
      </c>
      <c r="BB219" t="str">
        <f>"800"</f>
        <v>800</v>
      </c>
      <c r="BC219" t="s">
        <v>1149</v>
      </c>
      <c r="BD219" t="str">
        <f t="shared" si="52"/>
        <v>1</v>
      </c>
      <c r="BE219" t="s">
        <v>389</v>
      </c>
      <c r="BF219" t="str">
        <f>"40.94"</f>
        <v>40.94</v>
      </c>
      <c r="BG219" t="str">
        <f>"23.62"</f>
        <v>23.62</v>
      </c>
      <c r="BH219" t="str">
        <f>"52.76"</f>
        <v>52.76</v>
      </c>
      <c r="BI219" t="str">
        <f>"167.55"</f>
        <v>167.55</v>
      </c>
      <c r="BY219" t="str">
        <f>"29.52"</f>
        <v>29.52</v>
      </c>
      <c r="BZ219" t="str">
        <f>"0.836"</f>
        <v>0.836</v>
      </c>
      <c r="CA219" t="s">
        <v>495</v>
      </c>
      <c r="CR219" t="s">
        <v>3806</v>
      </c>
      <c r="CS219">
        <v>5</v>
      </c>
      <c r="CT219" t="s">
        <v>1344</v>
      </c>
      <c r="CV219">
        <v>0</v>
      </c>
      <c r="CX219" t="s">
        <v>1018</v>
      </c>
      <c r="CY219" t="s">
        <v>1009</v>
      </c>
      <c r="DC219">
        <v>0</v>
      </c>
      <c r="DJ219" t="s">
        <v>1267</v>
      </c>
      <c r="DK219" t="s">
        <v>3807</v>
      </c>
      <c r="DM219" t="s">
        <v>473</v>
      </c>
      <c r="DX219" t="s">
        <v>4561</v>
      </c>
      <c r="EM219" t="s">
        <v>402</v>
      </c>
      <c r="EN219">
        <v>0</v>
      </c>
      <c r="FI219">
        <v>0</v>
      </c>
      <c r="FJ219" t="s">
        <v>1012</v>
      </c>
      <c r="FR219" t="s">
        <v>1612</v>
      </c>
      <c r="FT219" t="s">
        <v>575</v>
      </c>
      <c r="FV219" t="s">
        <v>1737</v>
      </c>
      <c r="FX219" t="s">
        <v>1008</v>
      </c>
      <c r="FZ219" t="s">
        <v>1018</v>
      </c>
      <c r="GA219" t="s">
        <v>402</v>
      </c>
    </row>
    <row r="220" spans="1:217" x14ac:dyDescent="0.25">
      <c r="A220" t="s">
        <v>4562</v>
      </c>
      <c r="B220" t="str">
        <f>"801542933418"</f>
        <v>801542933418</v>
      </c>
      <c r="C220" t="s">
        <v>4563</v>
      </c>
      <c r="D220" t="s">
        <v>3784</v>
      </c>
      <c r="E220" t="s">
        <v>988</v>
      </c>
      <c r="G220" t="str">
        <f>"36"</f>
        <v>36</v>
      </c>
      <c r="H220" t="str">
        <f t="shared" si="63"/>
        <v>19</v>
      </c>
      <c r="I220" t="str">
        <f>"49"</f>
        <v>49</v>
      </c>
      <c r="J220" t="str">
        <f>"147.71"</f>
        <v>147.71</v>
      </c>
      <c r="K220" t="s">
        <v>3886</v>
      </c>
      <c r="L220" t="s">
        <v>3786</v>
      </c>
      <c r="N220" t="s">
        <v>3787</v>
      </c>
      <c r="O220" t="s">
        <v>416</v>
      </c>
      <c r="T220" t="s">
        <v>373</v>
      </c>
      <c r="U220" t="s">
        <v>373</v>
      </c>
      <c r="V220" t="s">
        <v>4564</v>
      </c>
      <c r="W220" t="s">
        <v>4565</v>
      </c>
      <c r="X220" t="s">
        <v>4566</v>
      </c>
      <c r="Y220" t="s">
        <v>4567</v>
      </c>
      <c r="Z220" t="s">
        <v>4568</v>
      </c>
      <c r="AA220" t="s">
        <v>4569</v>
      </c>
      <c r="AB220" t="s">
        <v>4570</v>
      </c>
      <c r="AC220" t="s">
        <v>4571</v>
      </c>
      <c r="AD220" t="s">
        <v>4572</v>
      </c>
      <c r="AE220" t="s">
        <v>4573</v>
      </c>
      <c r="AF220" t="s">
        <v>4574</v>
      </c>
      <c r="AG220" t="s">
        <v>4575</v>
      </c>
      <c r="AH220" t="s">
        <v>4576</v>
      </c>
      <c r="AI220" t="s">
        <v>4577</v>
      </c>
      <c r="BA220" t="str">
        <f>"1899"</f>
        <v>1899</v>
      </c>
      <c r="BB220" t="str">
        <f>"800"</f>
        <v>800</v>
      </c>
      <c r="BC220" t="s">
        <v>1149</v>
      </c>
      <c r="BD220" t="str">
        <f t="shared" si="52"/>
        <v>1</v>
      </c>
      <c r="BE220" t="s">
        <v>389</v>
      </c>
      <c r="BF220" t="str">
        <f>"40.94"</f>
        <v>40.94</v>
      </c>
      <c r="BG220" t="str">
        <f>"23.62"</f>
        <v>23.62</v>
      </c>
      <c r="BH220" t="str">
        <f>"52.76"</f>
        <v>52.76</v>
      </c>
      <c r="BI220" t="str">
        <f>"167.55"</f>
        <v>167.55</v>
      </c>
      <c r="BY220" t="str">
        <f>"29.52"</f>
        <v>29.52</v>
      </c>
      <c r="BZ220" t="str">
        <f>"0.836"</f>
        <v>0.836</v>
      </c>
      <c r="CA220" t="s">
        <v>495</v>
      </c>
      <c r="CR220" t="s">
        <v>3806</v>
      </c>
      <c r="CS220">
        <v>5</v>
      </c>
      <c r="CT220" t="s">
        <v>1344</v>
      </c>
      <c r="CV220">
        <v>0</v>
      </c>
      <c r="CX220" t="s">
        <v>1018</v>
      </c>
      <c r="CY220" t="s">
        <v>1009</v>
      </c>
      <c r="DC220">
        <v>0</v>
      </c>
      <c r="DJ220" t="s">
        <v>1267</v>
      </c>
      <c r="DK220" t="s">
        <v>3807</v>
      </c>
      <c r="DM220" t="s">
        <v>473</v>
      </c>
      <c r="DX220" t="s">
        <v>4561</v>
      </c>
      <c r="EM220" t="s">
        <v>402</v>
      </c>
      <c r="EN220">
        <v>0</v>
      </c>
      <c r="FI220">
        <v>0</v>
      </c>
      <c r="FJ220" t="s">
        <v>1012</v>
      </c>
      <c r="FR220" t="s">
        <v>1612</v>
      </c>
      <c r="FT220" t="s">
        <v>575</v>
      </c>
      <c r="FV220" t="s">
        <v>1737</v>
      </c>
      <c r="FX220" t="s">
        <v>1008</v>
      </c>
      <c r="FZ220" t="s">
        <v>1018</v>
      </c>
      <c r="GA220" t="s">
        <v>402</v>
      </c>
    </row>
    <row r="221" spans="1:217" x14ac:dyDescent="0.25">
      <c r="A221" t="s">
        <v>4578</v>
      </c>
      <c r="B221" t="str">
        <f>"801542933425"</f>
        <v>801542933425</v>
      </c>
      <c r="C221" t="s">
        <v>4579</v>
      </c>
      <c r="D221" t="s">
        <v>3784</v>
      </c>
      <c r="E221" t="s">
        <v>988</v>
      </c>
      <c r="G221" t="str">
        <f>"36"</f>
        <v>36</v>
      </c>
      <c r="H221" t="str">
        <f t="shared" si="63"/>
        <v>19</v>
      </c>
      <c r="I221" t="str">
        <f>"49"</f>
        <v>49</v>
      </c>
      <c r="J221" t="str">
        <f>"147.71"</f>
        <v>147.71</v>
      </c>
      <c r="K221" t="s">
        <v>3785</v>
      </c>
      <c r="L221" t="s">
        <v>3786</v>
      </c>
      <c r="N221" t="s">
        <v>3787</v>
      </c>
      <c r="O221" t="s">
        <v>416</v>
      </c>
      <c r="T221" t="s">
        <v>373</v>
      </c>
      <c r="U221" t="s">
        <v>373</v>
      </c>
      <c r="V221" t="s">
        <v>4580</v>
      </c>
      <c r="W221" t="s">
        <v>4581</v>
      </c>
      <c r="X221" t="s">
        <v>4582</v>
      </c>
      <c r="Y221" t="s">
        <v>4583</v>
      </c>
      <c r="Z221" t="s">
        <v>4584</v>
      </c>
      <c r="AA221" t="s">
        <v>4585</v>
      </c>
      <c r="AB221" t="s">
        <v>4586</v>
      </c>
      <c r="AC221" t="s">
        <v>3796</v>
      </c>
      <c r="AD221" t="s">
        <v>4587</v>
      </c>
      <c r="AE221" t="s">
        <v>4588</v>
      </c>
      <c r="AF221" t="s">
        <v>4589</v>
      </c>
      <c r="AG221" t="s">
        <v>4590</v>
      </c>
      <c r="AH221" t="s">
        <v>4591</v>
      </c>
      <c r="AI221" t="s">
        <v>4592</v>
      </c>
      <c r="AJ221" t="s">
        <v>4593</v>
      </c>
      <c r="BA221" t="str">
        <f>"1899"</f>
        <v>1899</v>
      </c>
      <c r="BB221" t="str">
        <f>"800"</f>
        <v>800</v>
      </c>
      <c r="BC221" t="s">
        <v>1149</v>
      </c>
      <c r="BD221" t="str">
        <f t="shared" si="52"/>
        <v>1</v>
      </c>
      <c r="BE221" t="s">
        <v>389</v>
      </c>
      <c r="BF221" t="str">
        <f>"40.94"</f>
        <v>40.94</v>
      </c>
      <c r="BG221" t="str">
        <f>"23.62"</f>
        <v>23.62</v>
      </c>
      <c r="BH221" t="str">
        <f>"52.76"</f>
        <v>52.76</v>
      </c>
      <c r="BI221" t="str">
        <f>"167.55"</f>
        <v>167.55</v>
      </c>
      <c r="BY221" t="str">
        <f>"29.52"</f>
        <v>29.52</v>
      </c>
      <c r="BZ221" t="str">
        <f>"0.836"</f>
        <v>0.836</v>
      </c>
      <c r="CA221" t="s">
        <v>390</v>
      </c>
      <c r="CR221" t="s">
        <v>3806</v>
      </c>
      <c r="CS221">
        <v>5</v>
      </c>
      <c r="CT221" t="s">
        <v>1344</v>
      </c>
      <c r="CV221">
        <v>0</v>
      </c>
      <c r="CX221" t="s">
        <v>1018</v>
      </c>
      <c r="CY221" t="s">
        <v>1009</v>
      </c>
      <c r="DC221">
        <v>0</v>
      </c>
      <c r="DJ221" t="s">
        <v>1267</v>
      </c>
      <c r="DK221" t="s">
        <v>3807</v>
      </c>
      <c r="DM221" t="s">
        <v>473</v>
      </c>
      <c r="DX221" t="s">
        <v>4561</v>
      </c>
      <c r="EM221" t="s">
        <v>402</v>
      </c>
      <c r="EN221">
        <v>0</v>
      </c>
      <c r="FI221">
        <v>0</v>
      </c>
      <c r="FJ221" t="s">
        <v>1012</v>
      </c>
      <c r="FR221" t="s">
        <v>1612</v>
      </c>
      <c r="FT221" t="s">
        <v>575</v>
      </c>
      <c r="FV221" t="s">
        <v>1737</v>
      </c>
      <c r="FX221" t="s">
        <v>1008</v>
      </c>
      <c r="FZ221" t="s">
        <v>1018</v>
      </c>
      <c r="GA221" t="s">
        <v>402</v>
      </c>
    </row>
    <row r="222" spans="1:217" x14ac:dyDescent="0.25">
      <c r="A222" t="s">
        <v>4594</v>
      </c>
      <c r="B222" t="str">
        <f>"801542964320"</f>
        <v>801542964320</v>
      </c>
      <c r="C222" t="s">
        <v>4595</v>
      </c>
      <c r="D222" t="s">
        <v>4184</v>
      </c>
      <c r="E222" t="s">
        <v>1021</v>
      </c>
      <c r="G222" t="str">
        <f>"94.25"</f>
        <v>94.25</v>
      </c>
      <c r="H222" t="str">
        <f>"18"</f>
        <v>18</v>
      </c>
      <c r="I222" t="str">
        <f>"28"</f>
        <v>28</v>
      </c>
      <c r="J222" t="str">
        <f>"200.62"</f>
        <v>200.62</v>
      </c>
      <c r="K222" t="s">
        <v>4186</v>
      </c>
      <c r="L222" t="s">
        <v>4213</v>
      </c>
      <c r="N222" t="s">
        <v>416</v>
      </c>
      <c r="O222" t="s">
        <v>1970</v>
      </c>
      <c r="P222" t="s">
        <v>372</v>
      </c>
      <c r="T222" t="s">
        <v>402</v>
      </c>
      <c r="U222" t="s">
        <v>373</v>
      </c>
      <c r="W222" t="s">
        <v>4596</v>
      </c>
      <c r="X222" t="s">
        <v>4597</v>
      </c>
      <c r="Y222" t="s">
        <v>4598</v>
      </c>
      <c r="Z222" t="s">
        <v>4599</v>
      </c>
      <c r="AA222" t="s">
        <v>4600</v>
      </c>
      <c r="AB222" t="s">
        <v>4601</v>
      </c>
      <c r="AC222" t="s">
        <v>4602</v>
      </c>
      <c r="AD222" t="s">
        <v>4603</v>
      </c>
      <c r="AE222" t="s">
        <v>4604</v>
      </c>
      <c r="AF222" t="s">
        <v>4605</v>
      </c>
      <c r="AG222" t="s">
        <v>4606</v>
      </c>
      <c r="AH222" t="s">
        <v>4607</v>
      </c>
      <c r="AI222" t="s">
        <v>4608</v>
      </c>
      <c r="BA222" t="str">
        <f>"1999"</f>
        <v>1999</v>
      </c>
      <c r="BB222" t="str">
        <f>"840"</f>
        <v>840</v>
      </c>
      <c r="BC222" t="s">
        <v>665</v>
      </c>
      <c r="BD222" t="str">
        <f t="shared" si="52"/>
        <v>1</v>
      </c>
      <c r="BE222" t="s">
        <v>1266</v>
      </c>
      <c r="BF222" t="str">
        <f>"98.82"</f>
        <v>98.82</v>
      </c>
      <c r="BG222" t="str">
        <f>"22.64"</f>
        <v>22.64</v>
      </c>
      <c r="BH222" t="str">
        <f>"33.86"</f>
        <v>33.86</v>
      </c>
      <c r="BI222" t="str">
        <f>"262.35"</f>
        <v>262.35</v>
      </c>
      <c r="BY222" t="str">
        <f>"43.83"</f>
        <v>43.83</v>
      </c>
      <c r="BZ222" t="str">
        <f>"1.241"</f>
        <v>1.241</v>
      </c>
      <c r="CA222" t="s">
        <v>431</v>
      </c>
      <c r="CE222" t="s">
        <v>3808</v>
      </c>
      <c r="CF222" t="s">
        <v>4609</v>
      </c>
      <c r="CG222" t="s">
        <v>4610</v>
      </c>
      <c r="CQ222" t="s">
        <v>438</v>
      </c>
      <c r="CR222" t="s">
        <v>1007</v>
      </c>
      <c r="CS222">
        <v>3</v>
      </c>
      <c r="CT222" t="s">
        <v>400</v>
      </c>
      <c r="CV222">
        <v>0</v>
      </c>
      <c r="CX222" t="s">
        <v>953</v>
      </c>
      <c r="CY222" t="s">
        <v>954</v>
      </c>
      <c r="DA222">
        <v>18.14</v>
      </c>
      <c r="DB222">
        <v>40</v>
      </c>
      <c r="DC222">
        <v>2</v>
      </c>
      <c r="DD222">
        <v>0</v>
      </c>
      <c r="DK222" t="s">
        <v>4205</v>
      </c>
      <c r="DX222" t="s">
        <v>4611</v>
      </c>
      <c r="EN222">
        <v>2</v>
      </c>
      <c r="EZ222" t="s">
        <v>4612</v>
      </c>
      <c r="FA222" t="s">
        <v>956</v>
      </c>
      <c r="FB222" t="s">
        <v>4613</v>
      </c>
      <c r="FC222" t="s">
        <v>3808</v>
      </c>
      <c r="FD222" t="s">
        <v>4614</v>
      </c>
      <c r="FE222" t="s">
        <v>4610</v>
      </c>
      <c r="FG222" t="s">
        <v>402</v>
      </c>
      <c r="FI222">
        <v>4</v>
      </c>
      <c r="FJ222" t="s">
        <v>960</v>
      </c>
      <c r="FK222" t="s">
        <v>961</v>
      </c>
      <c r="FM222" t="s">
        <v>402</v>
      </c>
      <c r="FR222" t="s">
        <v>3967</v>
      </c>
      <c r="FS222" t="s">
        <v>3967</v>
      </c>
      <c r="FT222" t="s">
        <v>4615</v>
      </c>
      <c r="FU222" t="s">
        <v>4616</v>
      </c>
      <c r="FV222" t="s">
        <v>4617</v>
      </c>
      <c r="FW222" t="s">
        <v>4617</v>
      </c>
      <c r="GB222" t="s">
        <v>3808</v>
      </c>
      <c r="GC222" t="s">
        <v>4609</v>
      </c>
      <c r="GD222" t="s">
        <v>4610</v>
      </c>
      <c r="GE222">
        <v>0</v>
      </c>
      <c r="GX222" t="s">
        <v>392</v>
      </c>
      <c r="HI222" t="s">
        <v>402</v>
      </c>
    </row>
    <row r="223" spans="1:217" x14ac:dyDescent="0.25">
      <c r="A223" t="s">
        <v>4618</v>
      </c>
      <c r="B223" t="str">
        <f>"801542633585"</f>
        <v>801542633585</v>
      </c>
      <c r="C223" t="s">
        <v>4619</v>
      </c>
      <c r="D223" t="s">
        <v>4184</v>
      </c>
      <c r="E223" t="s">
        <v>988</v>
      </c>
      <c r="G223" t="str">
        <f>"36.5"</f>
        <v>36.5</v>
      </c>
      <c r="H223" t="str">
        <f>"19.5"</f>
        <v>19.5</v>
      </c>
      <c r="I223" t="str">
        <f>"49.25"</f>
        <v>49.25</v>
      </c>
      <c r="J223" t="str">
        <f>"170.86"</f>
        <v>170.86</v>
      </c>
      <c r="K223" t="s">
        <v>4185</v>
      </c>
      <c r="L223" t="s">
        <v>4186</v>
      </c>
      <c r="N223" t="s">
        <v>1970</v>
      </c>
      <c r="O223" t="s">
        <v>416</v>
      </c>
      <c r="T223" t="s">
        <v>373</v>
      </c>
      <c r="U223" t="s">
        <v>373</v>
      </c>
      <c r="V223" t="s">
        <v>4620</v>
      </c>
      <c r="W223" t="s">
        <v>4621</v>
      </c>
      <c r="X223" t="s">
        <v>4622</v>
      </c>
      <c r="Y223" t="s">
        <v>4623</v>
      </c>
      <c r="Z223" t="s">
        <v>4624</v>
      </c>
      <c r="AA223" t="s">
        <v>4625</v>
      </c>
      <c r="AB223" t="s">
        <v>4626</v>
      </c>
      <c r="AC223" t="s">
        <v>4627</v>
      </c>
      <c r="AD223" t="s">
        <v>4628</v>
      </c>
      <c r="AE223" t="s">
        <v>4629</v>
      </c>
      <c r="AF223" t="s">
        <v>4630</v>
      </c>
      <c r="AG223" t="s">
        <v>4631</v>
      </c>
      <c r="AH223" t="s">
        <v>4632</v>
      </c>
      <c r="AI223" t="s">
        <v>4633</v>
      </c>
      <c r="AJ223" t="s">
        <v>4634</v>
      </c>
      <c r="BA223" t="str">
        <f>"1499"</f>
        <v>1499</v>
      </c>
      <c r="BB223" t="str">
        <f>"630"</f>
        <v>630</v>
      </c>
      <c r="BC223" t="s">
        <v>665</v>
      </c>
      <c r="BD223" t="str">
        <f t="shared" si="52"/>
        <v>1</v>
      </c>
      <c r="BE223" t="s">
        <v>4204</v>
      </c>
      <c r="BF223" t="str">
        <f>"40.94"</f>
        <v>40.94</v>
      </c>
      <c r="BG223" t="str">
        <f>"22.64"</f>
        <v>22.64</v>
      </c>
      <c r="BH223" t="str">
        <f>"55.51"</f>
        <v>55.51</v>
      </c>
      <c r="BI223" t="str">
        <f>"208.33"</f>
        <v>208.33</v>
      </c>
      <c r="BY223" t="str">
        <f>"29.77"</f>
        <v>29.77</v>
      </c>
      <c r="BZ223" t="str">
        <f>"0.843"</f>
        <v>0.843</v>
      </c>
      <c r="CA223" t="s">
        <v>431</v>
      </c>
      <c r="CR223" t="s">
        <v>1007</v>
      </c>
      <c r="CS223">
        <v>6</v>
      </c>
      <c r="CT223" t="s">
        <v>400</v>
      </c>
      <c r="CV223">
        <v>0</v>
      </c>
      <c r="CX223" t="s">
        <v>953</v>
      </c>
      <c r="CY223" t="s">
        <v>1009</v>
      </c>
      <c r="DC223">
        <v>0</v>
      </c>
      <c r="DJ223" t="s">
        <v>1267</v>
      </c>
      <c r="DK223" t="s">
        <v>4205</v>
      </c>
      <c r="DM223" t="s">
        <v>473</v>
      </c>
      <c r="DX223" t="s">
        <v>607</v>
      </c>
      <c r="EM223" t="s">
        <v>402</v>
      </c>
      <c r="EN223">
        <v>0</v>
      </c>
      <c r="FI223">
        <v>0</v>
      </c>
      <c r="FJ223" t="s">
        <v>1012</v>
      </c>
      <c r="FR223" t="s">
        <v>4207</v>
      </c>
      <c r="FS223" t="s">
        <v>4207</v>
      </c>
      <c r="FT223" t="s">
        <v>1739</v>
      </c>
      <c r="FU223" t="s">
        <v>576</v>
      </c>
      <c r="FV223" t="s">
        <v>4635</v>
      </c>
      <c r="FW223" t="s">
        <v>1039</v>
      </c>
      <c r="FX223" t="s">
        <v>4210</v>
      </c>
      <c r="FZ223" t="s">
        <v>1018</v>
      </c>
    </row>
    <row r="224" spans="1:217" x14ac:dyDescent="0.25">
      <c r="A224" t="s">
        <v>4636</v>
      </c>
      <c r="B224" t="str">
        <f>"801542757144"</f>
        <v>801542757144</v>
      </c>
      <c r="C224" t="s">
        <v>4637</v>
      </c>
      <c r="D224" t="s">
        <v>4184</v>
      </c>
      <c r="E224" t="s">
        <v>988</v>
      </c>
      <c r="G224" t="str">
        <f>"36.5"</f>
        <v>36.5</v>
      </c>
      <c r="H224" t="str">
        <f>"19.5"</f>
        <v>19.5</v>
      </c>
      <c r="I224" t="str">
        <f>"49.25"</f>
        <v>49.25</v>
      </c>
      <c r="J224" t="str">
        <f>"170.86"</f>
        <v>170.86</v>
      </c>
      <c r="K224" t="s">
        <v>4213</v>
      </c>
      <c r="L224" t="s">
        <v>4186</v>
      </c>
      <c r="N224" t="s">
        <v>1970</v>
      </c>
      <c r="O224" t="s">
        <v>416</v>
      </c>
      <c r="T224" t="s">
        <v>373</v>
      </c>
      <c r="U224" t="s">
        <v>373</v>
      </c>
      <c r="V224" t="s">
        <v>4638</v>
      </c>
      <c r="W224" t="s">
        <v>4639</v>
      </c>
      <c r="X224" t="s">
        <v>4640</v>
      </c>
      <c r="Y224" t="s">
        <v>4641</v>
      </c>
      <c r="Z224" t="s">
        <v>4642</v>
      </c>
      <c r="AA224" t="s">
        <v>4643</v>
      </c>
      <c r="AB224" t="s">
        <v>4644</v>
      </c>
      <c r="AC224" t="s">
        <v>4645</v>
      </c>
      <c r="AD224" t="s">
        <v>4646</v>
      </c>
      <c r="AE224" t="s">
        <v>4647</v>
      </c>
      <c r="AF224" t="s">
        <v>4648</v>
      </c>
      <c r="AG224" t="s">
        <v>4649</v>
      </c>
      <c r="AH224" t="s">
        <v>4650</v>
      </c>
      <c r="BA224" t="str">
        <f>"1499"</f>
        <v>1499</v>
      </c>
      <c r="BB224" t="str">
        <f>"630"</f>
        <v>630</v>
      </c>
      <c r="BC224" t="s">
        <v>665</v>
      </c>
      <c r="BD224" t="str">
        <f t="shared" si="52"/>
        <v>1</v>
      </c>
      <c r="BE224" t="s">
        <v>4204</v>
      </c>
      <c r="BF224" t="str">
        <f>"40.94"</f>
        <v>40.94</v>
      </c>
      <c r="BG224" t="str">
        <f>"22.64"</f>
        <v>22.64</v>
      </c>
      <c r="BH224" t="str">
        <f>"55.51"</f>
        <v>55.51</v>
      </c>
      <c r="BI224" t="str">
        <f>"208.33"</f>
        <v>208.33</v>
      </c>
      <c r="BY224" t="str">
        <f>"29.77"</f>
        <v>29.77</v>
      </c>
      <c r="BZ224" t="str">
        <f>"0.843"</f>
        <v>0.843</v>
      </c>
      <c r="CA224" t="s">
        <v>431</v>
      </c>
      <c r="CR224" t="s">
        <v>1007</v>
      </c>
      <c r="CS224">
        <v>6</v>
      </c>
      <c r="CT224" t="s">
        <v>400</v>
      </c>
      <c r="CV224">
        <v>0</v>
      </c>
      <c r="CX224" t="s">
        <v>953</v>
      </c>
      <c r="CY224" t="s">
        <v>1009</v>
      </c>
      <c r="DC224">
        <v>0</v>
      </c>
      <c r="DJ224" t="s">
        <v>1267</v>
      </c>
      <c r="DK224" t="s">
        <v>4205</v>
      </c>
      <c r="DM224" t="s">
        <v>473</v>
      </c>
      <c r="DX224" t="s">
        <v>607</v>
      </c>
      <c r="EM224" t="s">
        <v>402</v>
      </c>
      <c r="EN224">
        <v>0</v>
      </c>
      <c r="FI224">
        <v>0</v>
      </c>
      <c r="FJ224" t="s">
        <v>1012</v>
      </c>
      <c r="FR224" t="s">
        <v>4207</v>
      </c>
      <c r="FS224" t="s">
        <v>4207</v>
      </c>
      <c r="FT224" t="s">
        <v>1739</v>
      </c>
      <c r="FU224" t="s">
        <v>576</v>
      </c>
      <c r="FV224" t="s">
        <v>4635</v>
      </c>
      <c r="FW224" t="s">
        <v>1039</v>
      </c>
      <c r="FX224" t="s">
        <v>4210</v>
      </c>
      <c r="FZ224" t="s">
        <v>1018</v>
      </c>
    </row>
    <row r="225" spans="1:272" x14ac:dyDescent="0.25">
      <c r="A225" t="s">
        <v>4651</v>
      </c>
      <c r="B225" t="str">
        <f>"801542627287"</f>
        <v>801542627287</v>
      </c>
      <c r="C225" t="s">
        <v>4652</v>
      </c>
      <c r="D225" t="s">
        <v>2106</v>
      </c>
      <c r="E225" t="s">
        <v>515</v>
      </c>
      <c r="F225" t="s">
        <v>516</v>
      </c>
      <c r="G225" t="str">
        <f>"33.75"</f>
        <v>33.75</v>
      </c>
      <c r="H225" t="str">
        <f>"34.25"</f>
        <v>34.25</v>
      </c>
      <c r="I225" t="str">
        <f>"31.5"</f>
        <v>31.5</v>
      </c>
      <c r="J225" t="str">
        <f>"68.34"</f>
        <v>68.34</v>
      </c>
      <c r="K225" t="s">
        <v>4653</v>
      </c>
      <c r="L225" t="s">
        <v>837</v>
      </c>
      <c r="M225" t="s">
        <v>4654</v>
      </c>
      <c r="N225" t="s">
        <v>416</v>
      </c>
      <c r="O225" t="s">
        <v>555</v>
      </c>
      <c r="P225" t="s">
        <v>775</v>
      </c>
      <c r="T225" t="s">
        <v>373</v>
      </c>
      <c r="U225" t="s">
        <v>373</v>
      </c>
      <c r="V225" t="s">
        <v>4655</v>
      </c>
      <c r="W225" t="s">
        <v>4656</v>
      </c>
      <c r="X225" t="s">
        <v>4657</v>
      </c>
      <c r="Y225" t="s">
        <v>4658</v>
      </c>
      <c r="Z225" t="s">
        <v>4659</v>
      </c>
      <c r="AA225" t="s">
        <v>4660</v>
      </c>
      <c r="AB225" t="s">
        <v>4661</v>
      </c>
      <c r="AC225" t="s">
        <v>4662</v>
      </c>
      <c r="AD225" t="s">
        <v>4663</v>
      </c>
      <c r="AE225" t="s">
        <v>4664</v>
      </c>
      <c r="AF225" t="s">
        <v>4665</v>
      </c>
      <c r="AG225" t="s">
        <v>4666</v>
      </c>
      <c r="AH225" t="s">
        <v>4667</v>
      </c>
      <c r="AI225" t="s">
        <v>4668</v>
      </c>
      <c r="BA225" t="str">
        <f>"2199"</f>
        <v>2199</v>
      </c>
      <c r="BB225" t="str">
        <f>"925"</f>
        <v>925</v>
      </c>
      <c r="BC225" t="s">
        <v>665</v>
      </c>
      <c r="BD225" t="str">
        <f t="shared" si="52"/>
        <v>1</v>
      </c>
      <c r="BE225" t="s">
        <v>4669</v>
      </c>
      <c r="BF225" t="str">
        <f>"37.8"</f>
        <v>37.8</v>
      </c>
      <c r="BG225" t="str">
        <f>"36.81"</f>
        <v>36.81</v>
      </c>
      <c r="BH225" t="str">
        <f>"35.24"</f>
        <v>35.24</v>
      </c>
      <c r="BI225" t="str">
        <f>"92.59"</f>
        <v>92.59</v>
      </c>
      <c r="BY225" t="str">
        <f>"28.36"</f>
        <v>28.36</v>
      </c>
      <c r="BZ225" t="str">
        <f>"0.803"</f>
        <v>0.803</v>
      </c>
      <c r="CA225" t="s">
        <v>495</v>
      </c>
      <c r="CK225" t="s">
        <v>4670</v>
      </c>
      <c r="CL225" t="s">
        <v>4671</v>
      </c>
      <c r="CM225" t="s">
        <v>2124</v>
      </c>
      <c r="CN225">
        <v>0</v>
      </c>
      <c r="CO225">
        <v>0</v>
      </c>
      <c r="CP225" t="s">
        <v>437</v>
      </c>
      <c r="CQ225" t="s">
        <v>438</v>
      </c>
      <c r="CX225" t="s">
        <v>403</v>
      </c>
      <c r="CY225" t="s">
        <v>400</v>
      </c>
      <c r="CZ225">
        <v>0</v>
      </c>
      <c r="DD225">
        <v>0</v>
      </c>
      <c r="DE225" t="s">
        <v>439</v>
      </c>
      <c r="DH225">
        <v>0</v>
      </c>
      <c r="DI225">
        <v>1</v>
      </c>
      <c r="DK225" t="s">
        <v>4672</v>
      </c>
      <c r="DL225">
        <v>0</v>
      </c>
      <c r="DM225" t="s">
        <v>538</v>
      </c>
      <c r="DN225" t="s">
        <v>3187</v>
      </c>
      <c r="DO225" t="s">
        <v>4673</v>
      </c>
      <c r="DP225" t="s">
        <v>3077</v>
      </c>
      <c r="DT225" t="s">
        <v>2072</v>
      </c>
      <c r="DX225" t="s">
        <v>4296</v>
      </c>
      <c r="DZ225" t="s">
        <v>4674</v>
      </c>
      <c r="EA225" t="s">
        <v>4303</v>
      </c>
      <c r="EG225" t="s">
        <v>1513</v>
      </c>
      <c r="EP225" t="s">
        <v>4675</v>
      </c>
      <c r="EQ225" t="s">
        <v>3058</v>
      </c>
      <c r="ER225">
        <v>0</v>
      </c>
      <c r="ES225">
        <v>0</v>
      </c>
      <c r="EU225">
        <v>0</v>
      </c>
    </row>
    <row r="226" spans="1:272" x14ac:dyDescent="0.25">
      <c r="A226" t="s">
        <v>4676</v>
      </c>
      <c r="B226" t="str">
        <f>"801542975357"</f>
        <v>801542975357</v>
      </c>
      <c r="C226" t="s">
        <v>4677</v>
      </c>
      <c r="D226" t="s">
        <v>2106</v>
      </c>
      <c r="E226" t="s">
        <v>515</v>
      </c>
      <c r="F226" t="s">
        <v>516</v>
      </c>
      <c r="G226" t="str">
        <f>"33.75"</f>
        <v>33.75</v>
      </c>
      <c r="H226" t="str">
        <f>"34.25"</f>
        <v>34.25</v>
      </c>
      <c r="I226" t="str">
        <f>"31.5"</f>
        <v>31.5</v>
      </c>
      <c r="J226" t="str">
        <f>"68.34"</f>
        <v>68.34</v>
      </c>
      <c r="K226" t="s">
        <v>1576</v>
      </c>
      <c r="L226" t="s">
        <v>837</v>
      </c>
      <c r="M226" t="s">
        <v>4654</v>
      </c>
      <c r="N226" t="s">
        <v>416</v>
      </c>
      <c r="O226" t="s">
        <v>555</v>
      </c>
      <c r="P226" t="s">
        <v>775</v>
      </c>
      <c r="T226" t="s">
        <v>373</v>
      </c>
      <c r="U226" t="s">
        <v>373</v>
      </c>
      <c r="V226" t="s">
        <v>4678</v>
      </c>
      <c r="W226" t="s">
        <v>4679</v>
      </c>
      <c r="X226" t="s">
        <v>4680</v>
      </c>
      <c r="Y226" t="s">
        <v>4681</v>
      </c>
      <c r="Z226" t="s">
        <v>4682</v>
      </c>
      <c r="AA226" t="s">
        <v>4683</v>
      </c>
      <c r="AB226" t="s">
        <v>4684</v>
      </c>
      <c r="AC226" t="s">
        <v>4685</v>
      </c>
      <c r="AD226" t="s">
        <v>4686</v>
      </c>
      <c r="AE226" t="s">
        <v>4687</v>
      </c>
      <c r="AF226" t="s">
        <v>4688</v>
      </c>
      <c r="AG226" t="s">
        <v>4689</v>
      </c>
      <c r="AH226" t="s">
        <v>4690</v>
      </c>
      <c r="AI226" t="s">
        <v>4691</v>
      </c>
      <c r="AJ226" t="s">
        <v>4692</v>
      </c>
      <c r="AK226" t="s">
        <v>4693</v>
      </c>
      <c r="BA226" t="str">
        <f>"2099"</f>
        <v>2099</v>
      </c>
      <c r="BB226" t="str">
        <f>"885"</f>
        <v>885</v>
      </c>
      <c r="BC226" t="s">
        <v>665</v>
      </c>
      <c r="BD226" t="str">
        <f t="shared" si="52"/>
        <v>1</v>
      </c>
      <c r="BE226" t="s">
        <v>4669</v>
      </c>
      <c r="BF226" t="str">
        <f>"37.8"</f>
        <v>37.8</v>
      </c>
      <c r="BG226" t="str">
        <f>"36.81"</f>
        <v>36.81</v>
      </c>
      <c r="BH226" t="str">
        <f>"35.24"</f>
        <v>35.24</v>
      </c>
      <c r="BI226" t="str">
        <f>"92.59"</f>
        <v>92.59</v>
      </c>
      <c r="BY226" t="str">
        <f>"28.36"</f>
        <v>28.36</v>
      </c>
      <c r="BZ226" t="str">
        <f>"0.803"</f>
        <v>0.803</v>
      </c>
      <c r="CA226" t="s">
        <v>390</v>
      </c>
      <c r="CK226" t="s">
        <v>4670</v>
      </c>
      <c r="CL226" t="s">
        <v>4671</v>
      </c>
      <c r="CM226" t="s">
        <v>2124</v>
      </c>
      <c r="CN226">
        <v>0</v>
      </c>
      <c r="CO226">
        <v>0</v>
      </c>
      <c r="CP226" t="s">
        <v>437</v>
      </c>
      <c r="CQ226" t="s">
        <v>438</v>
      </c>
      <c r="CX226" t="s">
        <v>403</v>
      </c>
      <c r="CY226" t="s">
        <v>400</v>
      </c>
      <c r="CZ226">
        <v>0</v>
      </c>
      <c r="DD226">
        <v>0</v>
      </c>
      <c r="DE226" t="s">
        <v>439</v>
      </c>
      <c r="DH226">
        <v>0</v>
      </c>
      <c r="DI226">
        <v>1</v>
      </c>
      <c r="DK226" t="s">
        <v>4672</v>
      </c>
      <c r="DL226">
        <v>0</v>
      </c>
      <c r="DM226" t="s">
        <v>538</v>
      </c>
      <c r="DN226" t="s">
        <v>3187</v>
      </c>
      <c r="DO226" t="s">
        <v>4673</v>
      </c>
      <c r="DP226" t="s">
        <v>3077</v>
      </c>
      <c r="DT226" t="s">
        <v>2072</v>
      </c>
      <c r="DX226" t="s">
        <v>4296</v>
      </c>
      <c r="DZ226" t="s">
        <v>4674</v>
      </c>
      <c r="EA226" t="s">
        <v>4303</v>
      </c>
      <c r="EG226" t="s">
        <v>1513</v>
      </c>
      <c r="EP226" t="s">
        <v>4675</v>
      </c>
      <c r="EQ226" t="s">
        <v>3058</v>
      </c>
      <c r="ER226">
        <v>0</v>
      </c>
      <c r="ES226">
        <v>0</v>
      </c>
      <c r="EU226">
        <v>0</v>
      </c>
    </row>
    <row r="227" spans="1:272" x14ac:dyDescent="0.25">
      <c r="A227" t="s">
        <v>4694</v>
      </c>
      <c r="B227" t="str">
        <f>"801542577865"</f>
        <v>801542577865</v>
      </c>
      <c r="C227" t="s">
        <v>4695</v>
      </c>
      <c r="D227" t="s">
        <v>769</v>
      </c>
      <c r="E227" t="s">
        <v>515</v>
      </c>
      <c r="F227" t="s">
        <v>516</v>
      </c>
      <c r="G227" t="str">
        <f>"28.5"</f>
        <v>28.5</v>
      </c>
      <c r="H227" t="str">
        <f t="shared" ref="H227:H232" si="64">"33"</f>
        <v>33</v>
      </c>
      <c r="I227" t="str">
        <f>"29.5"</f>
        <v>29.5</v>
      </c>
      <c r="J227" t="str">
        <f>"54.01"</f>
        <v>54.01</v>
      </c>
      <c r="K227" t="s">
        <v>4696</v>
      </c>
      <c r="L227" t="s">
        <v>585</v>
      </c>
      <c r="N227" t="s">
        <v>416</v>
      </c>
      <c r="O227" t="s">
        <v>775</v>
      </c>
      <c r="T227" t="s">
        <v>373</v>
      </c>
      <c r="U227" t="s">
        <v>373</v>
      </c>
      <c r="V227" t="s">
        <v>4697</v>
      </c>
      <c r="W227" t="s">
        <v>4698</v>
      </c>
      <c r="X227" t="s">
        <v>4699</v>
      </c>
      <c r="Y227" t="s">
        <v>4700</v>
      </c>
      <c r="Z227" t="s">
        <v>4701</v>
      </c>
      <c r="AA227" t="s">
        <v>4702</v>
      </c>
      <c r="AB227" t="s">
        <v>4703</v>
      </c>
      <c r="AC227" t="s">
        <v>4704</v>
      </c>
      <c r="AD227" t="s">
        <v>4705</v>
      </c>
      <c r="AE227" t="s">
        <v>4706</v>
      </c>
      <c r="AF227" t="s">
        <v>4707</v>
      </c>
      <c r="AG227" t="s">
        <v>4708</v>
      </c>
      <c r="AH227" t="s">
        <v>4709</v>
      </c>
      <c r="AI227" t="s">
        <v>4710</v>
      </c>
      <c r="BA227" t="str">
        <f>"2099"</f>
        <v>2099</v>
      </c>
      <c r="BB227" t="str">
        <f>"885"</f>
        <v>885</v>
      </c>
      <c r="BC227" t="s">
        <v>388</v>
      </c>
      <c r="BD227" t="str">
        <f t="shared" si="52"/>
        <v>1</v>
      </c>
      <c r="BE227" t="s">
        <v>389</v>
      </c>
      <c r="BF227" t="str">
        <f>"32.68"</f>
        <v>32.68</v>
      </c>
      <c r="BG227" t="str">
        <f>"29.33"</f>
        <v>29.33</v>
      </c>
      <c r="BH227" t="str">
        <f>"26.18"</f>
        <v>26.18</v>
      </c>
      <c r="BI227" t="str">
        <f>"64.37"</f>
        <v>64.37</v>
      </c>
      <c r="BY227" t="str">
        <f>"14.51"</f>
        <v>14.51</v>
      </c>
      <c r="BZ227" t="str">
        <f>"0.411"</f>
        <v>0.411</v>
      </c>
      <c r="CA227" t="s">
        <v>495</v>
      </c>
      <c r="CH227" t="s">
        <v>634</v>
      </c>
      <c r="CI227" t="s">
        <v>446</v>
      </c>
      <c r="CJ227" t="s">
        <v>601</v>
      </c>
      <c r="CK227" t="s">
        <v>1151</v>
      </c>
      <c r="CL227" t="s">
        <v>791</v>
      </c>
      <c r="CM227" t="s">
        <v>435</v>
      </c>
      <c r="CN227">
        <v>0</v>
      </c>
      <c r="CO227">
        <v>1</v>
      </c>
      <c r="CP227" t="s">
        <v>437</v>
      </c>
      <c r="CQ227" t="s">
        <v>438</v>
      </c>
      <c r="CU227" t="s">
        <v>824</v>
      </c>
      <c r="CX227" t="s">
        <v>403</v>
      </c>
      <c r="CY227" t="s">
        <v>1753</v>
      </c>
      <c r="CZ227">
        <v>0</v>
      </c>
      <c r="DD227">
        <v>0</v>
      </c>
      <c r="DE227" t="s">
        <v>439</v>
      </c>
      <c r="DF227" t="s">
        <v>406</v>
      </c>
      <c r="DG227" t="s">
        <v>407</v>
      </c>
      <c r="DH227">
        <v>1</v>
      </c>
      <c r="DI227">
        <v>1</v>
      </c>
      <c r="DK227" t="s">
        <v>4711</v>
      </c>
      <c r="DL227">
        <v>0</v>
      </c>
      <c r="DM227" t="s">
        <v>538</v>
      </c>
      <c r="DN227" t="s">
        <v>638</v>
      </c>
      <c r="DO227" t="s">
        <v>450</v>
      </c>
      <c r="DP227" t="s">
        <v>609</v>
      </c>
      <c r="DT227" t="s">
        <v>1156</v>
      </c>
      <c r="DU227" t="s">
        <v>446</v>
      </c>
      <c r="DV227" t="s">
        <v>979</v>
      </c>
      <c r="DW227" t="s">
        <v>1151</v>
      </c>
      <c r="DX227" t="s">
        <v>450</v>
      </c>
      <c r="DY227" t="s">
        <v>474</v>
      </c>
      <c r="DZ227" t="s">
        <v>474</v>
      </c>
      <c r="EA227" t="s">
        <v>979</v>
      </c>
      <c r="ED227" t="s">
        <v>406</v>
      </c>
      <c r="EE227" t="s">
        <v>454</v>
      </c>
      <c r="EF227" t="s">
        <v>1555</v>
      </c>
      <c r="EG227" t="s">
        <v>641</v>
      </c>
      <c r="EP227" t="s">
        <v>435</v>
      </c>
      <c r="EQ227" t="s">
        <v>1151</v>
      </c>
      <c r="ER227">
        <v>0</v>
      </c>
      <c r="ES227">
        <v>0</v>
      </c>
      <c r="ET227" t="s">
        <v>832</v>
      </c>
      <c r="EU227">
        <v>0</v>
      </c>
      <c r="HM227" t="s">
        <v>1754</v>
      </c>
    </row>
    <row r="228" spans="1:272" x14ac:dyDescent="0.25">
      <c r="A228" t="s">
        <v>4712</v>
      </c>
      <c r="B228" t="str">
        <f>"801542710286"</f>
        <v>801542710286</v>
      </c>
      <c r="C228" t="s">
        <v>4713</v>
      </c>
      <c r="D228" t="s">
        <v>4714</v>
      </c>
      <c r="E228" t="s">
        <v>515</v>
      </c>
      <c r="F228" t="s">
        <v>516</v>
      </c>
      <c r="G228" t="str">
        <f>"38"</f>
        <v>38</v>
      </c>
      <c r="H228" t="str">
        <f t="shared" si="64"/>
        <v>33</v>
      </c>
      <c r="I228" t="str">
        <f>"28"</f>
        <v>28</v>
      </c>
      <c r="J228" t="str">
        <f>"58.2"</f>
        <v>58.2</v>
      </c>
      <c r="K228" t="s">
        <v>836</v>
      </c>
      <c r="L228" t="s">
        <v>585</v>
      </c>
      <c r="N228" t="s">
        <v>839</v>
      </c>
      <c r="O228" t="s">
        <v>840</v>
      </c>
      <c r="P228" t="s">
        <v>775</v>
      </c>
      <c r="T228" t="s">
        <v>402</v>
      </c>
      <c r="U228" t="s">
        <v>402</v>
      </c>
      <c r="V228" t="s">
        <v>4715</v>
      </c>
      <c r="W228" t="s">
        <v>4716</v>
      </c>
      <c r="X228" t="s">
        <v>4717</v>
      </c>
      <c r="Y228" t="s">
        <v>4718</v>
      </c>
      <c r="Z228" t="s">
        <v>4719</v>
      </c>
      <c r="AA228" t="s">
        <v>4720</v>
      </c>
      <c r="AB228" t="s">
        <v>4721</v>
      </c>
      <c r="AC228" t="s">
        <v>4722</v>
      </c>
      <c r="AD228" t="s">
        <v>4723</v>
      </c>
      <c r="AE228" t="s">
        <v>4724</v>
      </c>
      <c r="AF228" t="s">
        <v>4725</v>
      </c>
      <c r="AG228" t="s">
        <v>4726</v>
      </c>
      <c r="AH228" t="s">
        <v>4727</v>
      </c>
      <c r="AI228" t="s">
        <v>4728</v>
      </c>
      <c r="BA228" t="str">
        <f>"1149"</f>
        <v>1149</v>
      </c>
      <c r="BB228" t="str">
        <f>"485"</f>
        <v>485</v>
      </c>
      <c r="BC228" t="s">
        <v>388</v>
      </c>
      <c r="BD228" t="str">
        <f t="shared" si="52"/>
        <v>1</v>
      </c>
      <c r="BE228" t="s">
        <v>389</v>
      </c>
      <c r="BF228" t="str">
        <f>"33.86"</f>
        <v>33.86</v>
      </c>
      <c r="BG228" t="str">
        <f>"38.58"</f>
        <v>38.58</v>
      </c>
      <c r="BH228" t="str">
        <f>"29.13"</f>
        <v>29.13</v>
      </c>
      <c r="BI228" t="str">
        <f>"77.16"</f>
        <v>77.16</v>
      </c>
      <c r="BY228" t="str">
        <f>"22.04"</f>
        <v>22.04</v>
      </c>
      <c r="BZ228" t="str">
        <f>"0.624"</f>
        <v>0.624</v>
      </c>
      <c r="CA228" t="s">
        <v>431</v>
      </c>
      <c r="CH228" t="s">
        <v>1510</v>
      </c>
      <c r="CI228" t="s">
        <v>450</v>
      </c>
      <c r="CJ228" t="s">
        <v>602</v>
      </c>
      <c r="CK228" t="s">
        <v>601</v>
      </c>
      <c r="CL228" t="s">
        <v>449</v>
      </c>
      <c r="CN228">
        <v>0</v>
      </c>
      <c r="CO228">
        <v>1</v>
      </c>
      <c r="CP228" t="s">
        <v>437</v>
      </c>
      <c r="CQ228" t="s">
        <v>631</v>
      </c>
      <c r="CU228" t="s">
        <v>4729</v>
      </c>
      <c r="CX228" t="s">
        <v>403</v>
      </c>
      <c r="CY228" t="s">
        <v>400</v>
      </c>
      <c r="CZ228">
        <v>0</v>
      </c>
      <c r="DD228">
        <v>25000</v>
      </c>
      <c r="DE228" t="s">
        <v>570</v>
      </c>
      <c r="DF228" t="s">
        <v>406</v>
      </c>
      <c r="DG228" t="s">
        <v>407</v>
      </c>
      <c r="DH228">
        <v>1</v>
      </c>
      <c r="DI228">
        <v>1</v>
      </c>
      <c r="DK228" t="s">
        <v>4730</v>
      </c>
      <c r="DL228">
        <v>0</v>
      </c>
      <c r="DM228" t="s">
        <v>538</v>
      </c>
      <c r="DN228" t="s">
        <v>2078</v>
      </c>
      <c r="DO228" t="s">
        <v>1489</v>
      </c>
      <c r="DP228" t="s">
        <v>600</v>
      </c>
      <c r="DT228" t="s">
        <v>1037</v>
      </c>
      <c r="DX228" t="s">
        <v>1852</v>
      </c>
      <c r="DY228" t="s">
        <v>2078</v>
      </c>
      <c r="DZ228" t="s">
        <v>451</v>
      </c>
      <c r="EA228" t="s">
        <v>613</v>
      </c>
      <c r="ED228" t="s">
        <v>632</v>
      </c>
      <c r="EG228" t="s">
        <v>1556</v>
      </c>
      <c r="EP228" t="s">
        <v>474</v>
      </c>
      <c r="EQ228" t="s">
        <v>1554</v>
      </c>
      <c r="ER228">
        <v>0</v>
      </c>
      <c r="ES228">
        <v>0</v>
      </c>
      <c r="EU228">
        <v>0</v>
      </c>
    </row>
    <row r="229" spans="1:272" x14ac:dyDescent="0.25">
      <c r="A229" t="s">
        <v>4731</v>
      </c>
      <c r="B229" t="str">
        <f>"801542710279"</f>
        <v>801542710279</v>
      </c>
      <c r="C229" t="s">
        <v>4732</v>
      </c>
      <c r="D229" t="s">
        <v>4714</v>
      </c>
      <c r="E229" t="s">
        <v>515</v>
      </c>
      <c r="F229" t="s">
        <v>516</v>
      </c>
      <c r="G229" t="str">
        <f>"38"</f>
        <v>38</v>
      </c>
      <c r="H229" t="str">
        <f t="shared" si="64"/>
        <v>33</v>
      </c>
      <c r="I229" t="str">
        <f>"28"</f>
        <v>28</v>
      </c>
      <c r="J229" t="str">
        <f>"58.2"</f>
        <v>58.2</v>
      </c>
      <c r="K229" t="s">
        <v>4733</v>
      </c>
      <c r="L229" t="s">
        <v>585</v>
      </c>
      <c r="N229" t="s">
        <v>371</v>
      </c>
      <c r="O229" t="s">
        <v>775</v>
      </c>
      <c r="T229" t="s">
        <v>373</v>
      </c>
      <c r="U229" t="s">
        <v>402</v>
      </c>
      <c r="V229" t="s">
        <v>4734</v>
      </c>
      <c r="W229" t="s">
        <v>4735</v>
      </c>
      <c r="X229" t="s">
        <v>4736</v>
      </c>
      <c r="Y229" t="s">
        <v>4737</v>
      </c>
      <c r="Z229" t="s">
        <v>4738</v>
      </c>
      <c r="AA229" t="s">
        <v>4739</v>
      </c>
      <c r="AB229" t="s">
        <v>4740</v>
      </c>
      <c r="AC229" t="s">
        <v>4741</v>
      </c>
      <c r="AD229" t="s">
        <v>4742</v>
      </c>
      <c r="AE229" t="s">
        <v>4743</v>
      </c>
      <c r="AF229" t="s">
        <v>4744</v>
      </c>
      <c r="BA229" t="str">
        <f>"1149"</f>
        <v>1149</v>
      </c>
      <c r="BB229" t="str">
        <f>"485"</f>
        <v>485</v>
      </c>
      <c r="BC229" t="s">
        <v>388</v>
      </c>
      <c r="BD229" t="str">
        <f t="shared" si="52"/>
        <v>1</v>
      </c>
      <c r="BE229" t="s">
        <v>389</v>
      </c>
      <c r="BF229" t="str">
        <f>"38.58"</f>
        <v>38.58</v>
      </c>
      <c r="BG229" t="str">
        <f>"33.86"</f>
        <v>33.86</v>
      </c>
      <c r="BH229" t="str">
        <f>"29.13"</f>
        <v>29.13</v>
      </c>
      <c r="BI229" t="str">
        <f>"77.16"</f>
        <v>77.16</v>
      </c>
      <c r="BY229" t="str">
        <f>"22.04"</f>
        <v>22.04</v>
      </c>
      <c r="BZ229" t="str">
        <f>"0.624"</f>
        <v>0.624</v>
      </c>
      <c r="CA229" t="s">
        <v>495</v>
      </c>
      <c r="CH229" t="s">
        <v>1510</v>
      </c>
      <c r="CI229" t="s">
        <v>450</v>
      </c>
      <c r="CJ229" t="s">
        <v>602</v>
      </c>
      <c r="CK229" t="s">
        <v>601</v>
      </c>
      <c r="CL229" t="s">
        <v>449</v>
      </c>
      <c r="CN229">
        <v>0</v>
      </c>
      <c r="CO229">
        <v>1</v>
      </c>
      <c r="CP229" t="s">
        <v>437</v>
      </c>
      <c r="CQ229" t="s">
        <v>631</v>
      </c>
      <c r="CU229" t="s">
        <v>4729</v>
      </c>
      <c r="CX229" t="s">
        <v>403</v>
      </c>
      <c r="CY229" t="s">
        <v>400</v>
      </c>
      <c r="CZ229">
        <v>0</v>
      </c>
      <c r="DD229">
        <v>25000</v>
      </c>
      <c r="DE229" t="s">
        <v>570</v>
      </c>
      <c r="DF229" t="s">
        <v>406</v>
      </c>
      <c r="DG229" t="s">
        <v>407</v>
      </c>
      <c r="DH229">
        <v>1</v>
      </c>
      <c r="DI229">
        <v>1</v>
      </c>
      <c r="DK229" t="s">
        <v>4730</v>
      </c>
      <c r="DL229">
        <v>0</v>
      </c>
      <c r="DM229" t="s">
        <v>538</v>
      </c>
      <c r="DN229" t="s">
        <v>2078</v>
      </c>
      <c r="DO229" t="s">
        <v>1489</v>
      </c>
      <c r="DP229" t="s">
        <v>600</v>
      </c>
      <c r="DT229" t="s">
        <v>1037</v>
      </c>
      <c r="DX229" t="s">
        <v>1852</v>
      </c>
      <c r="DY229" t="s">
        <v>2078</v>
      </c>
      <c r="DZ229" t="s">
        <v>451</v>
      </c>
      <c r="EA229" t="s">
        <v>613</v>
      </c>
      <c r="ED229" t="s">
        <v>632</v>
      </c>
      <c r="EG229" t="s">
        <v>1556</v>
      </c>
      <c r="EP229" t="s">
        <v>474</v>
      </c>
      <c r="EQ229" t="s">
        <v>1554</v>
      </c>
      <c r="ER229">
        <v>0</v>
      </c>
      <c r="ES229">
        <v>0</v>
      </c>
      <c r="EU229">
        <v>0</v>
      </c>
    </row>
    <row r="230" spans="1:272" x14ac:dyDescent="0.25">
      <c r="A230" t="s">
        <v>4745</v>
      </c>
      <c r="B230" t="str">
        <f>"801542030278"</f>
        <v>801542030278</v>
      </c>
      <c r="C230" t="s">
        <v>4746</v>
      </c>
      <c r="D230" t="s">
        <v>4714</v>
      </c>
      <c r="E230" t="s">
        <v>515</v>
      </c>
      <c r="F230" t="s">
        <v>516</v>
      </c>
      <c r="G230" t="str">
        <f>"38"</f>
        <v>38</v>
      </c>
      <c r="H230" t="str">
        <f t="shared" si="64"/>
        <v>33</v>
      </c>
      <c r="I230" t="str">
        <f>"28"</f>
        <v>28</v>
      </c>
      <c r="J230" t="str">
        <f>"58.2"</f>
        <v>58.2</v>
      </c>
      <c r="K230" t="s">
        <v>4747</v>
      </c>
      <c r="L230" t="s">
        <v>4748</v>
      </c>
      <c r="N230" t="s">
        <v>416</v>
      </c>
      <c r="O230" t="s">
        <v>519</v>
      </c>
      <c r="T230" t="s">
        <v>373</v>
      </c>
      <c r="U230" t="s">
        <v>373</v>
      </c>
      <c r="V230" t="s">
        <v>4749</v>
      </c>
      <c r="W230" t="s">
        <v>4750</v>
      </c>
      <c r="X230" t="s">
        <v>4751</v>
      </c>
      <c r="Y230" t="s">
        <v>4752</v>
      </c>
      <c r="Z230" t="s">
        <v>4753</v>
      </c>
      <c r="AA230" t="s">
        <v>4754</v>
      </c>
      <c r="AB230" t="s">
        <v>4755</v>
      </c>
      <c r="AC230" t="s">
        <v>4756</v>
      </c>
      <c r="AD230" t="s">
        <v>4757</v>
      </c>
      <c r="AE230" t="s">
        <v>4758</v>
      </c>
      <c r="AF230" t="s">
        <v>4759</v>
      </c>
      <c r="AG230" t="s">
        <v>4760</v>
      </c>
      <c r="BA230" t="str">
        <f>"2099"</f>
        <v>2099</v>
      </c>
      <c r="BB230" t="str">
        <f>"885"</f>
        <v>885</v>
      </c>
      <c r="BC230" t="s">
        <v>388</v>
      </c>
      <c r="BD230" t="str">
        <f t="shared" si="52"/>
        <v>1</v>
      </c>
      <c r="BE230" t="s">
        <v>389</v>
      </c>
      <c r="BF230" t="str">
        <f>"38.58"</f>
        <v>38.58</v>
      </c>
      <c r="BG230" t="str">
        <f>"33.86"</f>
        <v>33.86</v>
      </c>
      <c r="BH230" t="str">
        <f>"29.13"</f>
        <v>29.13</v>
      </c>
      <c r="BI230" t="str">
        <f>"77.16"</f>
        <v>77.16</v>
      </c>
      <c r="BY230" t="str">
        <f>"22.04"</f>
        <v>22.04</v>
      </c>
      <c r="BZ230" t="str">
        <f>"0.624"</f>
        <v>0.624</v>
      </c>
      <c r="CA230" t="s">
        <v>390</v>
      </c>
      <c r="CH230" t="s">
        <v>1510</v>
      </c>
      <c r="CI230" t="s">
        <v>450</v>
      </c>
      <c r="CJ230" t="s">
        <v>602</v>
      </c>
      <c r="CK230" t="s">
        <v>601</v>
      </c>
      <c r="CL230" t="s">
        <v>449</v>
      </c>
      <c r="CN230">
        <v>0</v>
      </c>
      <c r="CO230">
        <v>1</v>
      </c>
      <c r="CP230" t="s">
        <v>437</v>
      </c>
      <c r="CQ230" t="s">
        <v>438</v>
      </c>
      <c r="CU230" t="s">
        <v>4729</v>
      </c>
      <c r="CX230" t="s">
        <v>403</v>
      </c>
      <c r="CY230" t="s">
        <v>400</v>
      </c>
      <c r="CZ230">
        <v>0</v>
      </c>
      <c r="DD230">
        <v>0</v>
      </c>
      <c r="DE230" t="s">
        <v>570</v>
      </c>
      <c r="DF230" t="s">
        <v>406</v>
      </c>
      <c r="DG230" t="s">
        <v>407</v>
      </c>
      <c r="DH230">
        <v>1</v>
      </c>
      <c r="DI230">
        <v>1</v>
      </c>
      <c r="DK230" t="s">
        <v>4730</v>
      </c>
      <c r="DL230">
        <v>0</v>
      </c>
      <c r="DM230" t="s">
        <v>538</v>
      </c>
      <c r="DN230" t="s">
        <v>2078</v>
      </c>
      <c r="DO230" t="s">
        <v>1489</v>
      </c>
      <c r="DP230" t="s">
        <v>600</v>
      </c>
      <c r="DT230" t="s">
        <v>1037</v>
      </c>
      <c r="DX230" t="s">
        <v>1852</v>
      </c>
      <c r="DY230" t="s">
        <v>2078</v>
      </c>
      <c r="DZ230" t="s">
        <v>451</v>
      </c>
      <c r="EA230" t="s">
        <v>613</v>
      </c>
      <c r="ED230" t="s">
        <v>632</v>
      </c>
      <c r="EG230" t="s">
        <v>1556</v>
      </c>
      <c r="EP230" t="s">
        <v>474</v>
      </c>
      <c r="EQ230" t="s">
        <v>1554</v>
      </c>
      <c r="ER230">
        <v>0</v>
      </c>
      <c r="ES230">
        <v>0</v>
      </c>
      <c r="EU230">
        <v>0</v>
      </c>
    </row>
    <row r="231" spans="1:272" x14ac:dyDescent="0.25">
      <c r="A231" t="s">
        <v>4761</v>
      </c>
      <c r="B231" t="str">
        <f>"801542035402"</f>
        <v>801542035402</v>
      </c>
      <c r="C231" t="s">
        <v>4762</v>
      </c>
      <c r="D231" t="s">
        <v>4714</v>
      </c>
      <c r="E231" t="s">
        <v>515</v>
      </c>
      <c r="F231" t="s">
        <v>516</v>
      </c>
      <c r="G231" t="str">
        <f>"38"</f>
        <v>38</v>
      </c>
      <c r="H231" t="str">
        <f t="shared" si="64"/>
        <v>33</v>
      </c>
      <c r="I231" t="str">
        <f>"28"</f>
        <v>28</v>
      </c>
      <c r="J231" t="str">
        <f>"58.2"</f>
        <v>58.2</v>
      </c>
      <c r="K231" t="s">
        <v>4763</v>
      </c>
      <c r="L231" t="s">
        <v>585</v>
      </c>
      <c r="N231" t="s">
        <v>371</v>
      </c>
      <c r="O231" t="s">
        <v>775</v>
      </c>
      <c r="T231" t="s">
        <v>402</v>
      </c>
      <c r="U231" t="s">
        <v>373</v>
      </c>
      <c r="V231" t="s">
        <v>4764</v>
      </c>
      <c r="W231" t="s">
        <v>4765</v>
      </c>
      <c r="X231" t="s">
        <v>4766</v>
      </c>
      <c r="Y231" t="s">
        <v>4767</v>
      </c>
      <c r="Z231" t="s">
        <v>4768</v>
      </c>
      <c r="AA231" t="s">
        <v>4769</v>
      </c>
      <c r="AB231" t="s">
        <v>4770</v>
      </c>
      <c r="AC231" t="s">
        <v>4771</v>
      </c>
      <c r="AD231" t="s">
        <v>4772</v>
      </c>
      <c r="AE231" t="s">
        <v>4773</v>
      </c>
      <c r="AF231" t="s">
        <v>4774</v>
      </c>
      <c r="BA231" t="str">
        <f>"1149"</f>
        <v>1149</v>
      </c>
      <c r="BB231" t="str">
        <f>"485"</f>
        <v>485</v>
      </c>
      <c r="BC231" t="s">
        <v>388</v>
      </c>
      <c r="BD231" t="str">
        <f t="shared" si="52"/>
        <v>1</v>
      </c>
      <c r="BE231" t="s">
        <v>389</v>
      </c>
      <c r="BF231" t="str">
        <f>"38.58"</f>
        <v>38.58</v>
      </c>
      <c r="BG231" t="str">
        <f>"33.86"</f>
        <v>33.86</v>
      </c>
      <c r="BH231" t="str">
        <f>"29.13"</f>
        <v>29.13</v>
      </c>
      <c r="BI231" t="str">
        <f>"77.16"</f>
        <v>77.16</v>
      </c>
      <c r="BY231" t="str">
        <f>"22.04"</f>
        <v>22.04</v>
      </c>
      <c r="BZ231" t="str">
        <f>"0.624"</f>
        <v>0.624</v>
      </c>
      <c r="CA231" t="s">
        <v>431</v>
      </c>
      <c r="CH231" t="s">
        <v>1510</v>
      </c>
      <c r="CI231" t="s">
        <v>450</v>
      </c>
      <c r="CJ231" t="s">
        <v>602</v>
      </c>
      <c r="CK231" t="s">
        <v>601</v>
      </c>
      <c r="CL231" t="s">
        <v>449</v>
      </c>
      <c r="CN231">
        <v>0</v>
      </c>
      <c r="CO231">
        <v>1</v>
      </c>
      <c r="CP231" t="s">
        <v>437</v>
      </c>
      <c r="CQ231" t="s">
        <v>399</v>
      </c>
      <c r="CU231" t="s">
        <v>4729</v>
      </c>
      <c r="CX231" t="s">
        <v>403</v>
      </c>
      <c r="CY231" t="s">
        <v>400</v>
      </c>
      <c r="CZ231">
        <v>0</v>
      </c>
      <c r="DD231">
        <v>100000</v>
      </c>
      <c r="DE231" t="s">
        <v>570</v>
      </c>
      <c r="DF231" t="s">
        <v>406</v>
      </c>
      <c r="DG231" t="s">
        <v>407</v>
      </c>
      <c r="DH231">
        <v>1</v>
      </c>
      <c r="DI231">
        <v>1</v>
      </c>
      <c r="DK231" t="s">
        <v>4730</v>
      </c>
      <c r="DL231">
        <v>0</v>
      </c>
      <c r="DM231" t="s">
        <v>538</v>
      </c>
      <c r="DN231" t="s">
        <v>2078</v>
      </c>
      <c r="DO231" t="s">
        <v>1489</v>
      </c>
      <c r="DP231" t="s">
        <v>600</v>
      </c>
      <c r="DT231" t="s">
        <v>1037</v>
      </c>
      <c r="DX231" t="s">
        <v>1852</v>
      </c>
      <c r="DY231" t="s">
        <v>2078</v>
      </c>
      <c r="DZ231" t="s">
        <v>451</v>
      </c>
      <c r="EA231" t="s">
        <v>613</v>
      </c>
      <c r="ED231" t="s">
        <v>632</v>
      </c>
      <c r="EG231" t="s">
        <v>1556</v>
      </c>
      <c r="EP231" t="s">
        <v>474</v>
      </c>
      <c r="EQ231" t="s">
        <v>1554</v>
      </c>
      <c r="ER231">
        <v>0</v>
      </c>
      <c r="ES231">
        <v>0</v>
      </c>
      <c r="EU231">
        <v>0</v>
      </c>
    </row>
    <row r="232" spans="1:272" x14ac:dyDescent="0.25">
      <c r="A232" t="s">
        <v>4775</v>
      </c>
      <c r="B232" t="str">
        <f>"801542067991"</f>
        <v>801542067991</v>
      </c>
      <c r="C232" t="s">
        <v>4776</v>
      </c>
      <c r="D232" t="s">
        <v>4714</v>
      </c>
      <c r="E232" t="s">
        <v>515</v>
      </c>
      <c r="F232" t="s">
        <v>516</v>
      </c>
      <c r="G232" t="str">
        <f>"38"</f>
        <v>38</v>
      </c>
      <c r="H232" t="str">
        <f t="shared" si="64"/>
        <v>33</v>
      </c>
      <c r="I232" t="str">
        <f>"28"</f>
        <v>28</v>
      </c>
      <c r="J232" t="str">
        <f>"58.2"</f>
        <v>58.2</v>
      </c>
      <c r="K232" t="s">
        <v>1576</v>
      </c>
      <c r="L232" t="s">
        <v>4748</v>
      </c>
      <c r="N232" t="s">
        <v>416</v>
      </c>
      <c r="O232" t="s">
        <v>519</v>
      </c>
      <c r="T232" t="s">
        <v>373</v>
      </c>
      <c r="U232" t="s">
        <v>373</v>
      </c>
      <c r="V232" t="s">
        <v>4777</v>
      </c>
      <c r="W232" t="s">
        <v>4778</v>
      </c>
      <c r="X232" t="s">
        <v>4779</v>
      </c>
      <c r="Y232" t="s">
        <v>4780</v>
      </c>
      <c r="Z232" t="s">
        <v>4781</v>
      </c>
      <c r="AA232" t="s">
        <v>4782</v>
      </c>
      <c r="AB232" t="s">
        <v>4783</v>
      </c>
      <c r="AC232" t="s">
        <v>4784</v>
      </c>
      <c r="AD232" t="s">
        <v>4785</v>
      </c>
      <c r="AE232" t="s">
        <v>4786</v>
      </c>
      <c r="AF232" t="s">
        <v>4787</v>
      </c>
      <c r="AG232" t="s">
        <v>4788</v>
      </c>
      <c r="AH232" t="s">
        <v>4789</v>
      </c>
      <c r="BA232" t="str">
        <f>"2099"</f>
        <v>2099</v>
      </c>
      <c r="BB232" t="str">
        <f>"885"</f>
        <v>885</v>
      </c>
      <c r="BC232" t="s">
        <v>388</v>
      </c>
      <c r="BD232" t="str">
        <f t="shared" si="52"/>
        <v>1</v>
      </c>
      <c r="BE232" t="s">
        <v>389</v>
      </c>
      <c r="BF232" t="str">
        <f>"38.58"</f>
        <v>38.58</v>
      </c>
      <c r="BG232" t="str">
        <f>"33.86"</f>
        <v>33.86</v>
      </c>
      <c r="BH232" t="str">
        <f>"29.13"</f>
        <v>29.13</v>
      </c>
      <c r="BI232" t="str">
        <f>"77.16"</f>
        <v>77.16</v>
      </c>
      <c r="BY232" t="str">
        <f>"22.04"</f>
        <v>22.04</v>
      </c>
      <c r="BZ232" t="str">
        <f>"0.624"</f>
        <v>0.624</v>
      </c>
      <c r="CA232" t="s">
        <v>495</v>
      </c>
      <c r="CH232" t="s">
        <v>1510</v>
      </c>
      <c r="CI232" t="s">
        <v>450</v>
      </c>
      <c r="CJ232" t="s">
        <v>602</v>
      </c>
      <c r="CK232" t="s">
        <v>601</v>
      </c>
      <c r="CL232" t="s">
        <v>449</v>
      </c>
      <c r="CN232">
        <v>0</v>
      </c>
      <c r="CO232">
        <v>1</v>
      </c>
      <c r="CP232" t="s">
        <v>437</v>
      </c>
      <c r="CQ232" t="s">
        <v>438</v>
      </c>
      <c r="CU232" t="s">
        <v>4729</v>
      </c>
      <c r="CX232" t="s">
        <v>403</v>
      </c>
      <c r="CY232" t="s">
        <v>400</v>
      </c>
      <c r="CZ232">
        <v>0</v>
      </c>
      <c r="DD232">
        <v>0</v>
      </c>
      <c r="DE232" t="s">
        <v>570</v>
      </c>
      <c r="DF232" t="s">
        <v>406</v>
      </c>
      <c r="DG232" t="s">
        <v>407</v>
      </c>
      <c r="DH232">
        <v>1</v>
      </c>
      <c r="DI232">
        <v>1</v>
      </c>
      <c r="DK232" t="s">
        <v>4730</v>
      </c>
      <c r="DL232">
        <v>0</v>
      </c>
      <c r="DM232" t="s">
        <v>538</v>
      </c>
      <c r="DN232" t="s">
        <v>2078</v>
      </c>
      <c r="DO232" t="s">
        <v>1489</v>
      </c>
      <c r="DP232" t="s">
        <v>600</v>
      </c>
      <c r="DT232" t="s">
        <v>1037</v>
      </c>
      <c r="DX232" t="s">
        <v>1852</v>
      </c>
      <c r="DY232" t="s">
        <v>2078</v>
      </c>
      <c r="DZ232" t="s">
        <v>451</v>
      </c>
      <c r="EA232" t="s">
        <v>613</v>
      </c>
      <c r="ED232" t="s">
        <v>632</v>
      </c>
      <c r="EG232" t="s">
        <v>1556</v>
      </c>
      <c r="EP232" t="s">
        <v>474</v>
      </c>
      <c r="EQ232" t="s">
        <v>1554</v>
      </c>
      <c r="ER232">
        <v>0</v>
      </c>
      <c r="ES232">
        <v>0</v>
      </c>
      <c r="EU232">
        <v>0</v>
      </c>
    </row>
    <row r="233" spans="1:272" x14ac:dyDescent="0.25">
      <c r="A233" t="s">
        <v>4790</v>
      </c>
      <c r="B233" t="str">
        <f>"801542587253"</f>
        <v>801542587253</v>
      </c>
      <c r="C233" t="s">
        <v>4791</v>
      </c>
      <c r="D233" t="s">
        <v>1165</v>
      </c>
      <c r="E233" t="s">
        <v>413</v>
      </c>
      <c r="G233" t="str">
        <f>"90"</f>
        <v>90</v>
      </c>
      <c r="H233" t="str">
        <f>"40"</f>
        <v>40</v>
      </c>
      <c r="I233" t="str">
        <f>"33"</f>
        <v>33</v>
      </c>
      <c r="J233" t="str">
        <f>"184.08"</f>
        <v>184.08</v>
      </c>
      <c r="K233" t="s">
        <v>2150</v>
      </c>
      <c r="L233" t="s">
        <v>4792</v>
      </c>
      <c r="N233" t="s">
        <v>371</v>
      </c>
      <c r="O233" t="s">
        <v>1172</v>
      </c>
      <c r="T233" t="s">
        <v>373</v>
      </c>
      <c r="U233" t="s">
        <v>402</v>
      </c>
      <c r="V233" t="s">
        <v>4793</v>
      </c>
      <c r="W233" t="s">
        <v>4794</v>
      </c>
      <c r="X233" t="s">
        <v>4795</v>
      </c>
      <c r="Y233" t="s">
        <v>4796</v>
      </c>
      <c r="Z233" t="s">
        <v>4797</v>
      </c>
      <c r="AA233" t="s">
        <v>4798</v>
      </c>
      <c r="AB233" t="s">
        <v>4799</v>
      </c>
      <c r="AC233" t="s">
        <v>4800</v>
      </c>
      <c r="AD233" t="s">
        <v>4801</v>
      </c>
      <c r="AE233" t="s">
        <v>4802</v>
      </c>
      <c r="AF233" t="s">
        <v>4803</v>
      </c>
      <c r="AG233" t="s">
        <v>4804</v>
      </c>
      <c r="AH233" t="s">
        <v>4805</v>
      </c>
      <c r="AI233" t="s">
        <v>4806</v>
      </c>
      <c r="BA233" t="str">
        <f>"2399"</f>
        <v>2399</v>
      </c>
      <c r="BB233" t="str">
        <f>"1010"</f>
        <v>1010</v>
      </c>
      <c r="BC233" t="s">
        <v>1149</v>
      </c>
      <c r="BD233" t="str">
        <f t="shared" si="52"/>
        <v>1</v>
      </c>
      <c r="BE233" t="s">
        <v>389</v>
      </c>
      <c r="BF233" t="str">
        <f>"91.97"</f>
        <v>91.97</v>
      </c>
      <c r="BG233" t="str">
        <f>"44.09"</f>
        <v>44.09</v>
      </c>
      <c r="BH233" t="str">
        <f>"28.74"</f>
        <v>28.74</v>
      </c>
      <c r="BI233" t="str">
        <f>"208.33"</f>
        <v>208.33</v>
      </c>
      <c r="BY233" t="str">
        <f>"67.45"</f>
        <v>67.45</v>
      </c>
      <c r="BZ233" t="str">
        <f>"1.91"</f>
        <v>1.91</v>
      </c>
      <c r="CA233" t="s">
        <v>495</v>
      </c>
      <c r="CH233" t="s">
        <v>2241</v>
      </c>
      <c r="CI233" t="s">
        <v>2241</v>
      </c>
      <c r="CJ233" t="s">
        <v>2241</v>
      </c>
      <c r="CK233" t="s">
        <v>600</v>
      </c>
      <c r="CL233" t="s">
        <v>981</v>
      </c>
      <c r="CM233" t="s">
        <v>452</v>
      </c>
      <c r="CN233">
        <v>0</v>
      </c>
      <c r="CO233">
        <v>2</v>
      </c>
      <c r="CP233" t="s">
        <v>437</v>
      </c>
      <c r="CQ233" t="s">
        <v>631</v>
      </c>
      <c r="CX233" t="s">
        <v>403</v>
      </c>
      <c r="CY233" t="s">
        <v>400</v>
      </c>
      <c r="CZ233">
        <v>0</v>
      </c>
      <c r="DD233">
        <v>15000</v>
      </c>
      <c r="DE233" t="s">
        <v>439</v>
      </c>
      <c r="DF233" t="s">
        <v>632</v>
      </c>
      <c r="DG233" t="s">
        <v>1808</v>
      </c>
      <c r="DH233">
        <v>1</v>
      </c>
      <c r="DI233">
        <v>3</v>
      </c>
      <c r="DK233" t="s">
        <v>4807</v>
      </c>
      <c r="DL233">
        <v>0</v>
      </c>
      <c r="DM233" t="s">
        <v>410</v>
      </c>
      <c r="DN233" t="s">
        <v>2083</v>
      </c>
      <c r="DO233" t="s">
        <v>830</v>
      </c>
      <c r="DP233" t="s">
        <v>1853</v>
      </c>
      <c r="DT233" t="s">
        <v>2908</v>
      </c>
      <c r="DU233" t="s">
        <v>797</v>
      </c>
      <c r="DV233" t="s">
        <v>474</v>
      </c>
      <c r="DW233" t="s">
        <v>822</v>
      </c>
      <c r="DX233" t="s">
        <v>475</v>
      </c>
      <c r="DY233" t="s">
        <v>396</v>
      </c>
      <c r="DZ233" t="s">
        <v>452</v>
      </c>
      <c r="EA233" t="s">
        <v>979</v>
      </c>
      <c r="ED233" t="s">
        <v>406</v>
      </c>
      <c r="EE233" t="s">
        <v>407</v>
      </c>
      <c r="EF233" t="s">
        <v>4808</v>
      </c>
      <c r="EG233" t="s">
        <v>4809</v>
      </c>
      <c r="EH233" t="s">
        <v>579</v>
      </c>
      <c r="EN233" t="s">
        <v>402</v>
      </c>
      <c r="EQ233" t="s">
        <v>452</v>
      </c>
      <c r="ER233" t="s">
        <v>4810</v>
      </c>
    </row>
    <row r="234" spans="1:272" x14ac:dyDescent="0.25">
      <c r="A234" t="s">
        <v>4811</v>
      </c>
      <c r="B234" t="str">
        <f>"801542133313"</f>
        <v>801542133313</v>
      </c>
      <c r="C234" t="s">
        <v>4812</v>
      </c>
      <c r="D234" t="s">
        <v>1165</v>
      </c>
      <c r="E234" t="s">
        <v>413</v>
      </c>
      <c r="G234" t="str">
        <f>"90"</f>
        <v>90</v>
      </c>
      <c r="H234" t="str">
        <f>"40"</f>
        <v>40</v>
      </c>
      <c r="I234" t="str">
        <f>"33"</f>
        <v>33</v>
      </c>
      <c r="J234" t="str">
        <f>"184.08"</f>
        <v>184.08</v>
      </c>
      <c r="K234" t="s">
        <v>2833</v>
      </c>
      <c r="L234" t="s">
        <v>4792</v>
      </c>
      <c r="N234" t="s">
        <v>1793</v>
      </c>
      <c r="O234" t="s">
        <v>1794</v>
      </c>
      <c r="P234" t="s">
        <v>1172</v>
      </c>
      <c r="T234" t="s">
        <v>373</v>
      </c>
      <c r="U234" t="s">
        <v>373</v>
      </c>
      <c r="V234" t="s">
        <v>4813</v>
      </c>
      <c r="W234" t="s">
        <v>4814</v>
      </c>
      <c r="X234" t="s">
        <v>4815</v>
      </c>
      <c r="Y234" t="s">
        <v>4816</v>
      </c>
      <c r="Z234" t="s">
        <v>4817</v>
      </c>
      <c r="AA234" t="s">
        <v>4818</v>
      </c>
      <c r="AB234" t="s">
        <v>4819</v>
      </c>
      <c r="AC234" t="s">
        <v>4820</v>
      </c>
      <c r="AD234" t="s">
        <v>4821</v>
      </c>
      <c r="AE234" t="s">
        <v>4822</v>
      </c>
      <c r="AF234" t="s">
        <v>4823</v>
      </c>
      <c r="AG234" t="s">
        <v>4824</v>
      </c>
      <c r="AH234" t="s">
        <v>4825</v>
      </c>
      <c r="AI234" t="s">
        <v>4826</v>
      </c>
      <c r="BA234" t="str">
        <f>"2599"</f>
        <v>2599</v>
      </c>
      <c r="BB234" t="str">
        <f>"1095"</f>
        <v>1095</v>
      </c>
      <c r="BC234" t="s">
        <v>1149</v>
      </c>
      <c r="BD234" t="str">
        <f t="shared" si="52"/>
        <v>1</v>
      </c>
      <c r="BE234" t="s">
        <v>389</v>
      </c>
      <c r="BF234" t="str">
        <f>"91.97"</f>
        <v>91.97</v>
      </c>
      <c r="BG234" t="str">
        <f>"44.09"</f>
        <v>44.09</v>
      </c>
      <c r="BH234" t="str">
        <f>"28.74"</f>
        <v>28.74</v>
      </c>
      <c r="BI234" t="str">
        <f>"208.33"</f>
        <v>208.33</v>
      </c>
      <c r="BY234" t="str">
        <f>"67.45"</f>
        <v>67.45</v>
      </c>
      <c r="BZ234" t="str">
        <f>"1.91"</f>
        <v>1.91</v>
      </c>
      <c r="CA234" t="s">
        <v>431</v>
      </c>
      <c r="CH234" t="s">
        <v>2241</v>
      </c>
      <c r="CI234" t="s">
        <v>2241</v>
      </c>
      <c r="CJ234" t="s">
        <v>2241</v>
      </c>
      <c r="CK234" t="s">
        <v>600</v>
      </c>
      <c r="CL234" t="s">
        <v>981</v>
      </c>
      <c r="CM234" t="s">
        <v>452</v>
      </c>
      <c r="CN234">
        <v>0</v>
      </c>
      <c r="CO234">
        <v>2</v>
      </c>
      <c r="CP234" t="s">
        <v>437</v>
      </c>
      <c r="CQ234" t="s">
        <v>438</v>
      </c>
      <c r="CX234" t="s">
        <v>403</v>
      </c>
      <c r="CY234" t="s">
        <v>400</v>
      </c>
      <c r="CZ234">
        <v>0</v>
      </c>
      <c r="DD234">
        <v>30000</v>
      </c>
      <c r="DE234" t="s">
        <v>439</v>
      </c>
      <c r="DF234" t="s">
        <v>632</v>
      </c>
      <c r="DG234" t="s">
        <v>1808</v>
      </c>
      <c r="DH234">
        <v>1</v>
      </c>
      <c r="DI234">
        <v>3</v>
      </c>
      <c r="DK234" t="s">
        <v>4807</v>
      </c>
      <c r="DL234">
        <v>0</v>
      </c>
      <c r="DM234" t="s">
        <v>410</v>
      </c>
      <c r="DN234" t="s">
        <v>2083</v>
      </c>
      <c r="DO234" t="s">
        <v>830</v>
      </c>
      <c r="DP234" t="s">
        <v>1853</v>
      </c>
      <c r="DT234" t="s">
        <v>2908</v>
      </c>
      <c r="DU234" t="s">
        <v>797</v>
      </c>
      <c r="DV234" t="s">
        <v>474</v>
      </c>
      <c r="DW234" t="s">
        <v>822</v>
      </c>
      <c r="DX234" t="s">
        <v>475</v>
      </c>
      <c r="DY234" t="s">
        <v>396</v>
      </c>
      <c r="DZ234" t="s">
        <v>452</v>
      </c>
      <c r="EA234" t="s">
        <v>979</v>
      </c>
      <c r="ED234" t="s">
        <v>406</v>
      </c>
      <c r="EE234" t="s">
        <v>407</v>
      </c>
      <c r="EF234" t="s">
        <v>4808</v>
      </c>
      <c r="EG234" t="s">
        <v>4809</v>
      </c>
      <c r="EH234" t="s">
        <v>579</v>
      </c>
      <c r="EN234" t="s">
        <v>402</v>
      </c>
      <c r="EQ234" t="s">
        <v>452</v>
      </c>
      <c r="ER234" t="s">
        <v>4810</v>
      </c>
    </row>
    <row r="235" spans="1:272" x14ac:dyDescent="0.25">
      <c r="A235" t="s">
        <v>4827</v>
      </c>
      <c r="B235" t="str">
        <f>"198394102889"</f>
        <v>198394102889</v>
      </c>
      <c r="C235" t="s">
        <v>4828</v>
      </c>
      <c r="D235" t="s">
        <v>1165</v>
      </c>
      <c r="E235" t="s">
        <v>413</v>
      </c>
      <c r="G235" t="str">
        <f>"90"</f>
        <v>90</v>
      </c>
      <c r="H235" t="str">
        <f>"40"</f>
        <v>40</v>
      </c>
      <c r="I235" t="str">
        <f>"33"</f>
        <v>33</v>
      </c>
      <c r="J235" t="str">
        <f>"184.08"</f>
        <v>184.08</v>
      </c>
      <c r="K235" t="s">
        <v>4829</v>
      </c>
      <c r="L235" t="s">
        <v>4792</v>
      </c>
      <c r="N235" t="s">
        <v>1793</v>
      </c>
      <c r="O235" t="s">
        <v>1794</v>
      </c>
      <c r="P235" t="s">
        <v>1172</v>
      </c>
      <c r="T235" t="s">
        <v>373</v>
      </c>
      <c r="U235" t="s">
        <v>373</v>
      </c>
      <c r="V235" t="s">
        <v>4813</v>
      </c>
      <c r="W235" t="s">
        <v>4830</v>
      </c>
      <c r="X235" t="s">
        <v>4831</v>
      </c>
      <c r="Y235" t="s">
        <v>4832</v>
      </c>
      <c r="Z235" t="s">
        <v>4833</v>
      </c>
      <c r="AA235" t="s">
        <v>4834</v>
      </c>
      <c r="AB235" t="s">
        <v>4835</v>
      </c>
      <c r="AC235" t="s">
        <v>4836</v>
      </c>
      <c r="AD235" t="s">
        <v>4837</v>
      </c>
      <c r="AE235" t="s">
        <v>4838</v>
      </c>
      <c r="AF235" t="s">
        <v>4839</v>
      </c>
      <c r="AG235" t="s">
        <v>4840</v>
      </c>
      <c r="BA235" t="str">
        <f>"2599"</f>
        <v>2599</v>
      </c>
      <c r="BB235" t="str">
        <f>"1095"</f>
        <v>1095</v>
      </c>
      <c r="BC235" t="s">
        <v>1149</v>
      </c>
      <c r="BD235" t="str">
        <f t="shared" si="52"/>
        <v>1</v>
      </c>
      <c r="BE235" t="s">
        <v>389</v>
      </c>
      <c r="BF235" t="str">
        <f>"91.97"</f>
        <v>91.97</v>
      </c>
      <c r="BG235" t="str">
        <f>"44.09"</f>
        <v>44.09</v>
      </c>
      <c r="BH235" t="str">
        <f>"28.74"</f>
        <v>28.74</v>
      </c>
      <c r="BI235" t="str">
        <f>"208.33"</f>
        <v>208.33</v>
      </c>
      <c r="BY235" t="str">
        <f>"67.45"</f>
        <v>67.45</v>
      </c>
      <c r="BZ235" t="str">
        <f>"1.91"</f>
        <v>1.91</v>
      </c>
      <c r="CA235" t="s">
        <v>431</v>
      </c>
      <c r="CH235" t="s">
        <v>2241</v>
      </c>
      <c r="CI235" t="s">
        <v>2241</v>
      </c>
      <c r="CJ235" t="s">
        <v>2241</v>
      </c>
      <c r="CK235" t="s">
        <v>600</v>
      </c>
      <c r="CL235" t="s">
        <v>981</v>
      </c>
      <c r="CM235" t="s">
        <v>452</v>
      </c>
      <c r="CN235">
        <v>0</v>
      </c>
      <c r="CO235">
        <v>2</v>
      </c>
      <c r="CP235" t="s">
        <v>437</v>
      </c>
      <c r="CQ235" t="s">
        <v>438</v>
      </c>
      <c r="CX235" t="s">
        <v>403</v>
      </c>
      <c r="CY235" t="s">
        <v>400</v>
      </c>
      <c r="CZ235">
        <v>0</v>
      </c>
      <c r="DD235">
        <v>30000</v>
      </c>
      <c r="DE235" t="s">
        <v>439</v>
      </c>
      <c r="DF235" t="s">
        <v>632</v>
      </c>
      <c r="DG235" t="s">
        <v>1808</v>
      </c>
      <c r="DH235">
        <v>1</v>
      </c>
      <c r="DI235">
        <v>3</v>
      </c>
      <c r="DK235" t="s">
        <v>4807</v>
      </c>
      <c r="DL235">
        <v>0</v>
      </c>
      <c r="DM235" t="s">
        <v>410</v>
      </c>
      <c r="DN235" t="s">
        <v>2083</v>
      </c>
      <c r="DO235" t="s">
        <v>830</v>
      </c>
      <c r="DP235" t="s">
        <v>1853</v>
      </c>
      <c r="DT235" t="s">
        <v>2908</v>
      </c>
      <c r="DU235" t="s">
        <v>797</v>
      </c>
      <c r="DV235" t="s">
        <v>474</v>
      </c>
      <c r="DW235" t="s">
        <v>822</v>
      </c>
      <c r="DX235" t="s">
        <v>475</v>
      </c>
      <c r="DY235" t="s">
        <v>396</v>
      </c>
      <c r="DZ235" t="s">
        <v>452</v>
      </c>
      <c r="EA235" t="s">
        <v>979</v>
      </c>
      <c r="ED235" t="s">
        <v>406</v>
      </c>
      <c r="EE235" t="s">
        <v>407</v>
      </c>
      <c r="EF235" t="s">
        <v>4808</v>
      </c>
      <c r="EG235" t="s">
        <v>4809</v>
      </c>
      <c r="EH235" t="s">
        <v>579</v>
      </c>
      <c r="EN235" t="s">
        <v>402</v>
      </c>
      <c r="EQ235" t="s">
        <v>452</v>
      </c>
      <c r="ER235" t="s">
        <v>4810</v>
      </c>
    </row>
    <row r="236" spans="1:272" x14ac:dyDescent="0.25">
      <c r="A236" t="s">
        <v>4841</v>
      </c>
      <c r="B236" t="str">
        <f>"801542577285"</f>
        <v>801542577285</v>
      </c>
      <c r="C236" t="s">
        <v>4842</v>
      </c>
      <c r="D236" t="s">
        <v>4843</v>
      </c>
      <c r="E236" t="s">
        <v>1021</v>
      </c>
      <c r="G236" t="str">
        <f>"84"</f>
        <v>84</v>
      </c>
      <c r="H236" t="str">
        <f>"18"</f>
        <v>18</v>
      </c>
      <c r="I236" t="str">
        <f>"28.25"</f>
        <v>28.25</v>
      </c>
      <c r="J236" t="str">
        <f>"171.29"</f>
        <v>171.29</v>
      </c>
      <c r="K236" t="s">
        <v>4844</v>
      </c>
      <c r="L236" t="s">
        <v>4845</v>
      </c>
      <c r="N236" t="s">
        <v>775</v>
      </c>
      <c r="O236" t="s">
        <v>1424</v>
      </c>
      <c r="T236" t="s">
        <v>373</v>
      </c>
      <c r="U236" t="s">
        <v>373</v>
      </c>
      <c r="V236" t="s">
        <v>4846</v>
      </c>
      <c r="W236" t="s">
        <v>4847</v>
      </c>
      <c r="X236" t="s">
        <v>4848</v>
      </c>
      <c r="Y236" t="s">
        <v>4849</v>
      </c>
      <c r="Z236" t="s">
        <v>4850</v>
      </c>
      <c r="AA236" t="s">
        <v>4851</v>
      </c>
      <c r="AB236" t="s">
        <v>4852</v>
      </c>
      <c r="AC236" t="s">
        <v>4853</v>
      </c>
      <c r="AD236" t="s">
        <v>4854</v>
      </c>
      <c r="AE236" t="s">
        <v>4855</v>
      </c>
      <c r="AF236" t="s">
        <v>4856</v>
      </c>
      <c r="AG236" t="s">
        <v>4857</v>
      </c>
      <c r="AH236" t="s">
        <v>4858</v>
      </c>
      <c r="AI236" t="s">
        <v>4859</v>
      </c>
      <c r="AJ236" t="s">
        <v>4860</v>
      </c>
      <c r="AK236" t="s">
        <v>4861</v>
      </c>
      <c r="AL236" t="s">
        <v>4862</v>
      </c>
      <c r="AM236" t="s">
        <v>4863</v>
      </c>
      <c r="BA236" t="str">
        <f>"1999"</f>
        <v>1999</v>
      </c>
      <c r="BB236" t="str">
        <f>"840"</f>
        <v>840</v>
      </c>
      <c r="BC236" t="s">
        <v>949</v>
      </c>
      <c r="BD236" t="str">
        <f t="shared" si="52"/>
        <v>1</v>
      </c>
      <c r="BE236" t="s">
        <v>389</v>
      </c>
      <c r="BF236" t="str">
        <f>"88.5"</f>
        <v>88.5</v>
      </c>
      <c r="BG236" t="str">
        <f>"21.5"</f>
        <v>21.5</v>
      </c>
      <c r="BH236" t="str">
        <f>"33"</f>
        <v>33</v>
      </c>
      <c r="BI236" t="str">
        <f>"203.92"</f>
        <v>203.92</v>
      </c>
      <c r="BY236" t="str">
        <f>"36.34"</f>
        <v>36.34</v>
      </c>
      <c r="BZ236" t="str">
        <f>"1.029"</f>
        <v>1.029</v>
      </c>
      <c r="CA236" t="s">
        <v>431</v>
      </c>
      <c r="CE236" t="s">
        <v>511</v>
      </c>
      <c r="CF236" t="s">
        <v>951</v>
      </c>
      <c r="CG236" t="s">
        <v>1488</v>
      </c>
      <c r="CR236" t="s">
        <v>400</v>
      </c>
      <c r="CS236">
        <v>0</v>
      </c>
      <c r="CT236" t="s">
        <v>400</v>
      </c>
      <c r="CV236">
        <v>0</v>
      </c>
      <c r="CX236" t="s">
        <v>1414</v>
      </c>
      <c r="CY236" t="s">
        <v>954</v>
      </c>
      <c r="DA236">
        <v>18.14</v>
      </c>
      <c r="DB236">
        <v>40</v>
      </c>
      <c r="DC236">
        <v>3</v>
      </c>
      <c r="DK236" t="s">
        <v>4864</v>
      </c>
      <c r="DX236" t="s">
        <v>433</v>
      </c>
      <c r="DY236" t="s">
        <v>1039</v>
      </c>
      <c r="EM236" t="s">
        <v>402</v>
      </c>
      <c r="EN236">
        <v>3</v>
      </c>
      <c r="EZ236" t="s">
        <v>4865</v>
      </c>
      <c r="FA236" t="s">
        <v>3483</v>
      </c>
      <c r="FB236" t="s">
        <v>613</v>
      </c>
      <c r="FC236" t="s">
        <v>958</v>
      </c>
      <c r="FD236" t="s">
        <v>3483</v>
      </c>
      <c r="FE236" t="s">
        <v>1092</v>
      </c>
      <c r="FG236" t="s">
        <v>402</v>
      </c>
      <c r="FH236" t="s">
        <v>959</v>
      </c>
      <c r="FI236">
        <v>6</v>
      </c>
      <c r="FJ236" t="s">
        <v>960</v>
      </c>
      <c r="FK236" t="s">
        <v>961</v>
      </c>
      <c r="FM236" t="s">
        <v>402</v>
      </c>
      <c r="FO236" t="s">
        <v>984</v>
      </c>
      <c r="GE236">
        <v>0</v>
      </c>
      <c r="HI236" t="s">
        <v>402</v>
      </c>
      <c r="JG236" t="s">
        <v>958</v>
      </c>
      <c r="JH236" t="s">
        <v>3483</v>
      </c>
      <c r="JI236" t="s">
        <v>1092</v>
      </c>
      <c r="JJ236" t="s">
        <v>951</v>
      </c>
      <c r="JK236" t="s">
        <v>1158</v>
      </c>
      <c r="JL236" t="s">
        <v>3544</v>
      </c>
    </row>
    <row r="237" spans="1:272" x14ac:dyDescent="0.25">
      <c r="A237" t="s">
        <v>4866</v>
      </c>
      <c r="B237" t="str">
        <f>"801542234331"</f>
        <v>801542234331</v>
      </c>
      <c r="C237" t="s">
        <v>4867</v>
      </c>
      <c r="D237" t="s">
        <v>4843</v>
      </c>
      <c r="E237" t="s">
        <v>1021</v>
      </c>
      <c r="G237" t="str">
        <f>"84"</f>
        <v>84</v>
      </c>
      <c r="H237" t="str">
        <f>"18"</f>
        <v>18</v>
      </c>
      <c r="I237" t="str">
        <f>"28.25"</f>
        <v>28.25</v>
      </c>
      <c r="J237" t="str">
        <f>"171.29"</f>
        <v>171.29</v>
      </c>
      <c r="K237" t="s">
        <v>4868</v>
      </c>
      <c r="L237" t="s">
        <v>4869</v>
      </c>
      <c r="N237" t="s">
        <v>775</v>
      </c>
      <c r="O237" t="s">
        <v>1424</v>
      </c>
      <c r="T237" t="s">
        <v>373</v>
      </c>
      <c r="U237" t="s">
        <v>373</v>
      </c>
      <c r="V237" t="s">
        <v>4870</v>
      </c>
      <c r="W237" t="s">
        <v>4871</v>
      </c>
      <c r="X237" t="s">
        <v>4872</v>
      </c>
      <c r="Y237" t="s">
        <v>4873</v>
      </c>
      <c r="Z237" t="s">
        <v>4874</v>
      </c>
      <c r="AA237" t="s">
        <v>4875</v>
      </c>
      <c r="AB237" t="s">
        <v>4876</v>
      </c>
      <c r="AC237" t="s">
        <v>4877</v>
      </c>
      <c r="AD237" t="s">
        <v>4878</v>
      </c>
      <c r="AE237" t="s">
        <v>4879</v>
      </c>
      <c r="AF237" t="s">
        <v>4880</v>
      </c>
      <c r="AG237" t="s">
        <v>4881</v>
      </c>
      <c r="AH237" t="s">
        <v>4882</v>
      </c>
      <c r="AI237" t="s">
        <v>4883</v>
      </c>
      <c r="BA237" t="str">
        <f>"1999"</f>
        <v>1999</v>
      </c>
      <c r="BB237" t="str">
        <f>"840"</f>
        <v>840</v>
      </c>
      <c r="BC237" t="s">
        <v>949</v>
      </c>
      <c r="BD237" t="str">
        <f t="shared" si="52"/>
        <v>1</v>
      </c>
      <c r="BE237" t="s">
        <v>389</v>
      </c>
      <c r="BF237" t="str">
        <f>"88.5"</f>
        <v>88.5</v>
      </c>
      <c r="BG237" t="str">
        <f>"21.5"</f>
        <v>21.5</v>
      </c>
      <c r="BH237" t="str">
        <f>"33"</f>
        <v>33</v>
      </c>
      <c r="BI237" t="str">
        <f>"203.92"</f>
        <v>203.92</v>
      </c>
      <c r="BY237" t="str">
        <f>"36.34"</f>
        <v>36.34</v>
      </c>
      <c r="BZ237" t="str">
        <f>"1.029"</f>
        <v>1.029</v>
      </c>
      <c r="CA237" t="s">
        <v>495</v>
      </c>
      <c r="CE237" t="s">
        <v>511</v>
      </c>
      <c r="CF237" t="s">
        <v>951</v>
      </c>
      <c r="CG237" t="s">
        <v>1488</v>
      </c>
      <c r="CR237" t="s">
        <v>400</v>
      </c>
      <c r="CS237">
        <v>0</v>
      </c>
      <c r="CT237" t="s">
        <v>400</v>
      </c>
      <c r="CV237">
        <v>0</v>
      </c>
      <c r="CX237" t="s">
        <v>1414</v>
      </c>
      <c r="CY237" t="s">
        <v>954</v>
      </c>
      <c r="DA237">
        <v>18.14</v>
      </c>
      <c r="DB237">
        <v>40</v>
      </c>
      <c r="DC237">
        <v>3</v>
      </c>
      <c r="DK237" t="s">
        <v>4864</v>
      </c>
      <c r="DX237" t="s">
        <v>433</v>
      </c>
      <c r="DY237" t="s">
        <v>1039</v>
      </c>
      <c r="EM237" t="s">
        <v>402</v>
      </c>
      <c r="EN237">
        <v>3</v>
      </c>
      <c r="EZ237" t="s">
        <v>4865</v>
      </c>
      <c r="FA237" t="s">
        <v>3483</v>
      </c>
      <c r="FB237" t="s">
        <v>613</v>
      </c>
      <c r="FC237" t="s">
        <v>958</v>
      </c>
      <c r="FD237" t="s">
        <v>3483</v>
      </c>
      <c r="FE237" t="s">
        <v>1092</v>
      </c>
      <c r="FG237" t="s">
        <v>402</v>
      </c>
      <c r="FH237" t="s">
        <v>959</v>
      </c>
      <c r="FI237">
        <v>6</v>
      </c>
      <c r="FJ237" t="s">
        <v>960</v>
      </c>
      <c r="FK237" t="s">
        <v>961</v>
      </c>
      <c r="FM237" t="s">
        <v>402</v>
      </c>
      <c r="FO237" t="s">
        <v>984</v>
      </c>
      <c r="GE237">
        <v>0</v>
      </c>
      <c r="HI237" t="s">
        <v>402</v>
      </c>
      <c r="JG237" t="s">
        <v>958</v>
      </c>
      <c r="JH237" t="s">
        <v>3483</v>
      </c>
      <c r="JI237" t="s">
        <v>1092</v>
      </c>
      <c r="JJ237" t="s">
        <v>951</v>
      </c>
      <c r="JK237" t="s">
        <v>1158</v>
      </c>
      <c r="JL237" t="s">
        <v>3544</v>
      </c>
    </row>
    <row r="238" spans="1:272" x14ac:dyDescent="0.25">
      <c r="A238" t="s">
        <v>4884</v>
      </c>
      <c r="B238" t="str">
        <f>"801542066307"</f>
        <v>801542066307</v>
      </c>
      <c r="C238" t="s">
        <v>4885</v>
      </c>
      <c r="D238" t="s">
        <v>4184</v>
      </c>
      <c r="E238" t="s">
        <v>930</v>
      </c>
      <c r="G238" t="str">
        <f>"73.25"</f>
        <v>73.25</v>
      </c>
      <c r="H238" t="str">
        <f>"18"</f>
        <v>18</v>
      </c>
      <c r="I238" t="str">
        <f>"30"</f>
        <v>30</v>
      </c>
      <c r="J238" t="str">
        <f>"154.32"</f>
        <v>154.32</v>
      </c>
      <c r="K238" t="s">
        <v>4185</v>
      </c>
      <c r="L238" t="s">
        <v>4186</v>
      </c>
      <c r="N238" t="s">
        <v>1970</v>
      </c>
      <c r="O238" t="s">
        <v>416</v>
      </c>
      <c r="P238" t="s">
        <v>372</v>
      </c>
      <c r="T238" t="s">
        <v>402</v>
      </c>
      <c r="U238" t="s">
        <v>373</v>
      </c>
      <c r="V238" t="s">
        <v>4886</v>
      </c>
      <c r="W238" t="s">
        <v>4887</v>
      </c>
      <c r="X238" t="s">
        <v>4888</v>
      </c>
      <c r="Y238" t="s">
        <v>4889</v>
      </c>
      <c r="Z238" t="s">
        <v>4890</v>
      </c>
      <c r="AA238" t="s">
        <v>4891</v>
      </c>
      <c r="AB238" t="s">
        <v>4892</v>
      </c>
      <c r="AC238" t="s">
        <v>4893</v>
      </c>
      <c r="AD238" t="s">
        <v>4894</v>
      </c>
      <c r="AE238" t="s">
        <v>4895</v>
      </c>
      <c r="AF238" t="s">
        <v>4896</v>
      </c>
      <c r="AG238" t="s">
        <v>4897</v>
      </c>
      <c r="AH238" t="s">
        <v>4898</v>
      </c>
      <c r="AI238" t="s">
        <v>4899</v>
      </c>
      <c r="AJ238" t="s">
        <v>4900</v>
      </c>
      <c r="BA238" t="str">
        <f>"1699"</f>
        <v>1699</v>
      </c>
      <c r="BB238" t="str">
        <f>"715"</f>
        <v>715</v>
      </c>
      <c r="BC238" t="s">
        <v>665</v>
      </c>
      <c r="BD238" t="str">
        <f t="shared" si="52"/>
        <v>1</v>
      </c>
      <c r="BE238" t="s">
        <v>1266</v>
      </c>
      <c r="BF238" t="str">
        <f>"77.95"</f>
        <v>77.95</v>
      </c>
      <c r="BG238" t="str">
        <f>"23.03"</f>
        <v>23.03</v>
      </c>
      <c r="BH238" t="str">
        <f>"35.83"</f>
        <v>35.83</v>
      </c>
      <c r="BI238" t="str">
        <f>"202.83"</f>
        <v>202.83</v>
      </c>
      <c r="BY238" t="str">
        <f>"37.22"</f>
        <v>37.22</v>
      </c>
      <c r="BZ238" t="str">
        <f>"1.054"</f>
        <v>1.054</v>
      </c>
      <c r="CA238" t="s">
        <v>431</v>
      </c>
      <c r="CE238" t="s">
        <v>3804</v>
      </c>
      <c r="CF238" t="s">
        <v>4901</v>
      </c>
      <c r="CG238" t="s">
        <v>4902</v>
      </c>
      <c r="CR238" t="s">
        <v>400</v>
      </c>
      <c r="CS238">
        <v>0</v>
      </c>
      <c r="CT238" t="s">
        <v>400</v>
      </c>
      <c r="CV238">
        <v>0</v>
      </c>
      <c r="CX238" t="s">
        <v>4903</v>
      </c>
      <c r="CY238" t="s">
        <v>954</v>
      </c>
      <c r="DA238">
        <v>0</v>
      </c>
      <c r="DB238">
        <v>0</v>
      </c>
      <c r="DC238">
        <v>2</v>
      </c>
      <c r="DK238" t="s">
        <v>4205</v>
      </c>
      <c r="DM238" t="s">
        <v>669</v>
      </c>
      <c r="DX238" t="s">
        <v>392</v>
      </c>
      <c r="EM238" t="s">
        <v>402</v>
      </c>
      <c r="EN238">
        <v>2</v>
      </c>
      <c r="EZ238" t="s">
        <v>3832</v>
      </c>
      <c r="FA238" t="s">
        <v>4614</v>
      </c>
      <c r="FB238" t="s">
        <v>4904</v>
      </c>
      <c r="FC238" t="s">
        <v>3804</v>
      </c>
      <c r="FD238" t="s">
        <v>956</v>
      </c>
      <c r="FE238" t="s">
        <v>4902</v>
      </c>
      <c r="FF238">
        <v>0</v>
      </c>
      <c r="FH238" t="s">
        <v>4905</v>
      </c>
      <c r="FI238">
        <v>4</v>
      </c>
      <c r="FJ238" t="s">
        <v>960</v>
      </c>
      <c r="FK238" t="s">
        <v>1246</v>
      </c>
      <c r="FL238">
        <v>0</v>
      </c>
      <c r="FM238" t="s">
        <v>402</v>
      </c>
      <c r="FO238" t="s">
        <v>984</v>
      </c>
      <c r="GB238" t="s">
        <v>3804</v>
      </c>
      <c r="GC238" t="s">
        <v>4901</v>
      </c>
      <c r="GD238" t="s">
        <v>4902</v>
      </c>
      <c r="GX238" t="s">
        <v>392</v>
      </c>
      <c r="HI238" t="s">
        <v>402</v>
      </c>
    </row>
    <row r="239" spans="1:272" x14ac:dyDescent="0.25">
      <c r="A239" t="s">
        <v>4906</v>
      </c>
      <c r="B239" t="str">
        <f>"198394005586"</f>
        <v>198394005586</v>
      </c>
      <c r="C239" t="s">
        <v>4907</v>
      </c>
      <c r="D239" t="s">
        <v>4184</v>
      </c>
      <c r="E239" t="s">
        <v>930</v>
      </c>
      <c r="G239" t="str">
        <f>"73.25"</f>
        <v>73.25</v>
      </c>
      <c r="H239" t="str">
        <f>"18"</f>
        <v>18</v>
      </c>
      <c r="I239" t="str">
        <f>"30"</f>
        <v>30</v>
      </c>
      <c r="J239" t="str">
        <f>"154.32"</f>
        <v>154.32</v>
      </c>
      <c r="K239" t="s">
        <v>4213</v>
      </c>
      <c r="L239" t="s">
        <v>4186</v>
      </c>
      <c r="N239" t="s">
        <v>1970</v>
      </c>
      <c r="O239" t="s">
        <v>416</v>
      </c>
      <c r="P239" t="s">
        <v>372</v>
      </c>
      <c r="T239" t="s">
        <v>402</v>
      </c>
      <c r="U239" t="s">
        <v>373</v>
      </c>
      <c r="V239" t="s">
        <v>4908</v>
      </c>
      <c r="W239" t="s">
        <v>4909</v>
      </c>
      <c r="X239" t="s">
        <v>4910</v>
      </c>
      <c r="Y239" t="s">
        <v>4911</v>
      </c>
      <c r="Z239" t="s">
        <v>4912</v>
      </c>
      <c r="AA239" t="s">
        <v>4913</v>
      </c>
      <c r="AB239" t="s">
        <v>4914</v>
      </c>
      <c r="AC239" t="s">
        <v>4915</v>
      </c>
      <c r="AD239" t="s">
        <v>4916</v>
      </c>
      <c r="AE239" t="s">
        <v>4917</v>
      </c>
      <c r="AF239" t="s">
        <v>4918</v>
      </c>
      <c r="AG239" t="s">
        <v>4919</v>
      </c>
      <c r="AH239" t="s">
        <v>4920</v>
      </c>
      <c r="AI239" t="s">
        <v>4921</v>
      </c>
      <c r="AJ239" t="s">
        <v>4922</v>
      </c>
      <c r="BA239" t="str">
        <f>"1699"</f>
        <v>1699</v>
      </c>
      <c r="BB239" t="str">
        <f>"715"</f>
        <v>715</v>
      </c>
      <c r="BC239" t="s">
        <v>665</v>
      </c>
      <c r="BD239" t="str">
        <f t="shared" si="52"/>
        <v>1</v>
      </c>
      <c r="BE239" t="s">
        <v>1266</v>
      </c>
      <c r="BF239" t="str">
        <f>"77.95"</f>
        <v>77.95</v>
      </c>
      <c r="BG239" t="str">
        <f>"23.03"</f>
        <v>23.03</v>
      </c>
      <c r="BH239" t="str">
        <f>"35.83"</f>
        <v>35.83</v>
      </c>
      <c r="BI239" t="str">
        <f>"202.83"</f>
        <v>202.83</v>
      </c>
      <c r="BY239" t="str">
        <f>"37.22"</f>
        <v>37.22</v>
      </c>
      <c r="BZ239" t="str">
        <f>"1.054"</f>
        <v>1.054</v>
      </c>
      <c r="CA239" t="s">
        <v>431</v>
      </c>
      <c r="CE239" t="s">
        <v>3804</v>
      </c>
      <c r="CF239" t="s">
        <v>4901</v>
      </c>
      <c r="CG239" t="s">
        <v>4902</v>
      </c>
      <c r="CR239" t="s">
        <v>400</v>
      </c>
      <c r="CS239">
        <v>0</v>
      </c>
      <c r="CT239" t="s">
        <v>400</v>
      </c>
      <c r="CV239">
        <v>0</v>
      </c>
      <c r="CX239" t="s">
        <v>4903</v>
      </c>
      <c r="CY239" t="s">
        <v>954</v>
      </c>
      <c r="DA239">
        <v>0</v>
      </c>
      <c r="DB239">
        <v>0</v>
      </c>
      <c r="DC239">
        <v>2</v>
      </c>
      <c r="DK239" t="s">
        <v>4205</v>
      </c>
      <c r="DM239" t="s">
        <v>669</v>
      </c>
      <c r="DX239" t="s">
        <v>392</v>
      </c>
      <c r="EM239" t="s">
        <v>402</v>
      </c>
      <c r="EN239">
        <v>2</v>
      </c>
      <c r="EZ239" t="s">
        <v>3832</v>
      </c>
      <c r="FA239" t="s">
        <v>4614</v>
      </c>
      <c r="FB239" t="s">
        <v>4904</v>
      </c>
      <c r="FC239" t="s">
        <v>3804</v>
      </c>
      <c r="FD239" t="s">
        <v>956</v>
      </c>
      <c r="FE239" t="s">
        <v>4902</v>
      </c>
      <c r="FF239">
        <v>0</v>
      </c>
      <c r="FH239" t="s">
        <v>4905</v>
      </c>
      <c r="FI239">
        <v>4</v>
      </c>
      <c r="FJ239" t="s">
        <v>960</v>
      </c>
      <c r="FK239" t="s">
        <v>1246</v>
      </c>
      <c r="FL239">
        <v>0</v>
      </c>
      <c r="FM239" t="s">
        <v>402</v>
      </c>
      <c r="FO239" t="s">
        <v>984</v>
      </c>
      <c r="GB239" t="s">
        <v>3804</v>
      </c>
      <c r="GC239" t="s">
        <v>4901</v>
      </c>
      <c r="GD239" t="s">
        <v>4902</v>
      </c>
      <c r="GX239" t="s">
        <v>392</v>
      </c>
      <c r="HI239" t="s">
        <v>402</v>
      </c>
    </row>
    <row r="240" spans="1:272" x14ac:dyDescent="0.25">
      <c r="A240" t="s">
        <v>4923</v>
      </c>
      <c r="B240" t="str">
        <f>"801542621100"</f>
        <v>801542621100</v>
      </c>
      <c r="C240" t="s">
        <v>4924</v>
      </c>
      <c r="D240" t="s">
        <v>366</v>
      </c>
      <c r="E240" t="s">
        <v>1593</v>
      </c>
      <c r="G240" t="str">
        <f>"55"</f>
        <v>55</v>
      </c>
      <c r="H240" t="str">
        <f>"16"</f>
        <v>16</v>
      </c>
      <c r="I240" t="str">
        <f>"20"</f>
        <v>20</v>
      </c>
      <c r="J240" t="str">
        <f>"41.3"</f>
        <v>41.3</v>
      </c>
      <c r="K240" t="s">
        <v>1744</v>
      </c>
      <c r="N240" t="s">
        <v>371</v>
      </c>
      <c r="T240" t="s">
        <v>373</v>
      </c>
      <c r="U240" t="s">
        <v>373</v>
      </c>
      <c r="V240" t="s">
        <v>4925</v>
      </c>
      <c r="W240" t="s">
        <v>4926</v>
      </c>
      <c r="X240" t="s">
        <v>4927</v>
      </c>
      <c r="Y240" t="s">
        <v>4928</v>
      </c>
      <c r="Z240" t="s">
        <v>4929</v>
      </c>
      <c r="AA240" t="s">
        <v>4930</v>
      </c>
      <c r="AB240" t="s">
        <v>4931</v>
      </c>
      <c r="AC240" t="s">
        <v>4932</v>
      </c>
      <c r="AD240" t="s">
        <v>4933</v>
      </c>
      <c r="AE240" t="s">
        <v>4934</v>
      </c>
      <c r="AF240" t="s">
        <v>4935</v>
      </c>
      <c r="AG240" t="s">
        <v>4936</v>
      </c>
      <c r="AH240" t="s">
        <v>4937</v>
      </c>
      <c r="BA240" t="str">
        <f>"749"</f>
        <v>749</v>
      </c>
      <c r="BB240" t="str">
        <f>"315"</f>
        <v>315</v>
      </c>
      <c r="BC240" t="s">
        <v>388</v>
      </c>
      <c r="BD240" t="str">
        <f t="shared" si="52"/>
        <v>1</v>
      </c>
      <c r="BE240" t="s">
        <v>389</v>
      </c>
      <c r="BF240" t="str">
        <f>"56.5"</f>
        <v>56.5</v>
      </c>
      <c r="BG240" t="str">
        <f>"17.72"</f>
        <v>17.72</v>
      </c>
      <c r="BH240" t="str">
        <f>"21.65"</f>
        <v>21.65</v>
      </c>
      <c r="BI240" t="str">
        <f>"57.1"</f>
        <v>57.1</v>
      </c>
      <c r="BY240" t="str">
        <f>"12.54"</f>
        <v>12.54</v>
      </c>
      <c r="BZ240" t="str">
        <f>"0.355"</f>
        <v>0.355</v>
      </c>
      <c r="CA240" t="s">
        <v>495</v>
      </c>
      <c r="CQ240" t="s">
        <v>631</v>
      </c>
      <c r="CX240" t="s">
        <v>1609</v>
      </c>
      <c r="CY240" t="s">
        <v>400</v>
      </c>
      <c r="DD240">
        <v>25000</v>
      </c>
      <c r="DE240" t="s">
        <v>405</v>
      </c>
      <c r="DK240" t="s">
        <v>4938</v>
      </c>
      <c r="DX240" t="s">
        <v>3256</v>
      </c>
      <c r="EG240" t="s">
        <v>401</v>
      </c>
      <c r="FK240" t="s">
        <v>1611</v>
      </c>
      <c r="HJ240" t="s">
        <v>4939</v>
      </c>
      <c r="HK240" t="s">
        <v>1739</v>
      </c>
      <c r="HL240" t="s">
        <v>4940</v>
      </c>
    </row>
    <row r="241" spans="1:275" x14ac:dyDescent="0.25">
      <c r="A241" t="s">
        <v>4941</v>
      </c>
      <c r="B241" t="str">
        <f>"801542577292"</f>
        <v>801542577292</v>
      </c>
      <c r="C241" t="s">
        <v>4942</v>
      </c>
      <c r="D241" t="s">
        <v>4843</v>
      </c>
      <c r="E241" t="s">
        <v>930</v>
      </c>
      <c r="G241" t="str">
        <f>"70"</f>
        <v>70</v>
      </c>
      <c r="H241" t="str">
        <f>"18"</f>
        <v>18</v>
      </c>
      <c r="I241" t="str">
        <f>"32"</f>
        <v>32</v>
      </c>
      <c r="J241" t="str">
        <f>"149.69"</f>
        <v>149.69</v>
      </c>
      <c r="K241" t="s">
        <v>4844</v>
      </c>
      <c r="L241" t="s">
        <v>4845</v>
      </c>
      <c r="N241" t="s">
        <v>775</v>
      </c>
      <c r="O241" t="s">
        <v>1424</v>
      </c>
      <c r="T241" t="s">
        <v>373</v>
      </c>
      <c r="U241" t="s">
        <v>373</v>
      </c>
      <c r="V241" t="s">
        <v>4943</v>
      </c>
      <c r="W241" t="s">
        <v>4944</v>
      </c>
      <c r="X241" t="s">
        <v>4945</v>
      </c>
      <c r="Y241" t="s">
        <v>4946</v>
      </c>
      <c r="Z241" t="s">
        <v>4947</v>
      </c>
      <c r="AA241" t="s">
        <v>4948</v>
      </c>
      <c r="AB241" t="s">
        <v>4949</v>
      </c>
      <c r="AC241" t="s">
        <v>4950</v>
      </c>
      <c r="AD241" t="s">
        <v>4951</v>
      </c>
      <c r="AE241" t="s">
        <v>4952</v>
      </c>
      <c r="AF241" t="s">
        <v>4953</v>
      </c>
      <c r="AG241" t="s">
        <v>4954</v>
      </c>
      <c r="AH241" t="s">
        <v>4955</v>
      </c>
      <c r="AI241" t="s">
        <v>4956</v>
      </c>
      <c r="AJ241" t="s">
        <v>4957</v>
      </c>
      <c r="AK241" t="s">
        <v>4958</v>
      </c>
      <c r="AL241" t="s">
        <v>4959</v>
      </c>
      <c r="BA241" t="str">
        <f>"1899"</f>
        <v>1899</v>
      </c>
      <c r="BB241" t="str">
        <f>"800"</f>
        <v>800</v>
      </c>
      <c r="BC241" t="s">
        <v>949</v>
      </c>
      <c r="BD241" t="str">
        <f t="shared" si="52"/>
        <v>1</v>
      </c>
      <c r="BE241" t="s">
        <v>389</v>
      </c>
      <c r="BF241" t="str">
        <f>"73.5"</f>
        <v>73.5</v>
      </c>
      <c r="BG241" t="str">
        <f>"21.5"</f>
        <v>21.5</v>
      </c>
      <c r="BH241" t="str">
        <f>"37.5"</f>
        <v>37.5</v>
      </c>
      <c r="BI241" t="str">
        <f>"179.23"</f>
        <v>179.23</v>
      </c>
      <c r="BY241" t="str">
        <f>"34.29"</f>
        <v>34.29</v>
      </c>
      <c r="BZ241" t="str">
        <f>"0.971"</f>
        <v>0.971</v>
      </c>
      <c r="CA241" t="s">
        <v>431</v>
      </c>
      <c r="CE241" t="s">
        <v>957</v>
      </c>
      <c r="CF241" t="s">
        <v>2908</v>
      </c>
      <c r="CG241" t="s">
        <v>822</v>
      </c>
      <c r="CR241" t="s">
        <v>400</v>
      </c>
      <c r="CS241">
        <v>0</v>
      </c>
      <c r="CT241" t="s">
        <v>400</v>
      </c>
      <c r="CV241">
        <v>0</v>
      </c>
      <c r="CX241" t="s">
        <v>667</v>
      </c>
      <c r="CY241" t="s">
        <v>954</v>
      </c>
      <c r="DA241">
        <v>18.14</v>
      </c>
      <c r="DB241">
        <v>40</v>
      </c>
      <c r="DC241">
        <v>2</v>
      </c>
      <c r="DK241" t="s">
        <v>4864</v>
      </c>
      <c r="DM241" t="s">
        <v>473</v>
      </c>
      <c r="DX241" t="s">
        <v>433</v>
      </c>
      <c r="EM241" t="s">
        <v>402</v>
      </c>
      <c r="EN241">
        <v>2</v>
      </c>
      <c r="EZ241" t="s">
        <v>474</v>
      </c>
      <c r="FA241" t="s">
        <v>3483</v>
      </c>
      <c r="FB241" t="s">
        <v>2074</v>
      </c>
      <c r="FC241" t="s">
        <v>1056</v>
      </c>
      <c r="FD241" t="s">
        <v>3483</v>
      </c>
      <c r="FE241" t="s">
        <v>822</v>
      </c>
      <c r="FF241">
        <v>0</v>
      </c>
      <c r="FG241" t="s">
        <v>402</v>
      </c>
      <c r="FH241" t="s">
        <v>959</v>
      </c>
      <c r="FI241">
        <v>4</v>
      </c>
      <c r="FJ241" t="s">
        <v>960</v>
      </c>
      <c r="FK241" t="s">
        <v>961</v>
      </c>
      <c r="FL241">
        <v>0</v>
      </c>
      <c r="FM241" t="s">
        <v>402</v>
      </c>
      <c r="FO241" t="s">
        <v>984</v>
      </c>
      <c r="FY241" t="s">
        <v>402</v>
      </c>
      <c r="HI241" t="s">
        <v>402</v>
      </c>
      <c r="JG241" t="s">
        <v>1056</v>
      </c>
      <c r="JH241" t="s">
        <v>3483</v>
      </c>
      <c r="JI241" t="s">
        <v>822</v>
      </c>
      <c r="JJ241" t="s">
        <v>2908</v>
      </c>
    </row>
    <row r="242" spans="1:275" x14ac:dyDescent="0.25">
      <c r="A242" t="s">
        <v>4960</v>
      </c>
      <c r="B242" t="str">
        <f>"801542748869"</f>
        <v>801542748869</v>
      </c>
      <c r="C242" t="s">
        <v>4961</v>
      </c>
      <c r="D242" t="s">
        <v>4184</v>
      </c>
      <c r="E242" t="s">
        <v>1043</v>
      </c>
      <c r="G242" t="str">
        <f>"27.25"</f>
        <v>27.25</v>
      </c>
      <c r="H242" t="str">
        <f>"19.5"</f>
        <v>19.5</v>
      </c>
      <c r="I242" t="str">
        <f>"26"</f>
        <v>26</v>
      </c>
      <c r="J242" t="str">
        <f>"55.12"</f>
        <v>55.12</v>
      </c>
      <c r="K242" t="s">
        <v>4213</v>
      </c>
      <c r="L242" t="s">
        <v>4186</v>
      </c>
      <c r="N242" t="s">
        <v>1970</v>
      </c>
      <c r="O242" t="s">
        <v>416</v>
      </c>
      <c r="T242" t="s">
        <v>402</v>
      </c>
      <c r="U242" t="s">
        <v>373</v>
      </c>
      <c r="V242" t="s">
        <v>4962</v>
      </c>
      <c r="W242" t="s">
        <v>4963</v>
      </c>
      <c r="X242" t="s">
        <v>4964</v>
      </c>
      <c r="Y242" t="s">
        <v>4965</v>
      </c>
      <c r="Z242" t="s">
        <v>4966</v>
      </c>
      <c r="AA242" t="s">
        <v>4967</v>
      </c>
      <c r="AB242" t="s">
        <v>4968</v>
      </c>
      <c r="AC242" t="s">
        <v>4969</v>
      </c>
      <c r="AD242" t="s">
        <v>4970</v>
      </c>
      <c r="AE242" t="s">
        <v>4971</v>
      </c>
      <c r="AF242" t="s">
        <v>4972</v>
      </c>
      <c r="AG242" t="s">
        <v>4973</v>
      </c>
      <c r="AH242" t="s">
        <v>4974</v>
      </c>
      <c r="BA242" t="str">
        <f>"699"</f>
        <v>699</v>
      </c>
      <c r="BB242" t="str">
        <f>"295"</f>
        <v>295</v>
      </c>
      <c r="BC242" t="s">
        <v>665</v>
      </c>
      <c r="BD242" t="str">
        <f t="shared" si="52"/>
        <v>1</v>
      </c>
      <c r="BE242" t="s">
        <v>4975</v>
      </c>
      <c r="BF242" t="str">
        <f>"31.89"</f>
        <v>31.89</v>
      </c>
      <c r="BG242" t="str">
        <f>"22.64"</f>
        <v>22.64</v>
      </c>
      <c r="BH242" t="str">
        <f>"32.28"</f>
        <v>32.28</v>
      </c>
      <c r="BI242" t="str">
        <f>"74.96"</f>
        <v>74.96</v>
      </c>
      <c r="BY242" t="str">
        <f>"13.49"</f>
        <v>13.49</v>
      </c>
      <c r="BZ242" t="str">
        <f>"0.382"</f>
        <v>0.382</v>
      </c>
      <c r="CA242" t="s">
        <v>431</v>
      </c>
      <c r="CR242" t="s">
        <v>1007</v>
      </c>
      <c r="CS242">
        <v>2</v>
      </c>
      <c r="CT242" t="s">
        <v>400</v>
      </c>
      <c r="CV242">
        <v>0</v>
      </c>
      <c r="CX242" t="s">
        <v>953</v>
      </c>
      <c r="CY242" t="s">
        <v>1009</v>
      </c>
      <c r="DC242">
        <v>0</v>
      </c>
      <c r="DJ242" t="s">
        <v>408</v>
      </c>
      <c r="DK242" t="s">
        <v>4205</v>
      </c>
      <c r="DM242" t="s">
        <v>473</v>
      </c>
      <c r="DX242" t="s">
        <v>635</v>
      </c>
      <c r="EM242" t="s">
        <v>402</v>
      </c>
      <c r="EN242">
        <v>0</v>
      </c>
      <c r="FI242">
        <v>0</v>
      </c>
      <c r="FJ242" t="s">
        <v>1012</v>
      </c>
      <c r="FR242" t="s">
        <v>4976</v>
      </c>
      <c r="FT242" t="s">
        <v>2360</v>
      </c>
      <c r="FV242" t="s">
        <v>603</v>
      </c>
      <c r="FX242" t="s">
        <v>4210</v>
      </c>
      <c r="FZ242" t="s">
        <v>1018</v>
      </c>
    </row>
    <row r="243" spans="1:275" x14ac:dyDescent="0.25">
      <c r="A243" t="s">
        <v>4977</v>
      </c>
      <c r="B243" t="str">
        <f>"801542036805"</f>
        <v>801542036805</v>
      </c>
      <c r="C243" t="s">
        <v>4978</v>
      </c>
      <c r="D243" t="s">
        <v>4184</v>
      </c>
      <c r="E243" t="s">
        <v>1043</v>
      </c>
      <c r="G243" t="str">
        <f>"27.25"</f>
        <v>27.25</v>
      </c>
      <c r="H243" t="str">
        <f>"19.5"</f>
        <v>19.5</v>
      </c>
      <c r="I243" t="str">
        <f>"26"</f>
        <v>26</v>
      </c>
      <c r="J243" t="str">
        <f>"55.12"</f>
        <v>55.12</v>
      </c>
      <c r="K243" t="s">
        <v>4185</v>
      </c>
      <c r="L243" t="s">
        <v>4186</v>
      </c>
      <c r="N243" t="s">
        <v>1970</v>
      </c>
      <c r="O243" t="s">
        <v>416</v>
      </c>
      <c r="T243" t="s">
        <v>402</v>
      </c>
      <c r="U243" t="s">
        <v>373</v>
      </c>
      <c r="V243" t="s">
        <v>4979</v>
      </c>
      <c r="W243" t="s">
        <v>4980</v>
      </c>
      <c r="X243" t="s">
        <v>4981</v>
      </c>
      <c r="Y243" t="s">
        <v>4982</v>
      </c>
      <c r="Z243" t="s">
        <v>4983</v>
      </c>
      <c r="AA243" t="s">
        <v>4984</v>
      </c>
      <c r="AB243" t="s">
        <v>4985</v>
      </c>
      <c r="AC243" t="s">
        <v>4986</v>
      </c>
      <c r="AD243" t="s">
        <v>4987</v>
      </c>
      <c r="AE243" t="s">
        <v>4988</v>
      </c>
      <c r="AF243" t="s">
        <v>4989</v>
      </c>
      <c r="AG243" t="s">
        <v>4990</v>
      </c>
      <c r="AH243" t="s">
        <v>4991</v>
      </c>
      <c r="AI243" t="s">
        <v>4992</v>
      </c>
      <c r="AJ243" t="s">
        <v>4993</v>
      </c>
      <c r="BA243" t="str">
        <f>"699"</f>
        <v>699</v>
      </c>
      <c r="BB243" t="str">
        <f>"295"</f>
        <v>295</v>
      </c>
      <c r="BC243" t="s">
        <v>665</v>
      </c>
      <c r="BD243" t="str">
        <f t="shared" si="52"/>
        <v>1</v>
      </c>
      <c r="BE243" t="s">
        <v>4975</v>
      </c>
      <c r="BF243" t="str">
        <f>"31.89"</f>
        <v>31.89</v>
      </c>
      <c r="BG243" t="str">
        <f>"22.64"</f>
        <v>22.64</v>
      </c>
      <c r="BH243" t="str">
        <f>"32.28"</f>
        <v>32.28</v>
      </c>
      <c r="BI243" t="str">
        <f>"74.96"</f>
        <v>74.96</v>
      </c>
      <c r="BY243" t="str">
        <f>"13.49"</f>
        <v>13.49</v>
      </c>
      <c r="BZ243" t="str">
        <f>"0.382"</f>
        <v>0.382</v>
      </c>
      <c r="CA243" t="s">
        <v>431</v>
      </c>
      <c r="CR243" t="s">
        <v>1007</v>
      </c>
      <c r="CS243">
        <v>2</v>
      </c>
      <c r="CT243" t="s">
        <v>400</v>
      </c>
      <c r="CV243">
        <v>0</v>
      </c>
      <c r="CX243" t="s">
        <v>953</v>
      </c>
      <c r="CY243" t="s">
        <v>1009</v>
      </c>
      <c r="DC243">
        <v>0</v>
      </c>
      <c r="DJ243" t="s">
        <v>408</v>
      </c>
      <c r="DK243" t="s">
        <v>4205</v>
      </c>
      <c r="DM243" t="s">
        <v>473</v>
      </c>
      <c r="DX243" t="s">
        <v>635</v>
      </c>
      <c r="EM243" t="s">
        <v>402</v>
      </c>
      <c r="EN243">
        <v>0</v>
      </c>
      <c r="FI243">
        <v>0</v>
      </c>
      <c r="FJ243" t="s">
        <v>1012</v>
      </c>
      <c r="FR243" t="s">
        <v>4976</v>
      </c>
      <c r="FT243" t="s">
        <v>2360</v>
      </c>
      <c r="FV243" t="s">
        <v>603</v>
      </c>
      <c r="FX243" t="s">
        <v>4210</v>
      </c>
      <c r="FZ243" t="s">
        <v>1018</v>
      </c>
    </row>
    <row r="244" spans="1:275" x14ac:dyDescent="0.25">
      <c r="A244" t="s">
        <v>4994</v>
      </c>
      <c r="B244" t="str">
        <f>"801542633592"</f>
        <v>801542633592</v>
      </c>
      <c r="C244" t="s">
        <v>4995</v>
      </c>
      <c r="D244" t="s">
        <v>4184</v>
      </c>
      <c r="E244" t="s">
        <v>988</v>
      </c>
      <c r="G244" t="str">
        <f>"62.5"</f>
        <v>62.5</v>
      </c>
      <c r="H244" t="str">
        <f>"19.5"</f>
        <v>19.5</v>
      </c>
      <c r="I244" t="str">
        <f>"33"</f>
        <v>33</v>
      </c>
      <c r="J244" t="str">
        <f>"174.16"</f>
        <v>174.16</v>
      </c>
      <c r="K244" t="s">
        <v>4185</v>
      </c>
      <c r="L244" t="s">
        <v>4186</v>
      </c>
      <c r="N244" t="s">
        <v>1970</v>
      </c>
      <c r="O244" t="s">
        <v>416</v>
      </c>
      <c r="T244" t="s">
        <v>402</v>
      </c>
      <c r="U244" t="s">
        <v>373</v>
      </c>
      <c r="V244" t="s">
        <v>4620</v>
      </c>
      <c r="W244" t="s">
        <v>4996</v>
      </c>
      <c r="X244" t="s">
        <v>4997</v>
      </c>
      <c r="Y244" t="s">
        <v>4998</v>
      </c>
      <c r="Z244" t="s">
        <v>4999</v>
      </c>
      <c r="AA244" t="s">
        <v>5000</v>
      </c>
      <c r="AB244" t="s">
        <v>5001</v>
      </c>
      <c r="AC244" t="s">
        <v>5002</v>
      </c>
      <c r="AD244" t="s">
        <v>5003</v>
      </c>
      <c r="AE244" t="s">
        <v>5004</v>
      </c>
      <c r="AF244" t="s">
        <v>5005</v>
      </c>
      <c r="AG244" t="s">
        <v>5006</v>
      </c>
      <c r="AH244" t="s">
        <v>5007</v>
      </c>
      <c r="AI244" t="s">
        <v>5008</v>
      </c>
      <c r="AJ244" t="s">
        <v>5009</v>
      </c>
      <c r="AK244" t="s">
        <v>5010</v>
      </c>
      <c r="AL244" t="s">
        <v>5011</v>
      </c>
      <c r="AM244" t="s">
        <v>5012</v>
      </c>
      <c r="AN244" t="s">
        <v>5013</v>
      </c>
      <c r="BA244" t="str">
        <f>"1699"</f>
        <v>1699</v>
      </c>
      <c r="BB244" t="str">
        <f>"715"</f>
        <v>715</v>
      </c>
      <c r="BC244" t="s">
        <v>665</v>
      </c>
      <c r="BD244" t="str">
        <f t="shared" si="52"/>
        <v>1</v>
      </c>
      <c r="BE244" t="s">
        <v>4204</v>
      </c>
      <c r="BF244" t="str">
        <f>"67.13"</f>
        <v>67.13</v>
      </c>
      <c r="BG244" t="str">
        <f>"22.64"</f>
        <v>22.64</v>
      </c>
      <c r="BH244" t="str">
        <f>"39.37"</f>
        <v>39.37</v>
      </c>
      <c r="BI244" t="str">
        <f>"220.46"</f>
        <v>220.46</v>
      </c>
      <c r="BY244" t="str">
        <f>"34.61"</f>
        <v>34.61</v>
      </c>
      <c r="BZ244" t="str">
        <f>"0.98"</f>
        <v>0.98</v>
      </c>
      <c r="CA244" t="s">
        <v>431</v>
      </c>
      <c r="CR244" t="s">
        <v>1007</v>
      </c>
      <c r="CS244">
        <v>6</v>
      </c>
      <c r="CT244" t="s">
        <v>400</v>
      </c>
      <c r="CV244">
        <v>0</v>
      </c>
      <c r="CX244" t="s">
        <v>953</v>
      </c>
      <c r="CY244" t="s">
        <v>1009</v>
      </c>
      <c r="DC244">
        <v>0</v>
      </c>
      <c r="DJ244" t="s">
        <v>1010</v>
      </c>
      <c r="DK244" t="s">
        <v>4205</v>
      </c>
      <c r="DM244" t="s">
        <v>473</v>
      </c>
      <c r="DX244" t="s">
        <v>607</v>
      </c>
      <c r="EM244" t="s">
        <v>402</v>
      </c>
      <c r="EN244">
        <v>0</v>
      </c>
      <c r="FI244">
        <v>0</v>
      </c>
      <c r="FJ244" t="s">
        <v>1012</v>
      </c>
      <c r="FR244" t="s">
        <v>4207</v>
      </c>
      <c r="FS244" t="s">
        <v>4207</v>
      </c>
      <c r="FT244" t="s">
        <v>4208</v>
      </c>
      <c r="FU244" t="s">
        <v>1739</v>
      </c>
      <c r="FV244" t="s">
        <v>5014</v>
      </c>
      <c r="FW244" t="s">
        <v>5014</v>
      </c>
      <c r="FX244" t="s">
        <v>4210</v>
      </c>
      <c r="FY244" t="s">
        <v>402</v>
      </c>
      <c r="FZ244" t="s">
        <v>1018</v>
      </c>
    </row>
    <row r="245" spans="1:275" x14ac:dyDescent="0.25">
      <c r="A245" t="s">
        <v>5015</v>
      </c>
      <c r="B245" t="str">
        <f>"801542757137"</f>
        <v>801542757137</v>
      </c>
      <c r="C245" t="s">
        <v>5016</v>
      </c>
      <c r="D245" t="s">
        <v>4184</v>
      </c>
      <c r="E245" t="s">
        <v>988</v>
      </c>
      <c r="G245" t="str">
        <f>"62.5"</f>
        <v>62.5</v>
      </c>
      <c r="H245" t="str">
        <f>"19.5"</f>
        <v>19.5</v>
      </c>
      <c r="I245" t="str">
        <f>"33"</f>
        <v>33</v>
      </c>
      <c r="J245" t="str">
        <f>"174.16"</f>
        <v>174.16</v>
      </c>
      <c r="K245" t="s">
        <v>4213</v>
      </c>
      <c r="L245" t="s">
        <v>4186</v>
      </c>
      <c r="N245" t="s">
        <v>1970</v>
      </c>
      <c r="O245" t="s">
        <v>416</v>
      </c>
      <c r="T245" t="s">
        <v>402</v>
      </c>
      <c r="U245" t="s">
        <v>373</v>
      </c>
      <c r="V245" t="s">
        <v>4638</v>
      </c>
      <c r="W245" t="s">
        <v>5017</v>
      </c>
      <c r="X245" t="s">
        <v>5018</v>
      </c>
      <c r="Y245" t="s">
        <v>5019</v>
      </c>
      <c r="Z245" t="s">
        <v>5020</v>
      </c>
      <c r="AA245" t="s">
        <v>5021</v>
      </c>
      <c r="AB245" t="s">
        <v>5022</v>
      </c>
      <c r="AC245" t="s">
        <v>5023</v>
      </c>
      <c r="AD245" t="s">
        <v>5024</v>
      </c>
      <c r="AE245" t="s">
        <v>5025</v>
      </c>
      <c r="AF245" t="s">
        <v>5026</v>
      </c>
      <c r="AG245" t="s">
        <v>5027</v>
      </c>
      <c r="AH245" t="s">
        <v>5028</v>
      </c>
      <c r="BA245" t="str">
        <f>"1699"</f>
        <v>1699</v>
      </c>
      <c r="BB245" t="str">
        <f>"715"</f>
        <v>715</v>
      </c>
      <c r="BC245" t="s">
        <v>665</v>
      </c>
      <c r="BD245" t="str">
        <f t="shared" si="52"/>
        <v>1</v>
      </c>
      <c r="BE245" t="s">
        <v>4204</v>
      </c>
      <c r="BF245" t="str">
        <f>"67.13"</f>
        <v>67.13</v>
      </c>
      <c r="BG245" t="str">
        <f>"22.64"</f>
        <v>22.64</v>
      </c>
      <c r="BH245" t="str">
        <f>"39.37"</f>
        <v>39.37</v>
      </c>
      <c r="BI245" t="str">
        <f>"220.46"</f>
        <v>220.46</v>
      </c>
      <c r="BY245" t="str">
        <f>"34.61"</f>
        <v>34.61</v>
      </c>
      <c r="BZ245" t="str">
        <f>"0.98"</f>
        <v>0.98</v>
      </c>
      <c r="CA245" t="s">
        <v>431</v>
      </c>
      <c r="CR245" t="s">
        <v>1007</v>
      </c>
      <c r="CS245">
        <v>6</v>
      </c>
      <c r="CT245" t="s">
        <v>400</v>
      </c>
      <c r="CV245">
        <v>0</v>
      </c>
      <c r="CX245" t="s">
        <v>953</v>
      </c>
      <c r="CY245" t="s">
        <v>1009</v>
      </c>
      <c r="DC245">
        <v>0</v>
      </c>
      <c r="DJ245" t="s">
        <v>1010</v>
      </c>
      <c r="DK245" t="s">
        <v>4205</v>
      </c>
      <c r="DM245" t="s">
        <v>473</v>
      </c>
      <c r="DX245" t="s">
        <v>607</v>
      </c>
      <c r="EM245" t="s">
        <v>402</v>
      </c>
      <c r="EN245">
        <v>0</v>
      </c>
      <c r="FI245">
        <v>0</v>
      </c>
      <c r="FJ245" t="s">
        <v>1012</v>
      </c>
      <c r="FR245" t="s">
        <v>4207</v>
      </c>
      <c r="FS245" t="s">
        <v>4207</v>
      </c>
      <c r="FT245" t="s">
        <v>4208</v>
      </c>
      <c r="FU245" t="s">
        <v>1739</v>
      </c>
      <c r="FV245" t="s">
        <v>5014</v>
      </c>
      <c r="FW245" t="s">
        <v>5014</v>
      </c>
      <c r="FX245" t="s">
        <v>4210</v>
      </c>
      <c r="FY245" t="s">
        <v>402</v>
      </c>
      <c r="FZ245" t="s">
        <v>1018</v>
      </c>
    </row>
    <row r="246" spans="1:275" x14ac:dyDescent="0.25">
      <c r="A246" t="s">
        <v>5029</v>
      </c>
      <c r="B246" t="str">
        <f>"801542669584"</f>
        <v>801542669584</v>
      </c>
      <c r="C246" t="s">
        <v>5030</v>
      </c>
      <c r="D246" t="s">
        <v>929</v>
      </c>
      <c r="E246" t="s">
        <v>1021</v>
      </c>
      <c r="G246" t="str">
        <f>"79"</f>
        <v>79</v>
      </c>
      <c r="H246" t="str">
        <f>"18"</f>
        <v>18</v>
      </c>
      <c r="I246" t="str">
        <f>"28"</f>
        <v>28</v>
      </c>
      <c r="J246" t="str">
        <f>"164.68"</f>
        <v>164.68</v>
      </c>
      <c r="K246" t="s">
        <v>966</v>
      </c>
      <c r="L246" t="s">
        <v>837</v>
      </c>
      <c r="N246" t="s">
        <v>933</v>
      </c>
      <c r="O246" t="s">
        <v>555</v>
      </c>
      <c r="T246" t="s">
        <v>373</v>
      </c>
      <c r="U246" t="s">
        <v>373</v>
      </c>
      <c r="V246" t="s">
        <v>1023</v>
      </c>
      <c r="W246" t="s">
        <v>5031</v>
      </c>
      <c r="X246" t="s">
        <v>5032</v>
      </c>
      <c r="Y246" t="s">
        <v>5033</v>
      </c>
      <c r="Z246" t="s">
        <v>5034</v>
      </c>
      <c r="AA246" t="s">
        <v>5035</v>
      </c>
      <c r="AB246" t="s">
        <v>5036</v>
      </c>
      <c r="AC246" t="s">
        <v>5037</v>
      </c>
      <c r="AD246" t="s">
        <v>5038</v>
      </c>
      <c r="AE246" t="s">
        <v>5039</v>
      </c>
      <c r="AF246" t="s">
        <v>5040</v>
      </c>
      <c r="AG246" t="s">
        <v>5041</v>
      </c>
      <c r="AH246" t="s">
        <v>5042</v>
      </c>
      <c r="BA246" t="str">
        <f>"1999"</f>
        <v>1999</v>
      </c>
      <c r="BB246" t="str">
        <f>"840"</f>
        <v>840</v>
      </c>
      <c r="BC246" t="s">
        <v>949</v>
      </c>
      <c r="BD246" t="str">
        <f t="shared" si="52"/>
        <v>1</v>
      </c>
      <c r="BE246" t="s">
        <v>389</v>
      </c>
      <c r="BF246" t="str">
        <f>"82"</f>
        <v>82</v>
      </c>
      <c r="BG246" t="str">
        <f>"22"</f>
        <v>22</v>
      </c>
      <c r="BH246" t="str">
        <f>"31.5"</f>
        <v>31.5</v>
      </c>
      <c r="BI246" t="str">
        <f>"188.49"</f>
        <v>188.49</v>
      </c>
      <c r="BY246" t="str">
        <f>"32.88"</f>
        <v>32.88</v>
      </c>
      <c r="BZ246" t="str">
        <f>"0.931"</f>
        <v>0.931</v>
      </c>
      <c r="CA246" t="s">
        <v>495</v>
      </c>
      <c r="CB246" t="s">
        <v>1055</v>
      </c>
      <c r="CC246" t="s">
        <v>1040</v>
      </c>
      <c r="CD246" t="s">
        <v>4865</v>
      </c>
      <c r="CE246" t="s">
        <v>5043</v>
      </c>
      <c r="CF246" t="s">
        <v>830</v>
      </c>
      <c r="CG246" t="s">
        <v>4865</v>
      </c>
      <c r="CR246" t="s">
        <v>1007</v>
      </c>
      <c r="CS246">
        <v>3</v>
      </c>
      <c r="CT246" t="s">
        <v>1312</v>
      </c>
      <c r="CV246">
        <v>2</v>
      </c>
      <c r="CW246" t="s">
        <v>402</v>
      </c>
      <c r="CX246" t="s">
        <v>953</v>
      </c>
      <c r="CY246" t="s">
        <v>954</v>
      </c>
      <c r="DA246">
        <v>18.14</v>
      </c>
      <c r="DB246">
        <v>40</v>
      </c>
      <c r="DC246">
        <v>0</v>
      </c>
      <c r="DK246" t="s">
        <v>955</v>
      </c>
      <c r="DX246" t="s">
        <v>4515</v>
      </c>
      <c r="EM246" t="s">
        <v>402</v>
      </c>
      <c r="EN246">
        <v>4</v>
      </c>
      <c r="EZ246" t="s">
        <v>602</v>
      </c>
      <c r="FA246" t="s">
        <v>1040</v>
      </c>
      <c r="FB246" t="s">
        <v>2129</v>
      </c>
      <c r="FG246" t="s">
        <v>402</v>
      </c>
      <c r="FH246" t="s">
        <v>959</v>
      </c>
      <c r="FI246">
        <v>3</v>
      </c>
      <c r="FJ246" t="s">
        <v>960</v>
      </c>
      <c r="FK246" t="s">
        <v>961</v>
      </c>
      <c r="FO246" t="s">
        <v>5044</v>
      </c>
      <c r="FR246" t="s">
        <v>5045</v>
      </c>
      <c r="FT246" t="s">
        <v>5046</v>
      </c>
      <c r="FV246" t="s">
        <v>5047</v>
      </c>
      <c r="FX246" t="s">
        <v>1017</v>
      </c>
      <c r="GA246" t="s">
        <v>402</v>
      </c>
      <c r="GB246" t="s">
        <v>5043</v>
      </c>
      <c r="GC246" t="s">
        <v>830</v>
      </c>
      <c r="GD246" t="s">
        <v>5048</v>
      </c>
      <c r="GE246">
        <v>0</v>
      </c>
      <c r="JM246" t="s">
        <v>1055</v>
      </c>
      <c r="JN246" t="s">
        <v>1040</v>
      </c>
      <c r="JO246" t="s">
        <v>5048</v>
      </c>
    </row>
    <row r="247" spans="1:275" x14ac:dyDescent="0.25">
      <c r="A247" t="s">
        <v>5049</v>
      </c>
      <c r="B247" t="str">
        <f>"801542005276"</f>
        <v>801542005276</v>
      </c>
      <c r="C247" t="s">
        <v>5050</v>
      </c>
      <c r="D247" t="s">
        <v>1420</v>
      </c>
      <c r="E247" t="s">
        <v>988</v>
      </c>
      <c r="G247" t="str">
        <f>"65.5"</f>
        <v>65.5</v>
      </c>
      <c r="H247" t="str">
        <f>"20.5"</f>
        <v>20.5</v>
      </c>
      <c r="I247" t="str">
        <f>"31.5"</f>
        <v>31.5</v>
      </c>
      <c r="J247" t="str">
        <f>"200.62"</f>
        <v>200.62</v>
      </c>
      <c r="K247" t="s">
        <v>5051</v>
      </c>
      <c r="L247" t="s">
        <v>5052</v>
      </c>
      <c r="N247" t="s">
        <v>1463</v>
      </c>
      <c r="O247" t="s">
        <v>555</v>
      </c>
      <c r="T247" t="s">
        <v>402</v>
      </c>
      <c r="U247" t="s">
        <v>373</v>
      </c>
      <c r="V247" t="s">
        <v>5053</v>
      </c>
      <c r="W247" t="s">
        <v>5054</v>
      </c>
      <c r="X247" t="s">
        <v>5055</v>
      </c>
      <c r="Y247" t="s">
        <v>5056</v>
      </c>
      <c r="Z247" t="s">
        <v>5057</v>
      </c>
      <c r="AA247" t="s">
        <v>5058</v>
      </c>
      <c r="AB247" t="s">
        <v>5059</v>
      </c>
      <c r="AC247" t="s">
        <v>5060</v>
      </c>
      <c r="AD247" t="s">
        <v>5061</v>
      </c>
      <c r="AE247" t="s">
        <v>5062</v>
      </c>
      <c r="AF247" t="s">
        <v>5063</v>
      </c>
      <c r="AG247" t="s">
        <v>5064</v>
      </c>
      <c r="AH247" t="s">
        <v>5065</v>
      </c>
      <c r="AI247" t="s">
        <v>5066</v>
      </c>
      <c r="AJ247" t="s">
        <v>5067</v>
      </c>
      <c r="BA247" t="str">
        <f>"1999"</f>
        <v>1999</v>
      </c>
      <c r="BB247" t="str">
        <f>"840"</f>
        <v>840</v>
      </c>
      <c r="BC247" t="s">
        <v>665</v>
      </c>
      <c r="BD247" t="str">
        <f t="shared" si="52"/>
        <v>1</v>
      </c>
      <c r="BE247" t="s">
        <v>1266</v>
      </c>
      <c r="BF247" t="str">
        <f>"67.72"</f>
        <v>67.72</v>
      </c>
      <c r="BG247" t="str">
        <f>"24.41"</f>
        <v>24.41</v>
      </c>
      <c r="BH247" t="str">
        <f>"31.5"</f>
        <v>31.5</v>
      </c>
      <c r="BI247" t="str">
        <f>"234.79"</f>
        <v>234.79</v>
      </c>
      <c r="BY247" t="str">
        <f>"30.12"</f>
        <v>30.12</v>
      </c>
      <c r="BZ247" t="str">
        <f>"0.853"</f>
        <v>0.853</v>
      </c>
      <c r="CA247" t="s">
        <v>431</v>
      </c>
      <c r="CR247" t="s">
        <v>5068</v>
      </c>
      <c r="CS247">
        <v>9</v>
      </c>
      <c r="CT247" t="s">
        <v>400</v>
      </c>
      <c r="CV247">
        <v>0</v>
      </c>
      <c r="CX247" t="s">
        <v>953</v>
      </c>
      <c r="CY247" t="s">
        <v>1009</v>
      </c>
      <c r="DC247">
        <v>0</v>
      </c>
      <c r="DJ247" t="s">
        <v>1010</v>
      </c>
      <c r="DK247" t="s">
        <v>5069</v>
      </c>
      <c r="DM247" t="s">
        <v>473</v>
      </c>
      <c r="DX247" t="s">
        <v>5070</v>
      </c>
      <c r="EM247" t="s">
        <v>402</v>
      </c>
      <c r="EN247">
        <v>0</v>
      </c>
      <c r="FI247">
        <v>0</v>
      </c>
      <c r="FJ247" t="s">
        <v>1012</v>
      </c>
      <c r="FP247" t="s">
        <v>402</v>
      </c>
      <c r="FR247" t="s">
        <v>4164</v>
      </c>
      <c r="FS247" t="s">
        <v>4164</v>
      </c>
      <c r="FT247" t="s">
        <v>5071</v>
      </c>
      <c r="FU247" t="s">
        <v>5071</v>
      </c>
      <c r="FV247" t="s">
        <v>5072</v>
      </c>
      <c r="FW247" t="s">
        <v>1488</v>
      </c>
      <c r="FX247" t="s">
        <v>4210</v>
      </c>
      <c r="FZ247" t="s">
        <v>1018</v>
      </c>
    </row>
    <row r="248" spans="1:275" x14ac:dyDescent="0.25">
      <c r="A248" t="s">
        <v>5073</v>
      </c>
      <c r="B248" t="str">
        <f>"801542004453"</f>
        <v>801542004453</v>
      </c>
      <c r="C248" t="s">
        <v>5074</v>
      </c>
      <c r="D248" t="s">
        <v>1420</v>
      </c>
      <c r="E248" t="s">
        <v>988</v>
      </c>
      <c r="G248" t="str">
        <f>"41.5"</f>
        <v>41.5</v>
      </c>
      <c r="H248" t="str">
        <f>"20.5"</f>
        <v>20.5</v>
      </c>
      <c r="I248" t="str">
        <f>"46.5"</f>
        <v>46.5</v>
      </c>
      <c r="J248" t="str">
        <f>"177.47"</f>
        <v>177.47</v>
      </c>
      <c r="K248" t="s">
        <v>5051</v>
      </c>
      <c r="L248" t="s">
        <v>5052</v>
      </c>
      <c r="N248" t="s">
        <v>1463</v>
      </c>
      <c r="O248" t="s">
        <v>555</v>
      </c>
      <c r="T248" t="s">
        <v>373</v>
      </c>
      <c r="U248" t="s">
        <v>373</v>
      </c>
      <c r="V248" t="s">
        <v>5053</v>
      </c>
      <c r="W248" t="s">
        <v>5075</v>
      </c>
      <c r="X248" t="s">
        <v>5076</v>
      </c>
      <c r="Y248" t="s">
        <v>5077</v>
      </c>
      <c r="Z248" t="s">
        <v>5078</v>
      </c>
      <c r="AA248" t="s">
        <v>5079</v>
      </c>
      <c r="AB248" t="s">
        <v>5080</v>
      </c>
      <c r="AC248" t="s">
        <v>5081</v>
      </c>
      <c r="AD248" t="s">
        <v>5082</v>
      </c>
      <c r="AE248" t="s">
        <v>5083</v>
      </c>
      <c r="AF248" t="s">
        <v>5084</v>
      </c>
      <c r="AG248" t="s">
        <v>5085</v>
      </c>
      <c r="AH248" t="s">
        <v>5086</v>
      </c>
      <c r="AI248" t="s">
        <v>5087</v>
      </c>
      <c r="AJ248" t="s">
        <v>5088</v>
      </c>
      <c r="AK248" t="s">
        <v>5089</v>
      </c>
      <c r="BA248" t="str">
        <f>"1599"</f>
        <v>1599</v>
      </c>
      <c r="BB248" t="str">
        <f>"675"</f>
        <v>675</v>
      </c>
      <c r="BC248" t="s">
        <v>665</v>
      </c>
      <c r="BD248" t="str">
        <f t="shared" si="52"/>
        <v>1</v>
      </c>
      <c r="BE248" t="s">
        <v>1266</v>
      </c>
      <c r="BF248" t="str">
        <f>"44.29"</f>
        <v>44.29</v>
      </c>
      <c r="BG248" t="str">
        <f>"24.41"</f>
        <v>24.41</v>
      </c>
      <c r="BH248" t="str">
        <f>"46.46"</f>
        <v>46.46</v>
      </c>
      <c r="BI248" t="str">
        <f>"207.23"</f>
        <v>207.23</v>
      </c>
      <c r="BY248" t="str">
        <f>"29.06"</f>
        <v>29.06</v>
      </c>
      <c r="BZ248" t="str">
        <f>"0.823"</f>
        <v>0.823</v>
      </c>
      <c r="CA248" t="s">
        <v>431</v>
      </c>
      <c r="CR248" t="s">
        <v>5068</v>
      </c>
      <c r="CS248">
        <v>5</v>
      </c>
      <c r="CT248" t="s">
        <v>400</v>
      </c>
      <c r="CV248">
        <v>0</v>
      </c>
      <c r="CX248" t="s">
        <v>953</v>
      </c>
      <c r="CY248" t="s">
        <v>1009</v>
      </c>
      <c r="DC248">
        <v>0</v>
      </c>
      <c r="DJ248" t="s">
        <v>1267</v>
      </c>
      <c r="DK248" t="s">
        <v>5069</v>
      </c>
      <c r="DM248" t="s">
        <v>473</v>
      </c>
      <c r="DX248" t="s">
        <v>5070</v>
      </c>
      <c r="EM248" t="s">
        <v>402</v>
      </c>
      <c r="EN248">
        <v>0</v>
      </c>
      <c r="FI248">
        <v>0</v>
      </c>
      <c r="FJ248" t="s">
        <v>1012</v>
      </c>
      <c r="FP248" t="s">
        <v>402</v>
      </c>
      <c r="FR248" t="s">
        <v>4164</v>
      </c>
      <c r="FS248" t="s">
        <v>4164</v>
      </c>
      <c r="FT248" t="s">
        <v>5090</v>
      </c>
      <c r="FU248" t="s">
        <v>5090</v>
      </c>
      <c r="FV248" t="s">
        <v>5091</v>
      </c>
      <c r="FW248" t="s">
        <v>747</v>
      </c>
      <c r="FX248" t="s">
        <v>4210</v>
      </c>
      <c r="FZ248" t="s">
        <v>1018</v>
      </c>
    </row>
    <row r="249" spans="1:275" x14ac:dyDescent="0.25">
      <c r="A249" t="s">
        <v>5092</v>
      </c>
      <c r="B249" t="str">
        <f>"801542013578"</f>
        <v>801542013578</v>
      </c>
      <c r="C249" t="s">
        <v>5093</v>
      </c>
      <c r="D249" t="s">
        <v>1420</v>
      </c>
      <c r="E249" t="s">
        <v>1043</v>
      </c>
      <c r="G249" t="str">
        <f>"23.5"</f>
        <v>23.5</v>
      </c>
      <c r="H249" t="str">
        <f>"18.5"</f>
        <v>18.5</v>
      </c>
      <c r="I249" t="str">
        <f>"26"</f>
        <v>26</v>
      </c>
      <c r="J249" t="str">
        <f>"62.83"</f>
        <v>62.83</v>
      </c>
      <c r="K249" t="s">
        <v>5051</v>
      </c>
      <c r="L249" t="s">
        <v>5052</v>
      </c>
      <c r="N249" t="s">
        <v>1463</v>
      </c>
      <c r="O249" t="s">
        <v>555</v>
      </c>
      <c r="T249" t="s">
        <v>373</v>
      </c>
      <c r="U249" t="s">
        <v>373</v>
      </c>
      <c r="W249" t="s">
        <v>5094</v>
      </c>
      <c r="X249" t="s">
        <v>5095</v>
      </c>
      <c r="Y249" t="s">
        <v>5096</v>
      </c>
      <c r="Z249" t="s">
        <v>5097</v>
      </c>
      <c r="AA249" t="s">
        <v>5098</v>
      </c>
      <c r="AB249" t="s">
        <v>5099</v>
      </c>
      <c r="AC249" t="s">
        <v>5100</v>
      </c>
      <c r="AD249" t="s">
        <v>5101</v>
      </c>
      <c r="AE249" t="s">
        <v>5102</v>
      </c>
      <c r="AF249" t="s">
        <v>5103</v>
      </c>
      <c r="AG249" t="s">
        <v>5104</v>
      </c>
      <c r="AH249" t="s">
        <v>5105</v>
      </c>
      <c r="AI249" t="s">
        <v>5106</v>
      </c>
      <c r="AJ249" t="s">
        <v>5107</v>
      </c>
      <c r="BA249" t="str">
        <f>"649"</f>
        <v>649</v>
      </c>
      <c r="BB249" t="str">
        <f>"275"</f>
        <v>275</v>
      </c>
      <c r="BC249" t="s">
        <v>665</v>
      </c>
      <c r="BD249" t="str">
        <f t="shared" si="52"/>
        <v>1</v>
      </c>
      <c r="BE249" t="s">
        <v>1266</v>
      </c>
      <c r="BF249" t="str">
        <f>"25.98"</f>
        <v>25.98</v>
      </c>
      <c r="BG249" t="str">
        <f>"22.44"</f>
        <v>22.44</v>
      </c>
      <c r="BH249" t="str">
        <f>"25.98"</f>
        <v>25.98</v>
      </c>
      <c r="BI249" t="str">
        <f>"72.75"</f>
        <v>72.75</v>
      </c>
      <c r="BY249" t="str">
        <f>"8.76"</f>
        <v>8.76</v>
      </c>
      <c r="BZ249" t="str">
        <f>"0.248"</f>
        <v>0.248</v>
      </c>
      <c r="CA249" t="s">
        <v>431</v>
      </c>
      <c r="CR249" t="s">
        <v>5068</v>
      </c>
      <c r="CS249">
        <v>3</v>
      </c>
      <c r="CT249" t="s">
        <v>400</v>
      </c>
      <c r="CV249">
        <v>0</v>
      </c>
      <c r="CX249" t="s">
        <v>953</v>
      </c>
      <c r="CY249" t="s">
        <v>1009</v>
      </c>
      <c r="DC249">
        <v>0</v>
      </c>
      <c r="DJ249" t="s">
        <v>408</v>
      </c>
      <c r="DK249" t="s">
        <v>5069</v>
      </c>
      <c r="DM249" t="s">
        <v>473</v>
      </c>
      <c r="DX249" t="s">
        <v>5070</v>
      </c>
      <c r="EM249" t="s">
        <v>402</v>
      </c>
      <c r="EN249">
        <v>0</v>
      </c>
      <c r="FI249">
        <v>0</v>
      </c>
      <c r="FJ249" t="s">
        <v>1012</v>
      </c>
      <c r="FP249" t="s">
        <v>402</v>
      </c>
      <c r="FR249" t="s">
        <v>5045</v>
      </c>
      <c r="FS249" t="s">
        <v>5045</v>
      </c>
      <c r="FT249" t="s">
        <v>5108</v>
      </c>
      <c r="FU249" t="s">
        <v>5108</v>
      </c>
      <c r="FV249" t="s">
        <v>5109</v>
      </c>
      <c r="FW249" t="s">
        <v>2383</v>
      </c>
      <c r="FX249" t="s">
        <v>4210</v>
      </c>
      <c r="FZ249" t="s">
        <v>1018</v>
      </c>
    </row>
    <row r="250" spans="1:275" x14ac:dyDescent="0.25">
      <c r="A250" t="s">
        <v>5110</v>
      </c>
      <c r="B250" t="str">
        <f>"801542098810"</f>
        <v>801542098810</v>
      </c>
      <c r="C250" t="s">
        <v>5111</v>
      </c>
      <c r="D250" t="s">
        <v>1420</v>
      </c>
      <c r="E250" t="s">
        <v>1043</v>
      </c>
      <c r="G250" t="str">
        <f>"23.5"</f>
        <v>23.5</v>
      </c>
      <c r="H250" t="str">
        <f>"18.5"</f>
        <v>18.5</v>
      </c>
      <c r="I250" t="str">
        <f>"26"</f>
        <v>26</v>
      </c>
      <c r="J250" t="str">
        <f>"62.83"</f>
        <v>62.83</v>
      </c>
      <c r="K250" t="s">
        <v>5112</v>
      </c>
      <c r="L250" t="s">
        <v>5052</v>
      </c>
      <c r="N250" t="s">
        <v>1463</v>
      </c>
      <c r="O250" t="s">
        <v>555</v>
      </c>
      <c r="T250" t="s">
        <v>373</v>
      </c>
      <c r="U250" t="s">
        <v>373</v>
      </c>
      <c r="W250" t="s">
        <v>5113</v>
      </c>
      <c r="X250" t="s">
        <v>5114</v>
      </c>
      <c r="Y250" t="s">
        <v>5115</v>
      </c>
      <c r="Z250" t="s">
        <v>5116</v>
      </c>
      <c r="AA250" t="s">
        <v>5117</v>
      </c>
      <c r="AB250" t="s">
        <v>5118</v>
      </c>
      <c r="AC250" t="s">
        <v>5119</v>
      </c>
      <c r="AD250" t="s">
        <v>5120</v>
      </c>
      <c r="AE250" t="s">
        <v>5121</v>
      </c>
      <c r="AF250" t="s">
        <v>5122</v>
      </c>
      <c r="AG250" t="s">
        <v>5123</v>
      </c>
      <c r="AH250" t="s">
        <v>5124</v>
      </c>
      <c r="AI250" t="s">
        <v>5125</v>
      </c>
      <c r="BA250" t="str">
        <f>"649"</f>
        <v>649</v>
      </c>
      <c r="BB250" t="str">
        <f>"275"</f>
        <v>275</v>
      </c>
      <c r="BC250" t="s">
        <v>665</v>
      </c>
      <c r="BD250" t="str">
        <f t="shared" si="52"/>
        <v>1</v>
      </c>
      <c r="BE250" t="s">
        <v>1266</v>
      </c>
      <c r="BF250" t="str">
        <f>"25.98"</f>
        <v>25.98</v>
      </c>
      <c r="BG250" t="str">
        <f>"22.44"</f>
        <v>22.44</v>
      </c>
      <c r="BH250" t="str">
        <f>"25.98"</f>
        <v>25.98</v>
      </c>
      <c r="BI250" t="str">
        <f>"72.75"</f>
        <v>72.75</v>
      </c>
      <c r="BY250" t="str">
        <f>"8.76"</f>
        <v>8.76</v>
      </c>
      <c r="BZ250" t="str">
        <f>"0.248"</f>
        <v>0.248</v>
      </c>
      <c r="CA250" t="s">
        <v>390</v>
      </c>
      <c r="CR250" t="s">
        <v>5068</v>
      </c>
      <c r="CS250">
        <v>3</v>
      </c>
      <c r="CT250" t="s">
        <v>400</v>
      </c>
      <c r="CV250">
        <v>0</v>
      </c>
      <c r="CX250" t="s">
        <v>953</v>
      </c>
      <c r="CY250" t="s">
        <v>1009</v>
      </c>
      <c r="DC250">
        <v>0</v>
      </c>
      <c r="DJ250" t="s">
        <v>408</v>
      </c>
      <c r="DK250" t="s">
        <v>5069</v>
      </c>
      <c r="DM250" t="s">
        <v>473</v>
      </c>
      <c r="DX250" t="s">
        <v>5070</v>
      </c>
      <c r="EM250" t="s">
        <v>402</v>
      </c>
      <c r="EN250">
        <v>0</v>
      </c>
      <c r="FI250">
        <v>0</v>
      </c>
      <c r="FJ250" t="s">
        <v>1012</v>
      </c>
      <c r="FP250" t="s">
        <v>402</v>
      </c>
      <c r="FR250" t="s">
        <v>5045</v>
      </c>
      <c r="FS250" t="s">
        <v>5045</v>
      </c>
      <c r="FT250" t="s">
        <v>5108</v>
      </c>
      <c r="FU250" t="s">
        <v>5108</v>
      </c>
      <c r="FV250" t="s">
        <v>5109</v>
      </c>
      <c r="FW250" t="s">
        <v>2383</v>
      </c>
      <c r="FX250" t="s">
        <v>4210</v>
      </c>
      <c r="FZ250" t="s">
        <v>1018</v>
      </c>
    </row>
    <row r="251" spans="1:275" x14ac:dyDescent="0.25">
      <c r="A251" t="s">
        <v>5126</v>
      </c>
      <c r="B251" t="str">
        <f>"801542558970"</f>
        <v>801542558970</v>
      </c>
      <c r="C251" t="s">
        <v>5127</v>
      </c>
      <c r="D251" t="s">
        <v>3784</v>
      </c>
      <c r="E251" t="s">
        <v>2006</v>
      </c>
      <c r="F251" t="s">
        <v>2007</v>
      </c>
      <c r="G251" t="str">
        <f>"62.5"</f>
        <v>62.5</v>
      </c>
      <c r="H251" t="str">
        <f t="shared" ref="H251:H256" si="65">"83.25"</f>
        <v>83.25</v>
      </c>
      <c r="I251" t="str">
        <f t="shared" ref="I251:I256" si="66">"50"</f>
        <v>50</v>
      </c>
      <c r="J251" t="str">
        <f>"167.55"</f>
        <v>167.55</v>
      </c>
      <c r="K251" t="s">
        <v>3861</v>
      </c>
      <c r="N251" t="s">
        <v>3787</v>
      </c>
      <c r="T251" t="s">
        <v>373</v>
      </c>
      <c r="U251" t="s">
        <v>373</v>
      </c>
      <c r="V251" t="s">
        <v>5128</v>
      </c>
      <c r="W251" t="s">
        <v>5129</v>
      </c>
      <c r="X251" t="s">
        <v>5130</v>
      </c>
      <c r="Y251" t="s">
        <v>5131</v>
      </c>
      <c r="Z251" t="s">
        <v>5132</v>
      </c>
      <c r="AA251" t="s">
        <v>5133</v>
      </c>
      <c r="AB251" t="s">
        <v>5134</v>
      </c>
      <c r="AC251" t="s">
        <v>5135</v>
      </c>
      <c r="AD251" t="s">
        <v>5136</v>
      </c>
      <c r="AE251" t="s">
        <v>5137</v>
      </c>
      <c r="AF251" t="s">
        <v>5138</v>
      </c>
      <c r="AG251" t="s">
        <v>5139</v>
      </c>
      <c r="AH251" t="s">
        <v>5140</v>
      </c>
      <c r="AI251" t="s">
        <v>5141</v>
      </c>
      <c r="BA251" t="str">
        <f>"1699"</f>
        <v>1699</v>
      </c>
      <c r="BB251" t="str">
        <f>"715"</f>
        <v>715</v>
      </c>
      <c r="BC251" t="s">
        <v>1149</v>
      </c>
      <c r="BD251" t="str">
        <f t="shared" ref="BD251:BD262" si="67">"3"</f>
        <v>3</v>
      </c>
      <c r="BE251" t="s">
        <v>2163</v>
      </c>
      <c r="BF251" t="str">
        <f>"69.29"</f>
        <v>69.29</v>
      </c>
      <c r="BG251" t="str">
        <f>"5.31"</f>
        <v>5.31</v>
      </c>
      <c r="BH251" t="str">
        <f t="shared" ref="BH251:BH256" si="68">"46.85"</f>
        <v>46.85</v>
      </c>
      <c r="BI251" t="str">
        <f>"88.18"</f>
        <v>88.18</v>
      </c>
      <c r="BJ251" t="s">
        <v>5142</v>
      </c>
      <c r="BK251" t="str">
        <f>"68.11"</f>
        <v>68.11</v>
      </c>
      <c r="BL251" t="str">
        <f>"9.06"</f>
        <v>9.06</v>
      </c>
      <c r="BM251" t="str">
        <f t="shared" ref="BM251:BM256" si="69">"13.78"</f>
        <v>13.78</v>
      </c>
      <c r="BN251" t="str">
        <f>"56.22"</f>
        <v>56.22</v>
      </c>
      <c r="BO251" t="s">
        <v>5143</v>
      </c>
      <c r="BP251" t="str">
        <f>"90.16"</f>
        <v>90.16</v>
      </c>
      <c r="BQ251" t="str">
        <f>"6.69"</f>
        <v>6.69</v>
      </c>
      <c r="BR251" t="str">
        <f>"18.5"</f>
        <v>18.5</v>
      </c>
      <c r="BS251" t="str">
        <f>"61.73"</f>
        <v>61.73</v>
      </c>
      <c r="BY251" t="str">
        <f>"21.37"</f>
        <v>21.37</v>
      </c>
      <c r="BZ251" t="str">
        <f>"0.605"</f>
        <v>0.605</v>
      </c>
      <c r="CA251" t="s">
        <v>431</v>
      </c>
      <c r="CR251" t="s">
        <v>400</v>
      </c>
      <c r="CS251">
        <v>0</v>
      </c>
      <c r="CT251" t="s">
        <v>400</v>
      </c>
      <c r="CV251">
        <v>0</v>
      </c>
      <c r="CX251" t="s">
        <v>953</v>
      </c>
      <c r="CY251" t="s">
        <v>400</v>
      </c>
      <c r="DA251">
        <v>0</v>
      </c>
      <c r="DB251">
        <v>0</v>
      </c>
      <c r="DC251">
        <v>0</v>
      </c>
      <c r="DK251" t="s">
        <v>3807</v>
      </c>
      <c r="DM251" t="s">
        <v>2028</v>
      </c>
      <c r="EN251">
        <v>0</v>
      </c>
      <c r="HN251" t="s">
        <v>1739</v>
      </c>
      <c r="HO251" t="s">
        <v>1739</v>
      </c>
      <c r="HP251" t="s">
        <v>1739</v>
      </c>
      <c r="HQ251" t="s">
        <v>3319</v>
      </c>
      <c r="HR251" t="s">
        <v>1348</v>
      </c>
      <c r="HS251" t="s">
        <v>2033</v>
      </c>
      <c r="HT251" t="s">
        <v>2260</v>
      </c>
      <c r="HU251" t="s">
        <v>1358</v>
      </c>
      <c r="HV251" t="s">
        <v>2033</v>
      </c>
      <c r="HW251" t="s">
        <v>4300</v>
      </c>
      <c r="HX251" t="s">
        <v>5144</v>
      </c>
      <c r="HY251" t="s">
        <v>5145</v>
      </c>
      <c r="HZ251" t="s">
        <v>575</v>
      </c>
      <c r="IA251" t="s">
        <v>4300</v>
      </c>
      <c r="IB251" t="s">
        <v>1348</v>
      </c>
      <c r="IC251" t="s">
        <v>402</v>
      </c>
      <c r="ID251" t="s">
        <v>2176</v>
      </c>
      <c r="IE251" t="s">
        <v>1008</v>
      </c>
      <c r="IF251" t="s">
        <v>2177</v>
      </c>
      <c r="IG251" t="s">
        <v>2007</v>
      </c>
      <c r="IM251" t="s">
        <v>2125</v>
      </c>
      <c r="IN251" t="s">
        <v>5146</v>
      </c>
      <c r="IO251" t="s">
        <v>2125</v>
      </c>
      <c r="IP251" t="s">
        <v>402</v>
      </c>
      <c r="IQ251" t="s">
        <v>3522</v>
      </c>
    </row>
    <row r="252" spans="1:275" x14ac:dyDescent="0.25">
      <c r="A252" t="s">
        <v>5147</v>
      </c>
      <c r="B252" t="str">
        <f>"801542558932"</f>
        <v>801542558932</v>
      </c>
      <c r="C252" t="s">
        <v>5127</v>
      </c>
      <c r="D252" t="s">
        <v>3784</v>
      </c>
      <c r="E252" t="s">
        <v>2006</v>
      </c>
      <c r="F252" t="s">
        <v>2040</v>
      </c>
      <c r="G252" t="str">
        <f>"78.25"</f>
        <v>78.25</v>
      </c>
      <c r="H252" t="str">
        <f t="shared" si="65"/>
        <v>83.25</v>
      </c>
      <c r="I252" t="str">
        <f t="shared" si="66"/>
        <v>50</v>
      </c>
      <c r="J252" t="str">
        <f>"208.33"</f>
        <v>208.33</v>
      </c>
      <c r="K252" t="s">
        <v>3861</v>
      </c>
      <c r="N252" t="s">
        <v>3787</v>
      </c>
      <c r="T252" t="s">
        <v>373</v>
      </c>
      <c r="U252" t="s">
        <v>373</v>
      </c>
      <c r="V252" t="s">
        <v>5128</v>
      </c>
      <c r="W252" t="s">
        <v>5148</v>
      </c>
      <c r="X252" t="s">
        <v>5149</v>
      </c>
      <c r="Y252" t="s">
        <v>5150</v>
      </c>
      <c r="Z252" t="s">
        <v>5151</v>
      </c>
      <c r="AA252" t="s">
        <v>5133</v>
      </c>
      <c r="AB252" t="s">
        <v>5152</v>
      </c>
      <c r="AC252" t="s">
        <v>5153</v>
      </c>
      <c r="AD252" t="s">
        <v>5154</v>
      </c>
      <c r="AE252" t="s">
        <v>5155</v>
      </c>
      <c r="AF252" t="s">
        <v>5156</v>
      </c>
      <c r="AG252" t="s">
        <v>5157</v>
      </c>
      <c r="AH252" t="s">
        <v>5158</v>
      </c>
      <c r="AI252" t="s">
        <v>5159</v>
      </c>
      <c r="BA252" t="str">
        <f>"1899"</f>
        <v>1899</v>
      </c>
      <c r="BB252" t="str">
        <f>"800"</f>
        <v>800</v>
      </c>
      <c r="BC252" t="s">
        <v>1149</v>
      </c>
      <c r="BD252" t="str">
        <f t="shared" si="67"/>
        <v>3</v>
      </c>
      <c r="BE252" t="s">
        <v>2163</v>
      </c>
      <c r="BF252" t="str">
        <f>"85.04"</f>
        <v>85.04</v>
      </c>
      <c r="BG252" t="str">
        <f>"5.71"</f>
        <v>5.71</v>
      </c>
      <c r="BH252" t="str">
        <f t="shared" si="68"/>
        <v>46.85</v>
      </c>
      <c r="BI252" t="str">
        <f>"106.92"</f>
        <v>106.92</v>
      </c>
      <c r="BJ252" t="s">
        <v>5142</v>
      </c>
      <c r="BK252" t="str">
        <f>"83.86"</f>
        <v>83.86</v>
      </c>
      <c r="BL252" t="str">
        <f>"9.25"</f>
        <v>9.25</v>
      </c>
      <c r="BM252" t="str">
        <f t="shared" si="69"/>
        <v>13.78</v>
      </c>
      <c r="BN252" t="str">
        <f>"70.55"</f>
        <v>70.55</v>
      </c>
      <c r="BO252" t="s">
        <v>5143</v>
      </c>
      <c r="BP252" t="str">
        <f>"88.98"</f>
        <v>88.98</v>
      </c>
      <c r="BQ252" t="str">
        <f>"7.09"</f>
        <v>7.09</v>
      </c>
      <c r="BR252" t="str">
        <f>"19.29"</f>
        <v>19.29</v>
      </c>
      <c r="BS252" t="str">
        <f>"63.93"</f>
        <v>63.93</v>
      </c>
      <c r="BY252" t="str">
        <f>"26.38"</f>
        <v>26.38</v>
      </c>
      <c r="BZ252" t="str">
        <f>"0.747"</f>
        <v>0.747</v>
      </c>
      <c r="CA252" t="s">
        <v>390</v>
      </c>
      <c r="CR252" t="s">
        <v>400</v>
      </c>
      <c r="CS252">
        <v>0</v>
      </c>
      <c r="CT252" t="s">
        <v>400</v>
      </c>
      <c r="CV252">
        <v>0</v>
      </c>
      <c r="CX252" t="s">
        <v>953</v>
      </c>
      <c r="CY252" t="s">
        <v>400</v>
      </c>
      <c r="DA252">
        <v>0</v>
      </c>
      <c r="DB252">
        <v>0</v>
      </c>
      <c r="DC252">
        <v>0</v>
      </c>
      <c r="DK252" t="s">
        <v>3807</v>
      </c>
      <c r="DM252" t="s">
        <v>2028</v>
      </c>
      <c r="EN252">
        <v>0</v>
      </c>
      <c r="HN252" t="s">
        <v>1739</v>
      </c>
      <c r="HO252" t="s">
        <v>1739</v>
      </c>
      <c r="HP252" t="s">
        <v>1739</v>
      </c>
      <c r="HQ252" t="s">
        <v>3319</v>
      </c>
      <c r="HR252" t="s">
        <v>1348</v>
      </c>
      <c r="HS252" t="s">
        <v>3562</v>
      </c>
      <c r="HT252" t="s">
        <v>2260</v>
      </c>
      <c r="HU252" t="s">
        <v>1358</v>
      </c>
      <c r="HV252" t="s">
        <v>3562</v>
      </c>
      <c r="HW252" t="s">
        <v>4300</v>
      </c>
      <c r="HX252" t="s">
        <v>5144</v>
      </c>
      <c r="HY252" t="s">
        <v>3562</v>
      </c>
      <c r="HZ252" t="s">
        <v>575</v>
      </c>
      <c r="IA252" t="s">
        <v>4300</v>
      </c>
      <c r="IB252" t="s">
        <v>1348</v>
      </c>
      <c r="IC252" t="s">
        <v>402</v>
      </c>
      <c r="ID252" t="s">
        <v>2176</v>
      </c>
      <c r="IE252" t="s">
        <v>1008</v>
      </c>
      <c r="IF252" t="s">
        <v>2177</v>
      </c>
      <c r="IG252" t="s">
        <v>2040</v>
      </c>
      <c r="IM252" t="s">
        <v>2125</v>
      </c>
      <c r="IN252" t="s">
        <v>5146</v>
      </c>
      <c r="IO252" t="s">
        <v>2125</v>
      </c>
      <c r="IP252" t="s">
        <v>402</v>
      </c>
      <c r="IQ252" t="s">
        <v>3522</v>
      </c>
    </row>
    <row r="253" spans="1:275" x14ac:dyDescent="0.25">
      <c r="A253" t="s">
        <v>5160</v>
      </c>
      <c r="B253" t="str">
        <f>"801542573195"</f>
        <v>801542573195</v>
      </c>
      <c r="C253" t="s">
        <v>5161</v>
      </c>
      <c r="D253" t="s">
        <v>3784</v>
      </c>
      <c r="E253" t="s">
        <v>2006</v>
      </c>
      <c r="F253" t="s">
        <v>2040</v>
      </c>
      <c r="G253" t="str">
        <f>"78.25"</f>
        <v>78.25</v>
      </c>
      <c r="H253" t="str">
        <f t="shared" si="65"/>
        <v>83.25</v>
      </c>
      <c r="I253" t="str">
        <f t="shared" si="66"/>
        <v>50</v>
      </c>
      <c r="J253" t="str">
        <f>"208.33"</f>
        <v>208.33</v>
      </c>
      <c r="K253" t="s">
        <v>3886</v>
      </c>
      <c r="N253" t="s">
        <v>3787</v>
      </c>
      <c r="T253" t="s">
        <v>373</v>
      </c>
      <c r="U253" t="s">
        <v>373</v>
      </c>
      <c r="V253" t="s">
        <v>5162</v>
      </c>
      <c r="W253" t="s">
        <v>5163</v>
      </c>
      <c r="X253" t="s">
        <v>5164</v>
      </c>
      <c r="Y253" t="s">
        <v>5165</v>
      </c>
      <c r="Z253" t="s">
        <v>5166</v>
      </c>
      <c r="AA253" t="s">
        <v>5167</v>
      </c>
      <c r="AB253" t="s">
        <v>5168</v>
      </c>
      <c r="AC253" t="s">
        <v>5169</v>
      </c>
      <c r="AD253" t="s">
        <v>5170</v>
      </c>
      <c r="AE253" t="s">
        <v>5171</v>
      </c>
      <c r="AF253" t="s">
        <v>5172</v>
      </c>
      <c r="AG253" t="s">
        <v>5173</v>
      </c>
      <c r="BA253" t="str">
        <f>"1899"</f>
        <v>1899</v>
      </c>
      <c r="BB253" t="str">
        <f>"800"</f>
        <v>800</v>
      </c>
      <c r="BC253" t="s">
        <v>1149</v>
      </c>
      <c r="BD253" t="str">
        <f t="shared" si="67"/>
        <v>3</v>
      </c>
      <c r="BE253" t="s">
        <v>2163</v>
      </c>
      <c r="BF253" t="str">
        <f>"85.04"</f>
        <v>85.04</v>
      </c>
      <c r="BG253" t="str">
        <f>"5.71"</f>
        <v>5.71</v>
      </c>
      <c r="BH253" t="str">
        <f t="shared" si="68"/>
        <v>46.85</v>
      </c>
      <c r="BI253" t="str">
        <f>"106.92"</f>
        <v>106.92</v>
      </c>
      <c r="BJ253" t="s">
        <v>5142</v>
      </c>
      <c r="BK253" t="str">
        <f>"83.86"</f>
        <v>83.86</v>
      </c>
      <c r="BL253" t="str">
        <f>"9.25"</f>
        <v>9.25</v>
      </c>
      <c r="BM253" t="str">
        <f t="shared" si="69"/>
        <v>13.78</v>
      </c>
      <c r="BN253" t="str">
        <f>"70.55"</f>
        <v>70.55</v>
      </c>
      <c r="BO253" t="s">
        <v>5143</v>
      </c>
      <c r="BP253" t="str">
        <f>"88.98"</f>
        <v>88.98</v>
      </c>
      <c r="BQ253" t="str">
        <f>"7.09"</f>
        <v>7.09</v>
      </c>
      <c r="BR253" t="str">
        <f>"19.29"</f>
        <v>19.29</v>
      </c>
      <c r="BS253" t="str">
        <f>"63.93"</f>
        <v>63.93</v>
      </c>
      <c r="BY253" t="str">
        <f>"26.38"</f>
        <v>26.38</v>
      </c>
      <c r="BZ253" t="str">
        <f>"0.747"</f>
        <v>0.747</v>
      </c>
      <c r="CA253" t="s">
        <v>390</v>
      </c>
      <c r="CR253" t="s">
        <v>400</v>
      </c>
      <c r="CS253">
        <v>0</v>
      </c>
      <c r="CT253" t="s">
        <v>400</v>
      </c>
      <c r="CV253">
        <v>0</v>
      </c>
      <c r="CX253" t="s">
        <v>953</v>
      </c>
      <c r="CY253" t="s">
        <v>400</v>
      </c>
      <c r="DA253">
        <v>0</v>
      </c>
      <c r="DB253">
        <v>0</v>
      </c>
      <c r="DC253">
        <v>0</v>
      </c>
      <c r="DK253" t="s">
        <v>3807</v>
      </c>
      <c r="DM253" t="s">
        <v>2028</v>
      </c>
      <c r="EN253">
        <v>0</v>
      </c>
      <c r="HN253" t="s">
        <v>1739</v>
      </c>
      <c r="HO253" t="s">
        <v>1739</v>
      </c>
      <c r="HP253" t="s">
        <v>1739</v>
      </c>
      <c r="HQ253" t="s">
        <v>3319</v>
      </c>
      <c r="HR253" t="s">
        <v>1348</v>
      </c>
      <c r="HS253" t="s">
        <v>3562</v>
      </c>
      <c r="HT253" t="s">
        <v>2260</v>
      </c>
      <c r="HU253" t="s">
        <v>1358</v>
      </c>
      <c r="HV253" t="s">
        <v>3562</v>
      </c>
      <c r="HW253" t="s">
        <v>4300</v>
      </c>
      <c r="HX253" t="s">
        <v>5144</v>
      </c>
      <c r="HY253" t="s">
        <v>3562</v>
      </c>
      <c r="HZ253" t="s">
        <v>575</v>
      </c>
      <c r="IA253" t="s">
        <v>4300</v>
      </c>
      <c r="IB253" t="s">
        <v>1348</v>
      </c>
      <c r="IC253" t="s">
        <v>402</v>
      </c>
      <c r="ID253" t="s">
        <v>2176</v>
      </c>
      <c r="IE253" t="s">
        <v>1008</v>
      </c>
      <c r="IF253" t="s">
        <v>2177</v>
      </c>
      <c r="IG253" t="s">
        <v>2040</v>
      </c>
      <c r="IM253" t="s">
        <v>2125</v>
      </c>
      <c r="IN253" t="s">
        <v>5146</v>
      </c>
      <c r="IO253" t="s">
        <v>2125</v>
      </c>
      <c r="IP253" t="s">
        <v>402</v>
      </c>
      <c r="IQ253" t="s">
        <v>3522</v>
      </c>
    </row>
    <row r="254" spans="1:275" x14ac:dyDescent="0.25">
      <c r="A254" t="s">
        <v>5174</v>
      </c>
      <c r="B254" t="str">
        <f>"801542573201"</f>
        <v>801542573201</v>
      </c>
      <c r="C254" t="s">
        <v>5161</v>
      </c>
      <c r="D254" t="s">
        <v>3784</v>
      </c>
      <c r="E254" t="s">
        <v>2006</v>
      </c>
      <c r="F254" t="s">
        <v>2007</v>
      </c>
      <c r="G254" t="str">
        <f>"62.5"</f>
        <v>62.5</v>
      </c>
      <c r="H254" t="str">
        <f t="shared" si="65"/>
        <v>83.25</v>
      </c>
      <c r="I254" t="str">
        <f t="shared" si="66"/>
        <v>50</v>
      </c>
      <c r="J254" t="str">
        <f>"167.55"</f>
        <v>167.55</v>
      </c>
      <c r="K254" t="s">
        <v>3886</v>
      </c>
      <c r="N254" t="s">
        <v>3787</v>
      </c>
      <c r="T254" t="s">
        <v>373</v>
      </c>
      <c r="U254" t="s">
        <v>373</v>
      </c>
      <c r="V254" t="s">
        <v>5162</v>
      </c>
      <c r="W254" t="s">
        <v>5175</v>
      </c>
      <c r="X254" t="s">
        <v>5176</v>
      </c>
      <c r="Y254" t="s">
        <v>5177</v>
      </c>
      <c r="Z254" t="s">
        <v>5178</v>
      </c>
      <c r="AA254" t="s">
        <v>5179</v>
      </c>
      <c r="AB254" t="s">
        <v>5180</v>
      </c>
      <c r="AC254" t="s">
        <v>5181</v>
      </c>
      <c r="AD254" t="s">
        <v>5182</v>
      </c>
      <c r="AE254" t="s">
        <v>5183</v>
      </c>
      <c r="AF254" t="s">
        <v>5184</v>
      </c>
      <c r="AG254" t="s">
        <v>5185</v>
      </c>
      <c r="AH254" t="s">
        <v>5186</v>
      </c>
      <c r="BA254" t="str">
        <f>"1699"</f>
        <v>1699</v>
      </c>
      <c r="BB254" t="str">
        <f>"715"</f>
        <v>715</v>
      </c>
      <c r="BC254" t="s">
        <v>1149</v>
      </c>
      <c r="BD254" t="str">
        <f t="shared" si="67"/>
        <v>3</v>
      </c>
      <c r="BE254" t="s">
        <v>2163</v>
      </c>
      <c r="BF254" t="str">
        <f>"69.29"</f>
        <v>69.29</v>
      </c>
      <c r="BG254" t="str">
        <f>"5.31"</f>
        <v>5.31</v>
      </c>
      <c r="BH254" t="str">
        <f t="shared" si="68"/>
        <v>46.85</v>
      </c>
      <c r="BI254" t="str">
        <f>"88.18"</f>
        <v>88.18</v>
      </c>
      <c r="BJ254" t="s">
        <v>5142</v>
      </c>
      <c r="BK254" t="str">
        <f>"68.11"</f>
        <v>68.11</v>
      </c>
      <c r="BL254" t="str">
        <f>"9.06"</f>
        <v>9.06</v>
      </c>
      <c r="BM254" t="str">
        <f t="shared" si="69"/>
        <v>13.78</v>
      </c>
      <c r="BN254" t="str">
        <f>"56.22"</f>
        <v>56.22</v>
      </c>
      <c r="BO254" t="s">
        <v>5143</v>
      </c>
      <c r="BP254" t="str">
        <f>"90.16"</f>
        <v>90.16</v>
      </c>
      <c r="BQ254" t="str">
        <f>"6.69"</f>
        <v>6.69</v>
      </c>
      <c r="BR254" t="str">
        <f>"18.5"</f>
        <v>18.5</v>
      </c>
      <c r="BS254" t="str">
        <f>"61.73"</f>
        <v>61.73</v>
      </c>
      <c r="BY254" t="str">
        <f>"21.37"</f>
        <v>21.37</v>
      </c>
      <c r="BZ254" t="str">
        <f>"0.605"</f>
        <v>0.605</v>
      </c>
      <c r="CA254" t="s">
        <v>390</v>
      </c>
      <c r="CR254" t="s">
        <v>400</v>
      </c>
      <c r="CS254">
        <v>0</v>
      </c>
      <c r="CT254" t="s">
        <v>400</v>
      </c>
      <c r="CV254">
        <v>0</v>
      </c>
      <c r="CX254" t="s">
        <v>953</v>
      </c>
      <c r="CY254" t="s">
        <v>400</v>
      </c>
      <c r="DA254">
        <v>0</v>
      </c>
      <c r="DB254">
        <v>0</v>
      </c>
      <c r="DC254">
        <v>0</v>
      </c>
      <c r="DK254" t="s">
        <v>3807</v>
      </c>
      <c r="DM254" t="s">
        <v>2028</v>
      </c>
      <c r="EN254">
        <v>0</v>
      </c>
      <c r="HN254" t="s">
        <v>1739</v>
      </c>
      <c r="HO254" t="s">
        <v>1739</v>
      </c>
      <c r="HP254" t="s">
        <v>1739</v>
      </c>
      <c r="HQ254" t="s">
        <v>3319</v>
      </c>
      <c r="HR254" t="s">
        <v>1348</v>
      </c>
      <c r="HS254" t="s">
        <v>2033</v>
      </c>
      <c r="HT254" t="s">
        <v>2260</v>
      </c>
      <c r="HU254" t="s">
        <v>1358</v>
      </c>
      <c r="HV254" t="s">
        <v>2033</v>
      </c>
      <c r="HW254" t="s">
        <v>4300</v>
      </c>
      <c r="HX254" t="s">
        <v>5144</v>
      </c>
      <c r="HY254" t="s">
        <v>5145</v>
      </c>
      <c r="HZ254" t="s">
        <v>575</v>
      </c>
      <c r="IA254" t="s">
        <v>4300</v>
      </c>
      <c r="IB254" t="s">
        <v>1348</v>
      </c>
      <c r="IC254" t="s">
        <v>402</v>
      </c>
      <c r="ID254" t="s">
        <v>2176</v>
      </c>
      <c r="IE254" t="s">
        <v>1008</v>
      </c>
      <c r="IF254" t="s">
        <v>2177</v>
      </c>
      <c r="IG254" t="s">
        <v>2007</v>
      </c>
      <c r="IM254" t="s">
        <v>2125</v>
      </c>
      <c r="IN254" t="s">
        <v>5146</v>
      </c>
      <c r="IO254" t="s">
        <v>2125</v>
      </c>
      <c r="IP254" t="s">
        <v>402</v>
      </c>
      <c r="IQ254" t="s">
        <v>3522</v>
      </c>
    </row>
    <row r="255" spans="1:275" x14ac:dyDescent="0.25">
      <c r="A255" t="s">
        <v>5187</v>
      </c>
      <c r="B255" t="str">
        <f>"801542768638"</f>
        <v>801542768638</v>
      </c>
      <c r="C255" t="s">
        <v>5188</v>
      </c>
      <c r="D255" t="s">
        <v>3784</v>
      </c>
      <c r="E255" t="s">
        <v>2006</v>
      </c>
      <c r="F255" t="s">
        <v>2040</v>
      </c>
      <c r="G255" t="str">
        <f>"78.25"</f>
        <v>78.25</v>
      </c>
      <c r="H255" t="str">
        <f t="shared" si="65"/>
        <v>83.25</v>
      </c>
      <c r="I255" t="str">
        <f t="shared" si="66"/>
        <v>50</v>
      </c>
      <c r="J255" t="str">
        <f>"208.33"</f>
        <v>208.33</v>
      </c>
      <c r="K255" t="s">
        <v>3785</v>
      </c>
      <c r="N255" t="s">
        <v>3787</v>
      </c>
      <c r="T255" t="s">
        <v>373</v>
      </c>
      <c r="U255" t="s">
        <v>373</v>
      </c>
      <c r="V255" t="s">
        <v>5189</v>
      </c>
      <c r="W255" t="s">
        <v>5190</v>
      </c>
      <c r="X255" t="s">
        <v>5191</v>
      </c>
      <c r="Y255" t="s">
        <v>5192</v>
      </c>
      <c r="Z255" t="s">
        <v>5193</v>
      </c>
      <c r="AA255" t="s">
        <v>5194</v>
      </c>
      <c r="AB255" t="s">
        <v>5195</v>
      </c>
      <c r="AC255" t="s">
        <v>3796</v>
      </c>
      <c r="AD255" t="s">
        <v>5196</v>
      </c>
      <c r="AE255" t="s">
        <v>5197</v>
      </c>
      <c r="AF255" t="s">
        <v>5198</v>
      </c>
      <c r="AG255" t="s">
        <v>5199</v>
      </c>
      <c r="AH255" t="s">
        <v>5200</v>
      </c>
      <c r="AI255" t="s">
        <v>5201</v>
      </c>
      <c r="AJ255" t="s">
        <v>5202</v>
      </c>
      <c r="AK255" t="s">
        <v>5203</v>
      </c>
      <c r="AL255" t="s">
        <v>5204</v>
      </c>
      <c r="BA255" t="str">
        <f>"1899"</f>
        <v>1899</v>
      </c>
      <c r="BB255" t="str">
        <f>"800"</f>
        <v>800</v>
      </c>
      <c r="BC255" t="s">
        <v>1149</v>
      </c>
      <c r="BD255" t="str">
        <f t="shared" si="67"/>
        <v>3</v>
      </c>
      <c r="BE255" t="s">
        <v>5205</v>
      </c>
      <c r="BF255" t="str">
        <f>"85.04"</f>
        <v>85.04</v>
      </c>
      <c r="BG255" t="str">
        <f>"5.71"</f>
        <v>5.71</v>
      </c>
      <c r="BH255" t="str">
        <f t="shared" si="68"/>
        <v>46.85</v>
      </c>
      <c r="BI255" t="str">
        <f>"106.92"</f>
        <v>106.92</v>
      </c>
      <c r="BJ255" t="s">
        <v>5206</v>
      </c>
      <c r="BK255" t="str">
        <f>"83.86"</f>
        <v>83.86</v>
      </c>
      <c r="BL255" t="str">
        <f>"9.25"</f>
        <v>9.25</v>
      </c>
      <c r="BM255" t="str">
        <f t="shared" si="69"/>
        <v>13.78</v>
      </c>
      <c r="BN255" t="str">
        <f>"70.55"</f>
        <v>70.55</v>
      </c>
      <c r="BO255" t="s">
        <v>5207</v>
      </c>
      <c r="BP255" t="str">
        <f>"88.98"</f>
        <v>88.98</v>
      </c>
      <c r="BQ255" t="str">
        <f>"7.09"</f>
        <v>7.09</v>
      </c>
      <c r="BR255" t="str">
        <f>"19.29"</f>
        <v>19.29</v>
      </c>
      <c r="BS255" t="str">
        <f>"63.93"</f>
        <v>63.93</v>
      </c>
      <c r="BY255" t="str">
        <f>"26.38"</f>
        <v>26.38</v>
      </c>
      <c r="BZ255" t="str">
        <f>"0.747"</f>
        <v>0.747</v>
      </c>
      <c r="CA255" t="s">
        <v>390</v>
      </c>
      <c r="CR255" t="s">
        <v>400</v>
      </c>
      <c r="CS255">
        <v>0</v>
      </c>
      <c r="CT255" t="s">
        <v>400</v>
      </c>
      <c r="CV255">
        <v>0</v>
      </c>
      <c r="CX255" t="s">
        <v>953</v>
      </c>
      <c r="CY255" t="s">
        <v>400</v>
      </c>
      <c r="DA255">
        <v>0</v>
      </c>
      <c r="DB255">
        <v>0</v>
      </c>
      <c r="DC255">
        <v>0</v>
      </c>
      <c r="DK255" t="s">
        <v>3807</v>
      </c>
      <c r="DM255" t="s">
        <v>2028</v>
      </c>
      <c r="EN255">
        <v>0</v>
      </c>
      <c r="HN255" t="s">
        <v>1739</v>
      </c>
      <c r="HO255" t="s">
        <v>1739</v>
      </c>
      <c r="HP255" t="s">
        <v>1739</v>
      </c>
      <c r="HQ255" t="s">
        <v>3319</v>
      </c>
      <c r="HR255" t="s">
        <v>1348</v>
      </c>
      <c r="HS255" t="s">
        <v>3562</v>
      </c>
      <c r="HT255" t="s">
        <v>2260</v>
      </c>
      <c r="HU255" t="s">
        <v>1358</v>
      </c>
      <c r="HV255" t="s">
        <v>3562</v>
      </c>
      <c r="HW255" t="s">
        <v>4300</v>
      </c>
      <c r="HX255" t="s">
        <v>5144</v>
      </c>
      <c r="HY255" t="s">
        <v>3562</v>
      </c>
      <c r="HZ255" t="s">
        <v>575</v>
      </c>
      <c r="IA255" t="s">
        <v>4300</v>
      </c>
      <c r="IB255" t="s">
        <v>1348</v>
      </c>
      <c r="IC255" t="s">
        <v>402</v>
      </c>
      <c r="ID255" t="s">
        <v>2176</v>
      </c>
      <c r="IE255" t="s">
        <v>1008</v>
      </c>
      <c r="IF255" t="s">
        <v>2177</v>
      </c>
      <c r="IG255" t="s">
        <v>2040</v>
      </c>
      <c r="IM255" t="s">
        <v>2125</v>
      </c>
      <c r="IN255" t="s">
        <v>5146</v>
      </c>
      <c r="IO255" t="s">
        <v>2125</v>
      </c>
      <c r="IP255" t="s">
        <v>402</v>
      </c>
      <c r="IQ255" t="s">
        <v>3522</v>
      </c>
    </row>
    <row r="256" spans="1:275" x14ac:dyDescent="0.25">
      <c r="A256" t="s">
        <v>5208</v>
      </c>
      <c r="B256" t="str">
        <f>"801542768676"</f>
        <v>801542768676</v>
      </c>
      <c r="C256" t="s">
        <v>5188</v>
      </c>
      <c r="D256" t="s">
        <v>3784</v>
      </c>
      <c r="E256" t="s">
        <v>2006</v>
      </c>
      <c r="F256" t="s">
        <v>2007</v>
      </c>
      <c r="G256" t="str">
        <f>"62.5"</f>
        <v>62.5</v>
      </c>
      <c r="H256" t="str">
        <f t="shared" si="65"/>
        <v>83.25</v>
      </c>
      <c r="I256" t="str">
        <f t="shared" si="66"/>
        <v>50</v>
      </c>
      <c r="J256" t="str">
        <f>"167.55"</f>
        <v>167.55</v>
      </c>
      <c r="K256" t="s">
        <v>3785</v>
      </c>
      <c r="N256" t="s">
        <v>3787</v>
      </c>
      <c r="T256" t="s">
        <v>373</v>
      </c>
      <c r="U256" t="s">
        <v>373</v>
      </c>
      <c r="V256" t="s">
        <v>5189</v>
      </c>
      <c r="W256" t="s">
        <v>5209</v>
      </c>
      <c r="X256" t="s">
        <v>5210</v>
      </c>
      <c r="Y256" t="s">
        <v>5211</v>
      </c>
      <c r="Z256" t="s">
        <v>5212</v>
      </c>
      <c r="AA256" t="s">
        <v>5213</v>
      </c>
      <c r="AB256" t="s">
        <v>5214</v>
      </c>
      <c r="AC256" t="s">
        <v>3796</v>
      </c>
      <c r="AD256" t="s">
        <v>5215</v>
      </c>
      <c r="AE256" t="s">
        <v>5216</v>
      </c>
      <c r="AF256" t="s">
        <v>5217</v>
      </c>
      <c r="AG256" t="s">
        <v>5218</v>
      </c>
      <c r="AH256" t="s">
        <v>5219</v>
      </c>
      <c r="AI256" t="s">
        <v>5220</v>
      </c>
      <c r="AJ256" t="s">
        <v>5221</v>
      </c>
      <c r="AK256" t="s">
        <v>5222</v>
      </c>
      <c r="AL256" t="s">
        <v>5223</v>
      </c>
      <c r="AM256" t="s">
        <v>5224</v>
      </c>
      <c r="BA256" t="str">
        <f>"1699"</f>
        <v>1699</v>
      </c>
      <c r="BB256" t="str">
        <f>"715"</f>
        <v>715</v>
      </c>
      <c r="BC256" t="s">
        <v>1149</v>
      </c>
      <c r="BD256" t="str">
        <f t="shared" si="67"/>
        <v>3</v>
      </c>
      <c r="BE256" t="s">
        <v>5205</v>
      </c>
      <c r="BF256" t="str">
        <f>"69.29"</f>
        <v>69.29</v>
      </c>
      <c r="BG256" t="str">
        <f>"5.31"</f>
        <v>5.31</v>
      </c>
      <c r="BH256" t="str">
        <f t="shared" si="68"/>
        <v>46.85</v>
      </c>
      <c r="BI256" t="str">
        <f>"88.18"</f>
        <v>88.18</v>
      </c>
      <c r="BJ256" t="s">
        <v>5206</v>
      </c>
      <c r="BK256" t="str">
        <f>"68.11"</f>
        <v>68.11</v>
      </c>
      <c r="BL256" t="str">
        <f>"9.06"</f>
        <v>9.06</v>
      </c>
      <c r="BM256" t="str">
        <f t="shared" si="69"/>
        <v>13.78</v>
      </c>
      <c r="BN256" t="str">
        <f>"56.22"</f>
        <v>56.22</v>
      </c>
      <c r="BO256" t="s">
        <v>5207</v>
      </c>
      <c r="BP256" t="str">
        <f>"90.16"</f>
        <v>90.16</v>
      </c>
      <c r="BQ256" t="str">
        <f>"6.69"</f>
        <v>6.69</v>
      </c>
      <c r="BR256" t="str">
        <f>"18.5"</f>
        <v>18.5</v>
      </c>
      <c r="BS256" t="str">
        <f>"61.73"</f>
        <v>61.73</v>
      </c>
      <c r="BY256" t="str">
        <f>"21.37"</f>
        <v>21.37</v>
      </c>
      <c r="BZ256" t="str">
        <f>"0.605"</f>
        <v>0.605</v>
      </c>
      <c r="CA256" t="s">
        <v>390</v>
      </c>
      <c r="CR256" t="s">
        <v>400</v>
      </c>
      <c r="CS256">
        <v>0</v>
      </c>
      <c r="CT256" t="s">
        <v>400</v>
      </c>
      <c r="CV256">
        <v>0</v>
      </c>
      <c r="CX256" t="s">
        <v>953</v>
      </c>
      <c r="CY256" t="s">
        <v>400</v>
      </c>
      <c r="DA256">
        <v>0</v>
      </c>
      <c r="DB256">
        <v>0</v>
      </c>
      <c r="DC256">
        <v>0</v>
      </c>
      <c r="DK256" t="s">
        <v>3807</v>
      </c>
      <c r="DM256" t="s">
        <v>2028</v>
      </c>
      <c r="EN256">
        <v>0</v>
      </c>
      <c r="HN256" t="s">
        <v>1739</v>
      </c>
      <c r="HO256" t="s">
        <v>1739</v>
      </c>
      <c r="HP256" t="s">
        <v>1739</v>
      </c>
      <c r="HQ256" t="s">
        <v>3319</v>
      </c>
      <c r="HR256" t="s">
        <v>1348</v>
      </c>
      <c r="HS256" t="s">
        <v>2033</v>
      </c>
      <c r="HT256" t="s">
        <v>2260</v>
      </c>
      <c r="HU256" t="s">
        <v>1358</v>
      </c>
      <c r="HV256" t="s">
        <v>2033</v>
      </c>
      <c r="HW256" t="s">
        <v>4300</v>
      </c>
      <c r="HX256" t="s">
        <v>5144</v>
      </c>
      <c r="HY256" t="s">
        <v>5145</v>
      </c>
      <c r="HZ256" t="s">
        <v>575</v>
      </c>
      <c r="IA256" t="s">
        <v>4300</v>
      </c>
      <c r="IB256" t="s">
        <v>1348</v>
      </c>
      <c r="IC256" t="s">
        <v>402</v>
      </c>
      <c r="ID256" t="s">
        <v>2176</v>
      </c>
      <c r="IE256" t="s">
        <v>1008</v>
      </c>
      <c r="IF256" t="s">
        <v>2177</v>
      </c>
      <c r="IG256" t="s">
        <v>2007</v>
      </c>
      <c r="IM256" t="s">
        <v>2125</v>
      </c>
      <c r="IN256" t="s">
        <v>5146</v>
      </c>
      <c r="IO256" t="s">
        <v>2125</v>
      </c>
      <c r="IP256" t="s">
        <v>402</v>
      </c>
      <c r="IQ256" t="s">
        <v>3522</v>
      </c>
    </row>
    <row r="257" spans="1:283" x14ac:dyDescent="0.25">
      <c r="A257" t="s">
        <v>5225</v>
      </c>
      <c r="B257" t="str">
        <f>"801542682385"</f>
        <v>801542682385</v>
      </c>
      <c r="C257" t="s">
        <v>5226</v>
      </c>
      <c r="D257" t="s">
        <v>1592</v>
      </c>
      <c r="E257" t="s">
        <v>2006</v>
      </c>
      <c r="F257" t="s">
        <v>2007</v>
      </c>
      <c r="G257" t="str">
        <f>"74.75"</f>
        <v>74.75</v>
      </c>
      <c r="H257" t="str">
        <f t="shared" ref="H257:H262" si="70">"95.25"</f>
        <v>95.25</v>
      </c>
      <c r="I257" t="str">
        <f t="shared" ref="I257:I262" si="71">"43.5"</f>
        <v>43.5</v>
      </c>
      <c r="J257" t="str">
        <f>"168.65"</f>
        <v>168.65</v>
      </c>
      <c r="K257" t="s">
        <v>5227</v>
      </c>
      <c r="L257" t="s">
        <v>837</v>
      </c>
      <c r="N257" t="s">
        <v>371</v>
      </c>
      <c r="O257" t="s">
        <v>555</v>
      </c>
      <c r="T257" t="s">
        <v>373</v>
      </c>
      <c r="U257" t="s">
        <v>402</v>
      </c>
      <c r="V257" t="s">
        <v>5228</v>
      </c>
      <c r="W257" t="s">
        <v>5229</v>
      </c>
      <c r="X257" t="s">
        <v>5230</v>
      </c>
      <c r="Y257" t="s">
        <v>5231</v>
      </c>
      <c r="Z257" t="s">
        <v>5232</v>
      </c>
      <c r="AA257" t="s">
        <v>5233</v>
      </c>
      <c r="AB257" t="s">
        <v>5234</v>
      </c>
      <c r="AC257" t="s">
        <v>5235</v>
      </c>
      <c r="AD257" t="s">
        <v>5236</v>
      </c>
      <c r="AE257" t="s">
        <v>5237</v>
      </c>
      <c r="AF257" t="s">
        <v>5238</v>
      </c>
      <c r="AG257" t="s">
        <v>5239</v>
      </c>
      <c r="AH257" t="s">
        <v>5240</v>
      </c>
      <c r="AI257" t="s">
        <v>5241</v>
      </c>
      <c r="AJ257" t="s">
        <v>5242</v>
      </c>
      <c r="AK257" t="s">
        <v>5243</v>
      </c>
      <c r="AL257" t="s">
        <v>5244</v>
      </c>
      <c r="AM257" t="s">
        <v>5245</v>
      </c>
      <c r="AN257" t="s">
        <v>5246</v>
      </c>
      <c r="BA257" t="str">
        <f>"1299"</f>
        <v>1299</v>
      </c>
      <c r="BB257" t="str">
        <f>"550"</f>
        <v>550</v>
      </c>
      <c r="BC257" t="s">
        <v>665</v>
      </c>
      <c r="BD257" t="str">
        <f t="shared" si="67"/>
        <v>3</v>
      </c>
      <c r="BE257" t="s">
        <v>2901</v>
      </c>
      <c r="BF257" t="str">
        <f t="shared" ref="BF257:BF262" si="72">"82.28"</f>
        <v>82.28</v>
      </c>
      <c r="BG257" t="str">
        <f>"6.89"</f>
        <v>6.89</v>
      </c>
      <c r="BH257" t="str">
        <f t="shared" ref="BH257:BH262" si="73">"12.01"</f>
        <v>12.01</v>
      </c>
      <c r="BI257" t="str">
        <f>"56.22"</f>
        <v>56.22</v>
      </c>
      <c r="BJ257" t="s">
        <v>2163</v>
      </c>
      <c r="BK257" t="str">
        <f>"71.26"</f>
        <v>71.26</v>
      </c>
      <c r="BL257" t="str">
        <f t="shared" ref="BL257:BL262" si="74">"12.4"</f>
        <v>12.4</v>
      </c>
      <c r="BM257" t="str">
        <f t="shared" ref="BM257:BM262" si="75">"40.94"</f>
        <v>40.94</v>
      </c>
      <c r="BN257" t="str">
        <f>"85.98"</f>
        <v>85.98</v>
      </c>
      <c r="BO257" t="s">
        <v>5247</v>
      </c>
      <c r="BP257" t="str">
        <f>"70.08"</f>
        <v>70.08</v>
      </c>
      <c r="BQ257" t="str">
        <f t="shared" ref="BQ257:BQ262" si="76">"6.89"</f>
        <v>6.89</v>
      </c>
      <c r="BR257" t="str">
        <f t="shared" ref="BR257:BR262" si="77">"12.4"</f>
        <v>12.4</v>
      </c>
      <c r="BS257" t="str">
        <f>"55.12"</f>
        <v>55.12</v>
      </c>
      <c r="BY257" t="str">
        <f>"28.36"</f>
        <v>28.36</v>
      </c>
      <c r="BZ257" t="str">
        <f>"0.803"</f>
        <v>0.803</v>
      </c>
      <c r="CA257" t="s">
        <v>495</v>
      </c>
      <c r="CQ257" t="s">
        <v>1152</v>
      </c>
      <c r="CR257" t="s">
        <v>400</v>
      </c>
      <c r="CS257">
        <v>0</v>
      </c>
      <c r="CT257" t="s">
        <v>400</v>
      </c>
      <c r="CV257">
        <v>0</v>
      </c>
      <c r="CX257" t="s">
        <v>1609</v>
      </c>
      <c r="CY257" t="s">
        <v>400</v>
      </c>
      <c r="DA257">
        <v>0</v>
      </c>
      <c r="DB257">
        <v>0</v>
      </c>
      <c r="DC257">
        <v>0</v>
      </c>
      <c r="DD257">
        <v>15000</v>
      </c>
      <c r="DK257" t="s">
        <v>5248</v>
      </c>
      <c r="DM257" t="s">
        <v>2028</v>
      </c>
      <c r="EG257" t="s">
        <v>1513</v>
      </c>
      <c r="EN257">
        <v>0</v>
      </c>
      <c r="HN257" t="s">
        <v>1290</v>
      </c>
      <c r="HO257" t="s">
        <v>1290</v>
      </c>
      <c r="HP257" t="s">
        <v>1290</v>
      </c>
      <c r="HQ257" t="s">
        <v>573</v>
      </c>
      <c r="HR257" t="s">
        <v>1359</v>
      </c>
      <c r="HS257" t="s">
        <v>5249</v>
      </c>
      <c r="HT257" t="s">
        <v>5250</v>
      </c>
      <c r="HU257" t="s">
        <v>745</v>
      </c>
      <c r="HV257" t="s">
        <v>5251</v>
      </c>
      <c r="HW257" t="s">
        <v>2171</v>
      </c>
      <c r="HX257" t="s">
        <v>392</v>
      </c>
      <c r="HY257" t="s">
        <v>2193</v>
      </c>
      <c r="HZ257" t="s">
        <v>3511</v>
      </c>
      <c r="IA257" t="s">
        <v>2171</v>
      </c>
      <c r="IB257" t="s">
        <v>1359</v>
      </c>
      <c r="IC257" t="s">
        <v>402</v>
      </c>
      <c r="ID257" t="s">
        <v>5252</v>
      </c>
      <c r="IE257" t="s">
        <v>2037</v>
      </c>
      <c r="IF257" t="s">
        <v>2177</v>
      </c>
      <c r="IG257" t="s">
        <v>2007</v>
      </c>
      <c r="IM257" t="s">
        <v>395</v>
      </c>
      <c r="IN257" t="s">
        <v>4296</v>
      </c>
      <c r="IO257" t="s">
        <v>395</v>
      </c>
      <c r="IP257" t="s">
        <v>402</v>
      </c>
      <c r="IQ257" t="s">
        <v>2179</v>
      </c>
    </row>
    <row r="258" spans="1:283" x14ac:dyDescent="0.25">
      <c r="A258" t="s">
        <v>5253</v>
      </c>
      <c r="B258" t="str">
        <f>"801542682347"</f>
        <v>801542682347</v>
      </c>
      <c r="C258" t="s">
        <v>5226</v>
      </c>
      <c r="D258" t="s">
        <v>1592</v>
      </c>
      <c r="E258" t="s">
        <v>2006</v>
      </c>
      <c r="F258" t="s">
        <v>2040</v>
      </c>
      <c r="G258" t="str">
        <f>"91"</f>
        <v>91</v>
      </c>
      <c r="H258" t="str">
        <f t="shared" si="70"/>
        <v>95.25</v>
      </c>
      <c r="I258" t="str">
        <f t="shared" si="71"/>
        <v>43.5</v>
      </c>
      <c r="J258" t="str">
        <f>"202.82"</f>
        <v>202.82</v>
      </c>
      <c r="K258" t="s">
        <v>5227</v>
      </c>
      <c r="L258" t="s">
        <v>837</v>
      </c>
      <c r="N258" t="s">
        <v>371</v>
      </c>
      <c r="O258" t="s">
        <v>555</v>
      </c>
      <c r="T258" t="s">
        <v>373</v>
      </c>
      <c r="U258" t="s">
        <v>402</v>
      </c>
      <c r="V258" t="s">
        <v>5228</v>
      </c>
      <c r="W258" t="s">
        <v>5254</v>
      </c>
      <c r="X258" t="s">
        <v>5255</v>
      </c>
      <c r="Y258" t="s">
        <v>5256</v>
      </c>
      <c r="Z258" t="s">
        <v>5257</v>
      </c>
      <c r="AA258" t="s">
        <v>5233</v>
      </c>
      <c r="AB258" t="s">
        <v>5234</v>
      </c>
      <c r="AC258" t="s">
        <v>5258</v>
      </c>
      <c r="AD258" t="s">
        <v>5259</v>
      </c>
      <c r="AE258" t="s">
        <v>5260</v>
      </c>
      <c r="AF258" t="s">
        <v>5261</v>
      </c>
      <c r="AG258" t="s">
        <v>5262</v>
      </c>
      <c r="AH258" t="s">
        <v>5263</v>
      </c>
      <c r="AI258" t="s">
        <v>5264</v>
      </c>
      <c r="AJ258" t="s">
        <v>5265</v>
      </c>
      <c r="AK258" t="s">
        <v>5266</v>
      </c>
      <c r="AL258" t="s">
        <v>5267</v>
      </c>
      <c r="BA258" t="str">
        <f>"1499"</f>
        <v>1499</v>
      </c>
      <c r="BB258" t="str">
        <f>"630"</f>
        <v>630</v>
      </c>
      <c r="BC258" t="s">
        <v>665</v>
      </c>
      <c r="BD258" t="str">
        <f t="shared" si="67"/>
        <v>3</v>
      </c>
      <c r="BE258" t="s">
        <v>2901</v>
      </c>
      <c r="BF258" t="str">
        <f t="shared" si="72"/>
        <v>82.28</v>
      </c>
      <c r="BG258" t="str">
        <f>"8.07"</f>
        <v>8.07</v>
      </c>
      <c r="BH258" t="str">
        <f t="shared" si="73"/>
        <v>12.01</v>
      </c>
      <c r="BI258" t="str">
        <f>"60.63"</f>
        <v>60.63</v>
      </c>
      <c r="BJ258" t="s">
        <v>2163</v>
      </c>
      <c r="BK258" t="str">
        <f>"87.4"</f>
        <v>87.4</v>
      </c>
      <c r="BL258" t="str">
        <f t="shared" si="74"/>
        <v>12.4</v>
      </c>
      <c r="BM258" t="str">
        <f t="shared" si="75"/>
        <v>40.94</v>
      </c>
      <c r="BN258" t="str">
        <f>"101.41"</f>
        <v>101.41</v>
      </c>
      <c r="BO258" t="s">
        <v>5247</v>
      </c>
      <c r="BP258" t="str">
        <f>"86.22"</f>
        <v>86.22</v>
      </c>
      <c r="BQ258" t="str">
        <f t="shared" si="76"/>
        <v>6.89</v>
      </c>
      <c r="BR258" t="str">
        <f t="shared" si="77"/>
        <v>12.4</v>
      </c>
      <c r="BS258" t="str">
        <f>"69.45"</f>
        <v>69.45</v>
      </c>
      <c r="BY258" t="str">
        <f>"34.57"</f>
        <v>34.57</v>
      </c>
      <c r="BZ258" t="str">
        <f>"0.979"</f>
        <v>0.979</v>
      </c>
      <c r="CA258" t="s">
        <v>495</v>
      </c>
      <c r="CQ258" t="s">
        <v>1152</v>
      </c>
      <c r="CR258" t="s">
        <v>400</v>
      </c>
      <c r="CS258">
        <v>0</v>
      </c>
      <c r="CT258" t="s">
        <v>400</v>
      </c>
      <c r="CV258">
        <v>0</v>
      </c>
      <c r="CX258" t="s">
        <v>1609</v>
      </c>
      <c r="CY258" t="s">
        <v>400</v>
      </c>
      <c r="DA258">
        <v>0</v>
      </c>
      <c r="DB258">
        <v>0</v>
      </c>
      <c r="DC258">
        <v>0</v>
      </c>
      <c r="DD258">
        <v>15000</v>
      </c>
      <c r="DK258" t="s">
        <v>5248</v>
      </c>
      <c r="DM258" t="s">
        <v>2028</v>
      </c>
      <c r="EG258" t="s">
        <v>1513</v>
      </c>
      <c r="EN258">
        <v>0</v>
      </c>
      <c r="HN258" t="s">
        <v>1290</v>
      </c>
      <c r="HO258" t="s">
        <v>1290</v>
      </c>
      <c r="HP258" t="s">
        <v>1290</v>
      </c>
      <c r="HQ258" t="s">
        <v>573</v>
      </c>
      <c r="HR258" t="s">
        <v>1359</v>
      </c>
      <c r="HS258" t="s">
        <v>5268</v>
      </c>
      <c r="HT258" t="s">
        <v>5250</v>
      </c>
      <c r="HU258" t="s">
        <v>745</v>
      </c>
      <c r="HV258" t="s">
        <v>5269</v>
      </c>
      <c r="HW258" t="s">
        <v>2171</v>
      </c>
      <c r="HX258" t="s">
        <v>392</v>
      </c>
      <c r="HY258" t="s">
        <v>2173</v>
      </c>
      <c r="HZ258" t="s">
        <v>3511</v>
      </c>
      <c r="IA258" t="s">
        <v>2171</v>
      </c>
      <c r="IB258" t="s">
        <v>1359</v>
      </c>
      <c r="IC258" t="s">
        <v>402</v>
      </c>
      <c r="ID258" t="s">
        <v>5252</v>
      </c>
      <c r="IE258" t="s">
        <v>2037</v>
      </c>
      <c r="IF258" t="s">
        <v>2177</v>
      </c>
      <c r="IG258" t="s">
        <v>2040</v>
      </c>
      <c r="IM258" t="s">
        <v>395</v>
      </c>
      <c r="IN258" t="s">
        <v>4296</v>
      </c>
      <c r="IO258" t="s">
        <v>395</v>
      </c>
      <c r="IP258" t="s">
        <v>402</v>
      </c>
      <c r="IQ258" t="s">
        <v>2179</v>
      </c>
    </row>
    <row r="259" spans="1:283" x14ac:dyDescent="0.25">
      <c r="A259" t="s">
        <v>5270</v>
      </c>
      <c r="B259" t="str">
        <f>"801542926007"</f>
        <v>801542926007</v>
      </c>
      <c r="C259" t="s">
        <v>5271</v>
      </c>
      <c r="D259" t="s">
        <v>1592</v>
      </c>
      <c r="E259" t="s">
        <v>2006</v>
      </c>
      <c r="F259" t="s">
        <v>2007</v>
      </c>
      <c r="G259" t="str">
        <f>"74.75"</f>
        <v>74.75</v>
      </c>
      <c r="H259" t="str">
        <f t="shared" si="70"/>
        <v>95.25</v>
      </c>
      <c r="I259" t="str">
        <f t="shared" si="71"/>
        <v>43.5</v>
      </c>
      <c r="J259" t="str">
        <f>"168.65"</f>
        <v>168.65</v>
      </c>
      <c r="K259" t="s">
        <v>5272</v>
      </c>
      <c r="L259" t="s">
        <v>837</v>
      </c>
      <c r="N259" t="s">
        <v>1793</v>
      </c>
      <c r="O259" t="s">
        <v>1794</v>
      </c>
      <c r="P259" t="s">
        <v>555</v>
      </c>
      <c r="T259" t="s">
        <v>373</v>
      </c>
      <c r="U259" t="s">
        <v>373</v>
      </c>
      <c r="V259" t="s">
        <v>5273</v>
      </c>
      <c r="W259" t="s">
        <v>5274</v>
      </c>
      <c r="X259" t="s">
        <v>5275</v>
      </c>
      <c r="Y259" t="s">
        <v>5276</v>
      </c>
      <c r="Z259" t="s">
        <v>5277</v>
      </c>
      <c r="AA259" t="s">
        <v>5278</v>
      </c>
      <c r="AB259" t="s">
        <v>5279</v>
      </c>
      <c r="AC259" t="s">
        <v>5280</v>
      </c>
      <c r="AD259" t="s">
        <v>5281</v>
      </c>
      <c r="AE259" t="s">
        <v>5282</v>
      </c>
      <c r="AF259" t="s">
        <v>5283</v>
      </c>
      <c r="AG259" t="s">
        <v>5284</v>
      </c>
      <c r="AH259" t="s">
        <v>5285</v>
      </c>
      <c r="AI259" t="s">
        <v>5286</v>
      </c>
      <c r="AJ259" t="s">
        <v>5287</v>
      </c>
      <c r="AK259" t="s">
        <v>5288</v>
      </c>
      <c r="BA259" t="str">
        <f>"1399"</f>
        <v>1399</v>
      </c>
      <c r="BB259" t="str">
        <f>"590"</f>
        <v>590</v>
      </c>
      <c r="BC259" t="s">
        <v>665</v>
      </c>
      <c r="BD259" t="str">
        <f t="shared" si="67"/>
        <v>3</v>
      </c>
      <c r="BE259" t="s">
        <v>2901</v>
      </c>
      <c r="BF259" t="str">
        <f t="shared" si="72"/>
        <v>82.28</v>
      </c>
      <c r="BG259" t="str">
        <f>"6.89"</f>
        <v>6.89</v>
      </c>
      <c r="BH259" t="str">
        <f t="shared" si="73"/>
        <v>12.01</v>
      </c>
      <c r="BI259" t="str">
        <f>"56.22"</f>
        <v>56.22</v>
      </c>
      <c r="BJ259" t="s">
        <v>2163</v>
      </c>
      <c r="BK259" t="str">
        <f>"71.26"</f>
        <v>71.26</v>
      </c>
      <c r="BL259" t="str">
        <f t="shared" si="74"/>
        <v>12.4</v>
      </c>
      <c r="BM259" t="str">
        <f t="shared" si="75"/>
        <v>40.94</v>
      </c>
      <c r="BN259" t="str">
        <f>"85.98"</f>
        <v>85.98</v>
      </c>
      <c r="BO259" t="s">
        <v>5247</v>
      </c>
      <c r="BP259" t="str">
        <f>"70.08"</f>
        <v>70.08</v>
      </c>
      <c r="BQ259" t="str">
        <f t="shared" si="76"/>
        <v>6.89</v>
      </c>
      <c r="BR259" t="str">
        <f t="shared" si="77"/>
        <v>12.4</v>
      </c>
      <c r="BS259" t="str">
        <f>"55.12"</f>
        <v>55.12</v>
      </c>
      <c r="BY259" t="str">
        <f>"28.36"</f>
        <v>28.36</v>
      </c>
      <c r="BZ259" t="str">
        <f>"0.803"</f>
        <v>0.803</v>
      </c>
      <c r="CA259" t="s">
        <v>495</v>
      </c>
      <c r="CQ259" t="s">
        <v>438</v>
      </c>
      <c r="CR259" t="s">
        <v>400</v>
      </c>
      <c r="CS259">
        <v>0</v>
      </c>
      <c r="CT259" t="s">
        <v>400</v>
      </c>
      <c r="CV259">
        <v>0</v>
      </c>
      <c r="CX259" t="s">
        <v>1609</v>
      </c>
      <c r="CY259" t="s">
        <v>400</v>
      </c>
      <c r="DA259">
        <v>0</v>
      </c>
      <c r="DB259">
        <v>0</v>
      </c>
      <c r="DC259">
        <v>0</v>
      </c>
      <c r="DD259">
        <v>30000</v>
      </c>
      <c r="DK259" t="s">
        <v>5248</v>
      </c>
      <c r="DM259" t="s">
        <v>2028</v>
      </c>
      <c r="EG259" t="s">
        <v>1513</v>
      </c>
      <c r="EN259">
        <v>0</v>
      </c>
      <c r="HN259" t="s">
        <v>1290</v>
      </c>
      <c r="HO259" t="s">
        <v>1290</v>
      </c>
      <c r="HP259" t="s">
        <v>1290</v>
      </c>
      <c r="HQ259" t="s">
        <v>573</v>
      </c>
      <c r="HR259" t="s">
        <v>1359</v>
      </c>
      <c r="HS259" t="s">
        <v>5249</v>
      </c>
      <c r="HT259" t="s">
        <v>5250</v>
      </c>
      <c r="HU259" t="s">
        <v>745</v>
      </c>
      <c r="HV259" t="s">
        <v>5251</v>
      </c>
      <c r="HW259" t="s">
        <v>2171</v>
      </c>
      <c r="HX259" t="s">
        <v>392</v>
      </c>
      <c r="HY259" t="s">
        <v>2193</v>
      </c>
      <c r="HZ259" t="s">
        <v>3511</v>
      </c>
      <c r="IA259" t="s">
        <v>2171</v>
      </c>
      <c r="IB259" t="s">
        <v>1359</v>
      </c>
      <c r="IC259" t="s">
        <v>402</v>
      </c>
      <c r="ID259" t="s">
        <v>5252</v>
      </c>
      <c r="IE259" t="s">
        <v>2037</v>
      </c>
      <c r="IF259" t="s">
        <v>2177</v>
      </c>
      <c r="IG259" t="s">
        <v>2007</v>
      </c>
      <c r="IM259" t="s">
        <v>395</v>
      </c>
      <c r="IN259" t="s">
        <v>4296</v>
      </c>
      <c r="IO259" t="s">
        <v>395</v>
      </c>
      <c r="IP259" t="s">
        <v>402</v>
      </c>
      <c r="IQ259" t="s">
        <v>2179</v>
      </c>
    </row>
    <row r="260" spans="1:283" x14ac:dyDescent="0.25">
      <c r="A260" t="s">
        <v>5289</v>
      </c>
      <c r="B260" t="str">
        <f>"801542925697"</f>
        <v>801542925697</v>
      </c>
      <c r="C260" t="s">
        <v>5271</v>
      </c>
      <c r="D260" t="s">
        <v>1592</v>
      </c>
      <c r="E260" t="s">
        <v>2006</v>
      </c>
      <c r="F260" t="s">
        <v>2040</v>
      </c>
      <c r="G260" t="str">
        <f>"91"</f>
        <v>91</v>
      </c>
      <c r="H260" t="str">
        <f t="shared" si="70"/>
        <v>95.25</v>
      </c>
      <c r="I260" t="str">
        <f t="shared" si="71"/>
        <v>43.5</v>
      </c>
      <c r="J260" t="str">
        <f>"202.82"</f>
        <v>202.82</v>
      </c>
      <c r="K260" t="s">
        <v>5272</v>
      </c>
      <c r="L260" t="s">
        <v>837</v>
      </c>
      <c r="N260" t="s">
        <v>1793</v>
      </c>
      <c r="O260" t="s">
        <v>1794</v>
      </c>
      <c r="P260" t="s">
        <v>555</v>
      </c>
      <c r="T260" t="s">
        <v>373</v>
      </c>
      <c r="U260" t="s">
        <v>373</v>
      </c>
      <c r="V260" t="s">
        <v>5273</v>
      </c>
      <c r="W260" t="s">
        <v>5290</v>
      </c>
      <c r="X260" t="s">
        <v>5291</v>
      </c>
      <c r="Y260" t="s">
        <v>5292</v>
      </c>
      <c r="Z260" t="s">
        <v>5293</v>
      </c>
      <c r="AA260" t="s">
        <v>5278</v>
      </c>
      <c r="AB260" t="s">
        <v>5294</v>
      </c>
      <c r="AC260" t="s">
        <v>5295</v>
      </c>
      <c r="AD260" t="s">
        <v>5296</v>
      </c>
      <c r="AE260" t="s">
        <v>5297</v>
      </c>
      <c r="AF260" t="s">
        <v>5298</v>
      </c>
      <c r="AG260" t="s">
        <v>5299</v>
      </c>
      <c r="AH260" t="s">
        <v>5300</v>
      </c>
      <c r="AI260" t="s">
        <v>5301</v>
      </c>
      <c r="AJ260" t="s">
        <v>5302</v>
      </c>
      <c r="AK260" t="s">
        <v>5303</v>
      </c>
      <c r="BA260" t="str">
        <f>"1599"</f>
        <v>1599</v>
      </c>
      <c r="BB260" t="str">
        <f>"675"</f>
        <v>675</v>
      </c>
      <c r="BC260" t="s">
        <v>665</v>
      </c>
      <c r="BD260" t="str">
        <f t="shared" si="67"/>
        <v>3</v>
      </c>
      <c r="BE260" t="s">
        <v>2901</v>
      </c>
      <c r="BF260" t="str">
        <f t="shared" si="72"/>
        <v>82.28</v>
      </c>
      <c r="BG260" t="str">
        <f>"8.07"</f>
        <v>8.07</v>
      </c>
      <c r="BH260" t="str">
        <f t="shared" si="73"/>
        <v>12.01</v>
      </c>
      <c r="BI260" t="str">
        <f>"60.63"</f>
        <v>60.63</v>
      </c>
      <c r="BJ260" t="s">
        <v>2163</v>
      </c>
      <c r="BK260" t="str">
        <f>"87.4"</f>
        <v>87.4</v>
      </c>
      <c r="BL260" t="str">
        <f t="shared" si="74"/>
        <v>12.4</v>
      </c>
      <c r="BM260" t="str">
        <f t="shared" si="75"/>
        <v>40.94</v>
      </c>
      <c r="BN260" t="str">
        <f>"101.41"</f>
        <v>101.41</v>
      </c>
      <c r="BO260" t="s">
        <v>5247</v>
      </c>
      <c r="BP260" t="str">
        <f>"86.22"</f>
        <v>86.22</v>
      </c>
      <c r="BQ260" t="str">
        <f t="shared" si="76"/>
        <v>6.89</v>
      </c>
      <c r="BR260" t="str">
        <f t="shared" si="77"/>
        <v>12.4</v>
      </c>
      <c r="BS260" t="str">
        <f>"69.45"</f>
        <v>69.45</v>
      </c>
      <c r="BY260" t="str">
        <f>"34.57"</f>
        <v>34.57</v>
      </c>
      <c r="BZ260" t="str">
        <f>"0.979"</f>
        <v>0.979</v>
      </c>
      <c r="CA260" t="s">
        <v>495</v>
      </c>
      <c r="CQ260" t="s">
        <v>438</v>
      </c>
      <c r="CR260" t="s">
        <v>400</v>
      </c>
      <c r="CS260">
        <v>0</v>
      </c>
      <c r="CT260" t="s">
        <v>400</v>
      </c>
      <c r="CV260">
        <v>0</v>
      </c>
      <c r="CX260" t="s">
        <v>1609</v>
      </c>
      <c r="CY260" t="s">
        <v>400</v>
      </c>
      <c r="DA260">
        <v>0</v>
      </c>
      <c r="DB260">
        <v>0</v>
      </c>
      <c r="DC260">
        <v>0</v>
      </c>
      <c r="DD260">
        <v>30000</v>
      </c>
      <c r="DK260" t="s">
        <v>5248</v>
      </c>
      <c r="DM260" t="s">
        <v>2028</v>
      </c>
      <c r="EG260" t="s">
        <v>1513</v>
      </c>
      <c r="EN260">
        <v>0</v>
      </c>
      <c r="HN260" t="s">
        <v>1290</v>
      </c>
      <c r="HO260" t="s">
        <v>1290</v>
      </c>
      <c r="HP260" t="s">
        <v>1290</v>
      </c>
      <c r="HQ260" t="s">
        <v>573</v>
      </c>
      <c r="HR260" t="s">
        <v>1359</v>
      </c>
      <c r="HS260" t="s">
        <v>5268</v>
      </c>
      <c r="HT260" t="s">
        <v>5250</v>
      </c>
      <c r="HU260" t="s">
        <v>745</v>
      </c>
      <c r="HV260" t="s">
        <v>5269</v>
      </c>
      <c r="HW260" t="s">
        <v>2171</v>
      </c>
      <c r="HX260" t="s">
        <v>392</v>
      </c>
      <c r="HY260" t="s">
        <v>2173</v>
      </c>
      <c r="HZ260" t="s">
        <v>3511</v>
      </c>
      <c r="IA260" t="s">
        <v>2171</v>
      </c>
      <c r="IB260" t="s">
        <v>1359</v>
      </c>
      <c r="IC260" t="s">
        <v>402</v>
      </c>
      <c r="ID260" t="s">
        <v>5252</v>
      </c>
      <c r="IE260" t="s">
        <v>2037</v>
      </c>
      <c r="IF260" t="s">
        <v>2177</v>
      </c>
      <c r="IG260" t="s">
        <v>2040</v>
      </c>
      <c r="IM260" t="s">
        <v>395</v>
      </c>
      <c r="IN260" t="s">
        <v>4296</v>
      </c>
      <c r="IO260" t="s">
        <v>395</v>
      </c>
      <c r="IP260" t="s">
        <v>402</v>
      </c>
      <c r="IQ260" t="s">
        <v>2179</v>
      </c>
    </row>
    <row r="261" spans="1:283" x14ac:dyDescent="0.25">
      <c r="A261" t="s">
        <v>5304</v>
      </c>
      <c r="B261" t="str">
        <f>"801542275297"</f>
        <v>801542275297</v>
      </c>
      <c r="C261" t="s">
        <v>5305</v>
      </c>
      <c r="D261" t="s">
        <v>1592</v>
      </c>
      <c r="E261" t="s">
        <v>2006</v>
      </c>
      <c r="F261" t="s">
        <v>2007</v>
      </c>
      <c r="G261" t="str">
        <f>"74.75"</f>
        <v>74.75</v>
      </c>
      <c r="H261" t="str">
        <f t="shared" si="70"/>
        <v>95.25</v>
      </c>
      <c r="I261" t="str">
        <f t="shared" si="71"/>
        <v>43.5</v>
      </c>
      <c r="J261" t="str">
        <f>"168.65"</f>
        <v>168.65</v>
      </c>
      <c r="K261" t="s">
        <v>4829</v>
      </c>
      <c r="L261" t="s">
        <v>837</v>
      </c>
      <c r="N261" t="s">
        <v>1793</v>
      </c>
      <c r="O261" t="s">
        <v>1794</v>
      </c>
      <c r="P261" t="s">
        <v>555</v>
      </c>
      <c r="T261" t="s">
        <v>373</v>
      </c>
      <c r="U261" t="s">
        <v>373</v>
      </c>
      <c r="V261" t="s">
        <v>5273</v>
      </c>
      <c r="W261" t="s">
        <v>5306</v>
      </c>
      <c r="X261" t="s">
        <v>5307</v>
      </c>
      <c r="Y261" t="s">
        <v>5308</v>
      </c>
      <c r="Z261" t="s">
        <v>5309</v>
      </c>
      <c r="AA261" t="s">
        <v>5310</v>
      </c>
      <c r="AB261" t="s">
        <v>5311</v>
      </c>
      <c r="AC261" t="s">
        <v>5312</v>
      </c>
      <c r="AD261" t="s">
        <v>5313</v>
      </c>
      <c r="AE261" t="s">
        <v>5314</v>
      </c>
      <c r="AF261" t="s">
        <v>5315</v>
      </c>
      <c r="AG261" t="s">
        <v>5316</v>
      </c>
      <c r="AH261" t="s">
        <v>5317</v>
      </c>
      <c r="AI261" t="s">
        <v>5318</v>
      </c>
      <c r="AJ261" t="s">
        <v>5319</v>
      </c>
      <c r="AK261" t="s">
        <v>5320</v>
      </c>
      <c r="AL261" t="s">
        <v>5321</v>
      </c>
      <c r="BA261" t="str">
        <f>"1399"</f>
        <v>1399</v>
      </c>
      <c r="BB261" t="str">
        <f>"590"</f>
        <v>590</v>
      </c>
      <c r="BC261" t="s">
        <v>665</v>
      </c>
      <c r="BD261" t="str">
        <f t="shared" si="67"/>
        <v>3</v>
      </c>
      <c r="BE261" t="s">
        <v>2901</v>
      </c>
      <c r="BF261" t="str">
        <f t="shared" si="72"/>
        <v>82.28</v>
      </c>
      <c r="BG261" t="str">
        <f>"6.89"</f>
        <v>6.89</v>
      </c>
      <c r="BH261" t="str">
        <f t="shared" si="73"/>
        <v>12.01</v>
      </c>
      <c r="BI261" t="str">
        <f>"56.22"</f>
        <v>56.22</v>
      </c>
      <c r="BJ261" t="s">
        <v>2163</v>
      </c>
      <c r="BK261" t="str">
        <f>"71.26"</f>
        <v>71.26</v>
      </c>
      <c r="BL261" t="str">
        <f t="shared" si="74"/>
        <v>12.4</v>
      </c>
      <c r="BM261" t="str">
        <f t="shared" si="75"/>
        <v>40.94</v>
      </c>
      <c r="BN261" t="str">
        <f>"85.98"</f>
        <v>85.98</v>
      </c>
      <c r="BO261" t="s">
        <v>5322</v>
      </c>
      <c r="BP261" t="str">
        <f>"70.08"</f>
        <v>70.08</v>
      </c>
      <c r="BQ261" t="str">
        <f t="shared" si="76"/>
        <v>6.89</v>
      </c>
      <c r="BR261" t="str">
        <f t="shared" si="77"/>
        <v>12.4</v>
      </c>
      <c r="BS261" t="str">
        <f>"55.12"</f>
        <v>55.12</v>
      </c>
      <c r="BY261" t="str">
        <f>"28.36"</f>
        <v>28.36</v>
      </c>
      <c r="BZ261" t="str">
        <f>"0.803"</f>
        <v>0.803</v>
      </c>
      <c r="CA261" t="s">
        <v>390</v>
      </c>
      <c r="CQ261" t="s">
        <v>438</v>
      </c>
      <c r="CR261" t="s">
        <v>400</v>
      </c>
      <c r="CS261">
        <v>0</v>
      </c>
      <c r="CT261" t="s">
        <v>400</v>
      </c>
      <c r="CV261">
        <v>0</v>
      </c>
      <c r="CX261" t="s">
        <v>1609</v>
      </c>
      <c r="CY261" t="s">
        <v>400</v>
      </c>
      <c r="DA261">
        <v>0</v>
      </c>
      <c r="DB261">
        <v>0</v>
      </c>
      <c r="DC261">
        <v>0</v>
      </c>
      <c r="DD261">
        <v>30000</v>
      </c>
      <c r="DK261" t="s">
        <v>5248</v>
      </c>
      <c r="DM261" t="s">
        <v>2028</v>
      </c>
      <c r="EG261" t="s">
        <v>1513</v>
      </c>
      <c r="EN261">
        <v>0</v>
      </c>
      <c r="HN261" t="s">
        <v>1290</v>
      </c>
      <c r="HO261" t="s">
        <v>1290</v>
      </c>
      <c r="HP261" t="s">
        <v>1290</v>
      </c>
      <c r="HQ261" t="s">
        <v>573</v>
      </c>
      <c r="HR261" t="s">
        <v>1359</v>
      </c>
      <c r="HS261" t="s">
        <v>5249</v>
      </c>
      <c r="HT261" t="s">
        <v>5250</v>
      </c>
      <c r="HU261" t="s">
        <v>745</v>
      </c>
      <c r="HV261" t="s">
        <v>5251</v>
      </c>
      <c r="HW261" t="s">
        <v>2171</v>
      </c>
      <c r="HX261" t="s">
        <v>392</v>
      </c>
      <c r="HY261" t="s">
        <v>2193</v>
      </c>
      <c r="HZ261" t="s">
        <v>3511</v>
      </c>
      <c r="IA261" t="s">
        <v>2171</v>
      </c>
      <c r="IB261" t="s">
        <v>1359</v>
      </c>
      <c r="IC261" t="s">
        <v>402</v>
      </c>
      <c r="ID261" t="s">
        <v>5252</v>
      </c>
      <c r="IE261" t="s">
        <v>2037</v>
      </c>
      <c r="IF261" t="s">
        <v>2177</v>
      </c>
      <c r="IG261" t="s">
        <v>2007</v>
      </c>
      <c r="IM261" t="s">
        <v>395</v>
      </c>
      <c r="IN261" t="s">
        <v>4296</v>
      </c>
      <c r="IO261" t="s">
        <v>395</v>
      </c>
      <c r="IP261" t="s">
        <v>402</v>
      </c>
      <c r="IQ261" t="s">
        <v>2179</v>
      </c>
    </row>
    <row r="262" spans="1:283" x14ac:dyDescent="0.25">
      <c r="A262" t="s">
        <v>5323</v>
      </c>
      <c r="B262" t="str">
        <f>"801542275280"</f>
        <v>801542275280</v>
      </c>
      <c r="C262" t="s">
        <v>5305</v>
      </c>
      <c r="D262" t="s">
        <v>1592</v>
      </c>
      <c r="E262" t="s">
        <v>2006</v>
      </c>
      <c r="F262" t="s">
        <v>2040</v>
      </c>
      <c r="G262" t="str">
        <f>"91"</f>
        <v>91</v>
      </c>
      <c r="H262" t="str">
        <f t="shared" si="70"/>
        <v>95.25</v>
      </c>
      <c r="I262" t="str">
        <f t="shared" si="71"/>
        <v>43.5</v>
      </c>
      <c r="J262" t="str">
        <f>"202.82"</f>
        <v>202.82</v>
      </c>
      <c r="K262" t="s">
        <v>4829</v>
      </c>
      <c r="L262" t="s">
        <v>837</v>
      </c>
      <c r="N262" t="s">
        <v>1793</v>
      </c>
      <c r="O262" t="s">
        <v>1794</v>
      </c>
      <c r="P262" t="s">
        <v>555</v>
      </c>
      <c r="T262" t="s">
        <v>373</v>
      </c>
      <c r="U262" t="s">
        <v>373</v>
      </c>
      <c r="V262" t="s">
        <v>5273</v>
      </c>
      <c r="W262" t="s">
        <v>5324</v>
      </c>
      <c r="X262" t="s">
        <v>5325</v>
      </c>
      <c r="Y262" t="s">
        <v>5326</v>
      </c>
      <c r="Z262" t="s">
        <v>5327</v>
      </c>
      <c r="AA262" t="s">
        <v>5310</v>
      </c>
      <c r="AB262" t="s">
        <v>5328</v>
      </c>
      <c r="AC262" t="s">
        <v>5329</v>
      </c>
      <c r="AD262" t="s">
        <v>5330</v>
      </c>
      <c r="AE262" t="s">
        <v>5331</v>
      </c>
      <c r="AF262" t="s">
        <v>5332</v>
      </c>
      <c r="AG262" t="s">
        <v>5333</v>
      </c>
      <c r="AH262" t="s">
        <v>5334</v>
      </c>
      <c r="AI262" t="s">
        <v>5335</v>
      </c>
      <c r="AJ262" t="s">
        <v>5336</v>
      </c>
      <c r="AK262" t="s">
        <v>5337</v>
      </c>
      <c r="AL262" t="s">
        <v>5338</v>
      </c>
      <c r="BA262" t="str">
        <f>"1599"</f>
        <v>1599</v>
      </c>
      <c r="BB262" t="str">
        <f>"675"</f>
        <v>675</v>
      </c>
      <c r="BC262" t="s">
        <v>665</v>
      </c>
      <c r="BD262" t="str">
        <f t="shared" si="67"/>
        <v>3</v>
      </c>
      <c r="BE262" t="s">
        <v>2901</v>
      </c>
      <c r="BF262" t="str">
        <f t="shared" si="72"/>
        <v>82.28</v>
      </c>
      <c r="BG262" t="str">
        <f>"8.07"</f>
        <v>8.07</v>
      </c>
      <c r="BH262" t="str">
        <f t="shared" si="73"/>
        <v>12.01</v>
      </c>
      <c r="BI262" t="str">
        <f>"60.63"</f>
        <v>60.63</v>
      </c>
      <c r="BJ262" t="s">
        <v>2163</v>
      </c>
      <c r="BK262" t="str">
        <f>"87.4"</f>
        <v>87.4</v>
      </c>
      <c r="BL262" t="str">
        <f t="shared" si="74"/>
        <v>12.4</v>
      </c>
      <c r="BM262" t="str">
        <f t="shared" si="75"/>
        <v>40.94</v>
      </c>
      <c r="BN262" t="str">
        <f>"101.41"</f>
        <v>101.41</v>
      </c>
      <c r="BO262" t="s">
        <v>5322</v>
      </c>
      <c r="BP262" t="str">
        <f>"86.22"</f>
        <v>86.22</v>
      </c>
      <c r="BQ262" t="str">
        <f t="shared" si="76"/>
        <v>6.89</v>
      </c>
      <c r="BR262" t="str">
        <f t="shared" si="77"/>
        <v>12.4</v>
      </c>
      <c r="BS262" t="str">
        <f>"69.45"</f>
        <v>69.45</v>
      </c>
      <c r="BY262" t="str">
        <f>"34.57"</f>
        <v>34.57</v>
      </c>
      <c r="BZ262" t="str">
        <f>"0.979"</f>
        <v>0.979</v>
      </c>
      <c r="CA262" t="s">
        <v>495</v>
      </c>
      <c r="CQ262" t="s">
        <v>438</v>
      </c>
      <c r="CR262" t="s">
        <v>400</v>
      </c>
      <c r="CS262">
        <v>0</v>
      </c>
      <c r="CT262" t="s">
        <v>400</v>
      </c>
      <c r="CV262">
        <v>0</v>
      </c>
      <c r="CX262" t="s">
        <v>1609</v>
      </c>
      <c r="CY262" t="s">
        <v>400</v>
      </c>
      <c r="DA262">
        <v>0</v>
      </c>
      <c r="DB262">
        <v>0</v>
      </c>
      <c r="DC262">
        <v>0</v>
      </c>
      <c r="DD262">
        <v>30000</v>
      </c>
      <c r="DK262" t="s">
        <v>5248</v>
      </c>
      <c r="DM262" t="s">
        <v>2028</v>
      </c>
      <c r="EG262" t="s">
        <v>1513</v>
      </c>
      <c r="EN262">
        <v>0</v>
      </c>
      <c r="HN262" t="s">
        <v>1290</v>
      </c>
      <c r="HO262" t="s">
        <v>1290</v>
      </c>
      <c r="HP262" t="s">
        <v>1290</v>
      </c>
      <c r="HQ262" t="s">
        <v>573</v>
      </c>
      <c r="HR262" t="s">
        <v>1359</v>
      </c>
      <c r="HS262" t="s">
        <v>5268</v>
      </c>
      <c r="HT262" t="s">
        <v>5250</v>
      </c>
      <c r="HU262" t="s">
        <v>745</v>
      </c>
      <c r="HV262" t="s">
        <v>5269</v>
      </c>
      <c r="HW262" t="s">
        <v>2171</v>
      </c>
      <c r="HX262" t="s">
        <v>392</v>
      </c>
      <c r="HY262" t="s">
        <v>2173</v>
      </c>
      <c r="HZ262" t="s">
        <v>3511</v>
      </c>
      <c r="IA262" t="s">
        <v>2171</v>
      </c>
      <c r="IB262" t="s">
        <v>1359</v>
      </c>
      <c r="IC262" t="s">
        <v>402</v>
      </c>
      <c r="ID262" t="s">
        <v>5252</v>
      </c>
      <c r="IE262" t="s">
        <v>2037</v>
      </c>
      <c r="IF262" t="s">
        <v>2177</v>
      </c>
      <c r="IG262" t="s">
        <v>2040</v>
      </c>
      <c r="IM262" t="s">
        <v>395</v>
      </c>
      <c r="IN262" t="s">
        <v>4296</v>
      </c>
      <c r="IO262" t="s">
        <v>395</v>
      </c>
      <c r="IP262" t="s">
        <v>402</v>
      </c>
      <c r="IQ262" t="s">
        <v>2179</v>
      </c>
    </row>
    <row r="263" spans="1:283" x14ac:dyDescent="0.25">
      <c r="A263" t="s">
        <v>5339</v>
      </c>
      <c r="B263" t="str">
        <f>"801542851187"</f>
        <v>801542851187</v>
      </c>
      <c r="C263" t="s">
        <v>3338</v>
      </c>
      <c r="D263" t="s">
        <v>769</v>
      </c>
      <c r="E263" t="s">
        <v>413</v>
      </c>
      <c r="G263" t="str">
        <f>"85.75"</f>
        <v>85.75</v>
      </c>
      <c r="H263" t="str">
        <f>"34.75"</f>
        <v>34.75</v>
      </c>
      <c r="I263" t="str">
        <f>"27"</f>
        <v>27</v>
      </c>
      <c r="J263" t="str">
        <f>"110.23"</f>
        <v>110.23</v>
      </c>
      <c r="K263" t="s">
        <v>1576</v>
      </c>
      <c r="L263" t="s">
        <v>1533</v>
      </c>
      <c r="M263" t="s">
        <v>3138</v>
      </c>
      <c r="N263" t="s">
        <v>416</v>
      </c>
      <c r="O263" t="s">
        <v>775</v>
      </c>
      <c r="P263" t="s">
        <v>555</v>
      </c>
      <c r="T263" t="s">
        <v>373</v>
      </c>
      <c r="U263" t="s">
        <v>373</v>
      </c>
      <c r="V263" t="s">
        <v>3339</v>
      </c>
      <c r="W263" t="s">
        <v>5340</v>
      </c>
      <c r="X263" t="s">
        <v>5341</v>
      </c>
      <c r="Y263" t="s">
        <v>5342</v>
      </c>
      <c r="Z263" t="s">
        <v>5343</v>
      </c>
      <c r="AA263" t="s">
        <v>5344</v>
      </c>
      <c r="AB263" t="s">
        <v>5345</v>
      </c>
      <c r="AC263" t="s">
        <v>5346</v>
      </c>
      <c r="AD263" t="s">
        <v>5347</v>
      </c>
      <c r="AE263" t="s">
        <v>5348</v>
      </c>
      <c r="AF263" t="s">
        <v>5349</v>
      </c>
      <c r="AG263" t="s">
        <v>5350</v>
      </c>
      <c r="AH263" t="s">
        <v>5351</v>
      </c>
      <c r="BA263" t="str">
        <f>"3499"</f>
        <v>3499</v>
      </c>
      <c r="BB263" t="str">
        <f>"1470"</f>
        <v>1470</v>
      </c>
      <c r="BC263" t="s">
        <v>388</v>
      </c>
      <c r="BD263" t="str">
        <f t="shared" ref="BD263:BD270" si="78">"1"</f>
        <v>1</v>
      </c>
      <c r="BE263" t="s">
        <v>389</v>
      </c>
      <c r="BF263" t="str">
        <f>"88.58"</f>
        <v>88.58</v>
      </c>
      <c r="BG263" t="str">
        <f>"36.02"</f>
        <v>36.02</v>
      </c>
      <c r="BH263" t="str">
        <f>"28.35"</f>
        <v>28.35</v>
      </c>
      <c r="BI263" t="str">
        <f>"139.99"</f>
        <v>139.99</v>
      </c>
      <c r="BY263" t="str">
        <f>"52.34"</f>
        <v>52.34</v>
      </c>
      <c r="BZ263" t="str">
        <f>"1.482"</f>
        <v>1.482</v>
      </c>
      <c r="CA263" t="s">
        <v>495</v>
      </c>
      <c r="CK263" t="s">
        <v>638</v>
      </c>
      <c r="CL263" t="s">
        <v>511</v>
      </c>
      <c r="CM263" t="s">
        <v>5352</v>
      </c>
      <c r="CN263">
        <v>0</v>
      </c>
      <c r="CO263">
        <v>0</v>
      </c>
      <c r="CP263" t="s">
        <v>437</v>
      </c>
      <c r="CQ263" t="s">
        <v>438</v>
      </c>
      <c r="CX263" t="s">
        <v>403</v>
      </c>
      <c r="CY263" t="s">
        <v>400</v>
      </c>
      <c r="CZ263">
        <v>0</v>
      </c>
      <c r="DD263">
        <v>0</v>
      </c>
      <c r="DE263" t="s">
        <v>439</v>
      </c>
      <c r="DH263">
        <v>0</v>
      </c>
      <c r="DI263">
        <v>4</v>
      </c>
      <c r="DK263" t="s">
        <v>3153</v>
      </c>
      <c r="DL263">
        <v>0</v>
      </c>
      <c r="DM263" t="s">
        <v>795</v>
      </c>
      <c r="DN263" t="s">
        <v>451</v>
      </c>
      <c r="DO263" t="s">
        <v>635</v>
      </c>
      <c r="DP263" t="s">
        <v>574</v>
      </c>
      <c r="DT263" t="s">
        <v>450</v>
      </c>
      <c r="DX263" t="s">
        <v>1040</v>
      </c>
      <c r="DY263" t="s">
        <v>1553</v>
      </c>
      <c r="DZ263" t="s">
        <v>792</v>
      </c>
      <c r="EA263" t="s">
        <v>635</v>
      </c>
      <c r="EG263" t="s">
        <v>2029</v>
      </c>
      <c r="ET263" t="s">
        <v>549</v>
      </c>
    </row>
    <row r="264" spans="1:283" x14ac:dyDescent="0.25">
      <c r="A264" t="s">
        <v>5353</v>
      </c>
      <c r="B264" t="str">
        <f>"801542851194"</f>
        <v>801542851194</v>
      </c>
      <c r="C264" t="s">
        <v>3322</v>
      </c>
      <c r="D264" t="s">
        <v>769</v>
      </c>
      <c r="E264" t="s">
        <v>413</v>
      </c>
      <c r="G264" t="str">
        <f>"85.75"</f>
        <v>85.75</v>
      </c>
      <c r="H264" t="str">
        <f>"34.75"</f>
        <v>34.75</v>
      </c>
      <c r="I264" t="str">
        <f>"27"</f>
        <v>27</v>
      </c>
      <c r="J264" t="str">
        <f>"110.23"</f>
        <v>110.23</v>
      </c>
      <c r="K264" t="s">
        <v>2310</v>
      </c>
      <c r="L264" t="s">
        <v>1533</v>
      </c>
      <c r="M264" t="s">
        <v>3138</v>
      </c>
      <c r="N264" t="s">
        <v>416</v>
      </c>
      <c r="O264" t="s">
        <v>775</v>
      </c>
      <c r="P264" t="s">
        <v>555</v>
      </c>
      <c r="T264" t="s">
        <v>373</v>
      </c>
      <c r="U264" t="s">
        <v>373</v>
      </c>
      <c r="V264" t="s">
        <v>5354</v>
      </c>
      <c r="W264" t="s">
        <v>5355</v>
      </c>
      <c r="X264" t="s">
        <v>5356</v>
      </c>
      <c r="Y264" t="s">
        <v>5357</v>
      </c>
      <c r="Z264" t="s">
        <v>5358</v>
      </c>
      <c r="AA264" t="s">
        <v>5359</v>
      </c>
      <c r="AB264" t="s">
        <v>5360</v>
      </c>
      <c r="AC264" t="s">
        <v>5361</v>
      </c>
      <c r="AD264" t="s">
        <v>2319</v>
      </c>
      <c r="AE264" t="s">
        <v>5362</v>
      </c>
      <c r="AF264" t="s">
        <v>5363</v>
      </c>
      <c r="AG264" t="s">
        <v>5364</v>
      </c>
      <c r="AH264" t="s">
        <v>5365</v>
      </c>
      <c r="BA264" t="str">
        <f>"3499"</f>
        <v>3499</v>
      </c>
      <c r="BB264" t="str">
        <f>"1470"</f>
        <v>1470</v>
      </c>
      <c r="BC264" t="s">
        <v>388</v>
      </c>
      <c r="BD264" t="str">
        <f t="shared" si="78"/>
        <v>1</v>
      </c>
      <c r="BE264" t="s">
        <v>389</v>
      </c>
      <c r="BF264" t="str">
        <f>"88.58"</f>
        <v>88.58</v>
      </c>
      <c r="BG264" t="str">
        <f>"36.02"</f>
        <v>36.02</v>
      </c>
      <c r="BH264" t="str">
        <f>"28.35"</f>
        <v>28.35</v>
      </c>
      <c r="BI264" t="str">
        <f>"139.99"</f>
        <v>139.99</v>
      </c>
      <c r="BY264" t="str">
        <f>"52.34"</f>
        <v>52.34</v>
      </c>
      <c r="BZ264" t="str">
        <f>"1.482"</f>
        <v>1.482</v>
      </c>
      <c r="CA264" t="s">
        <v>431</v>
      </c>
      <c r="CK264" t="s">
        <v>638</v>
      </c>
      <c r="CL264" t="s">
        <v>511</v>
      </c>
      <c r="CM264" t="s">
        <v>5352</v>
      </c>
      <c r="CN264">
        <v>0</v>
      </c>
      <c r="CO264">
        <v>0</v>
      </c>
      <c r="CP264" t="s">
        <v>437</v>
      </c>
      <c r="CQ264" t="s">
        <v>438</v>
      </c>
      <c r="CX264" t="s">
        <v>403</v>
      </c>
      <c r="CY264" t="s">
        <v>400</v>
      </c>
      <c r="CZ264">
        <v>0</v>
      </c>
      <c r="DD264">
        <v>0</v>
      </c>
      <c r="DE264" t="s">
        <v>439</v>
      </c>
      <c r="DH264">
        <v>0</v>
      </c>
      <c r="DI264">
        <v>4</v>
      </c>
      <c r="DK264" t="s">
        <v>3153</v>
      </c>
      <c r="DL264">
        <v>0</v>
      </c>
      <c r="DM264" t="s">
        <v>795</v>
      </c>
      <c r="DN264" t="s">
        <v>451</v>
      </c>
      <c r="DO264" t="s">
        <v>635</v>
      </c>
      <c r="DP264" t="s">
        <v>574</v>
      </c>
      <c r="DT264" t="s">
        <v>450</v>
      </c>
      <c r="DX264" t="s">
        <v>1040</v>
      </c>
      <c r="DY264" t="s">
        <v>1553</v>
      </c>
      <c r="DZ264" t="s">
        <v>792</v>
      </c>
      <c r="EA264" t="s">
        <v>635</v>
      </c>
      <c r="EG264" t="s">
        <v>2029</v>
      </c>
      <c r="ET264" t="s">
        <v>549</v>
      </c>
    </row>
    <row r="265" spans="1:283" x14ac:dyDescent="0.25">
      <c r="A265" t="s">
        <v>5366</v>
      </c>
      <c r="B265" t="str">
        <f>"801542702861"</f>
        <v>801542702861</v>
      </c>
      <c r="C265" t="s">
        <v>5367</v>
      </c>
      <c r="D265" t="s">
        <v>1139</v>
      </c>
      <c r="E265" t="s">
        <v>413</v>
      </c>
      <c r="G265" t="str">
        <f>"95"</f>
        <v>95</v>
      </c>
      <c r="H265" t="str">
        <f>"38"</f>
        <v>38</v>
      </c>
      <c r="I265" t="str">
        <f>"33.5"</f>
        <v>33.5</v>
      </c>
      <c r="J265" t="str">
        <f>"205.03"</f>
        <v>205.03</v>
      </c>
      <c r="K265" t="s">
        <v>5368</v>
      </c>
      <c r="N265" t="s">
        <v>5369</v>
      </c>
      <c r="O265" t="s">
        <v>5370</v>
      </c>
      <c r="P265" t="s">
        <v>5371</v>
      </c>
      <c r="Q265" t="s">
        <v>5372</v>
      </c>
      <c r="T265" t="s">
        <v>373</v>
      </c>
      <c r="U265" t="s">
        <v>373</v>
      </c>
      <c r="V265" t="s">
        <v>5373</v>
      </c>
      <c r="W265" t="s">
        <v>5374</v>
      </c>
      <c r="X265" t="s">
        <v>5375</v>
      </c>
      <c r="Y265" t="s">
        <v>5376</v>
      </c>
      <c r="Z265" t="s">
        <v>5377</v>
      </c>
      <c r="AA265" t="s">
        <v>5378</v>
      </c>
      <c r="AB265" t="s">
        <v>5379</v>
      </c>
      <c r="AC265" t="s">
        <v>5380</v>
      </c>
      <c r="AD265" t="s">
        <v>5381</v>
      </c>
      <c r="AE265" t="s">
        <v>5382</v>
      </c>
      <c r="AF265" t="s">
        <v>5383</v>
      </c>
      <c r="BA265" t="str">
        <f>"3199"</f>
        <v>3199</v>
      </c>
      <c r="BB265" t="str">
        <f>"1345"</f>
        <v>1345</v>
      </c>
      <c r="BC265" t="s">
        <v>1149</v>
      </c>
      <c r="BD265" t="str">
        <f t="shared" si="78"/>
        <v>1</v>
      </c>
      <c r="BE265" t="s">
        <v>389</v>
      </c>
      <c r="BF265" t="str">
        <f>"101"</f>
        <v>101</v>
      </c>
      <c r="BG265" t="str">
        <f>"41"</f>
        <v>41</v>
      </c>
      <c r="BH265" t="str">
        <f>"26.97"</f>
        <v>26.97</v>
      </c>
      <c r="BI265" t="str">
        <f>"213.85"</f>
        <v>213.85</v>
      </c>
      <c r="BY265" t="str">
        <f>"64.63"</f>
        <v>64.63</v>
      </c>
      <c r="BZ265" t="str">
        <f>"1.83"</f>
        <v>1.83</v>
      </c>
      <c r="CA265" t="s">
        <v>495</v>
      </c>
      <c r="CH265" t="s">
        <v>451</v>
      </c>
      <c r="CI265" t="s">
        <v>797</v>
      </c>
      <c r="CJ265" t="s">
        <v>3023</v>
      </c>
      <c r="CK265" t="s">
        <v>1510</v>
      </c>
      <c r="CL265" t="s">
        <v>1554</v>
      </c>
      <c r="CM265" t="s">
        <v>5384</v>
      </c>
      <c r="CN265">
        <v>0</v>
      </c>
      <c r="CO265">
        <v>2</v>
      </c>
      <c r="CP265" t="s">
        <v>437</v>
      </c>
      <c r="CQ265" t="s">
        <v>399</v>
      </c>
      <c r="CU265" t="s">
        <v>2143</v>
      </c>
      <c r="CX265" t="s">
        <v>403</v>
      </c>
      <c r="CY265" t="s">
        <v>3672</v>
      </c>
      <c r="CZ265">
        <v>2</v>
      </c>
      <c r="DD265">
        <v>27000</v>
      </c>
      <c r="DE265" t="s">
        <v>5385</v>
      </c>
      <c r="DF265" t="s">
        <v>406</v>
      </c>
      <c r="DG265" t="s">
        <v>407</v>
      </c>
      <c r="DH265">
        <v>2</v>
      </c>
      <c r="DI265">
        <v>3</v>
      </c>
      <c r="DK265" t="s">
        <v>2144</v>
      </c>
      <c r="DL265">
        <v>0</v>
      </c>
      <c r="DM265" t="s">
        <v>410</v>
      </c>
      <c r="DN265" t="s">
        <v>1553</v>
      </c>
      <c r="DO265" t="s">
        <v>446</v>
      </c>
      <c r="DP265" t="s">
        <v>790</v>
      </c>
      <c r="DT265" t="s">
        <v>1037</v>
      </c>
      <c r="DU265" t="s">
        <v>797</v>
      </c>
      <c r="DV265" t="s">
        <v>511</v>
      </c>
      <c r="DW265" t="s">
        <v>3023</v>
      </c>
      <c r="DX265" t="s">
        <v>1040</v>
      </c>
      <c r="DY265" t="s">
        <v>855</v>
      </c>
      <c r="DZ265" t="s">
        <v>5386</v>
      </c>
      <c r="EA265" t="s">
        <v>446</v>
      </c>
      <c r="ED265" t="s">
        <v>406</v>
      </c>
      <c r="EE265" t="s">
        <v>407</v>
      </c>
      <c r="EF265" t="s">
        <v>831</v>
      </c>
      <c r="EG265" t="s">
        <v>1710</v>
      </c>
      <c r="EP265" t="s">
        <v>5384</v>
      </c>
      <c r="EQ265" t="s">
        <v>5384</v>
      </c>
      <c r="IG265" t="s">
        <v>2007</v>
      </c>
      <c r="IK265" t="s">
        <v>407</v>
      </c>
      <c r="IL265" t="s">
        <v>402</v>
      </c>
      <c r="JD265" t="s">
        <v>449</v>
      </c>
      <c r="JE265" t="s">
        <v>823</v>
      </c>
      <c r="JF265" t="s">
        <v>3545</v>
      </c>
      <c r="JP265" t="s">
        <v>5387</v>
      </c>
    </row>
    <row r="266" spans="1:283" x14ac:dyDescent="0.25">
      <c r="A266" t="s">
        <v>5388</v>
      </c>
      <c r="B266" t="str">
        <f>"801542769017"</f>
        <v>801542769017</v>
      </c>
      <c r="C266" t="s">
        <v>5389</v>
      </c>
      <c r="D266" t="s">
        <v>5390</v>
      </c>
      <c r="E266" t="s">
        <v>413</v>
      </c>
      <c r="G266" t="str">
        <f>"84"</f>
        <v>84</v>
      </c>
      <c r="H266" t="str">
        <f>"36"</f>
        <v>36</v>
      </c>
      <c r="I266" t="str">
        <f>"31.5"</f>
        <v>31.5</v>
      </c>
      <c r="J266" t="str">
        <f>"109.35"</f>
        <v>109.35</v>
      </c>
      <c r="K266" t="s">
        <v>5391</v>
      </c>
      <c r="L266" t="s">
        <v>1987</v>
      </c>
      <c r="N266" t="s">
        <v>1170</v>
      </c>
      <c r="O266" t="s">
        <v>3084</v>
      </c>
      <c r="P266" t="s">
        <v>1121</v>
      </c>
      <c r="T266" t="s">
        <v>373</v>
      </c>
      <c r="U266" t="s">
        <v>373</v>
      </c>
      <c r="V266" t="s">
        <v>5392</v>
      </c>
      <c r="W266" t="s">
        <v>5393</v>
      </c>
      <c r="X266" t="s">
        <v>5394</v>
      </c>
      <c r="Y266" t="s">
        <v>5395</v>
      </c>
      <c r="Z266" t="s">
        <v>5396</v>
      </c>
      <c r="AA266" t="s">
        <v>5397</v>
      </c>
      <c r="AB266" t="s">
        <v>5398</v>
      </c>
      <c r="AC266" t="s">
        <v>5399</v>
      </c>
      <c r="AD266" t="s">
        <v>5400</v>
      </c>
      <c r="AE266" t="s">
        <v>5401</v>
      </c>
      <c r="AF266" t="s">
        <v>5402</v>
      </c>
      <c r="AG266" t="s">
        <v>5403</v>
      </c>
      <c r="BA266" t="str">
        <f>"2099"</f>
        <v>2099</v>
      </c>
      <c r="BB266" t="str">
        <f>"885"</f>
        <v>885</v>
      </c>
      <c r="BC266" t="s">
        <v>388</v>
      </c>
      <c r="BD266" t="str">
        <f t="shared" si="78"/>
        <v>1</v>
      </c>
      <c r="BE266" t="s">
        <v>389</v>
      </c>
      <c r="BF266" t="str">
        <f>"85.04"</f>
        <v>85.04</v>
      </c>
      <c r="BG266" t="str">
        <f>"36.42"</f>
        <v>36.42</v>
      </c>
      <c r="BH266" t="str">
        <f>"22.05"</f>
        <v>22.05</v>
      </c>
      <c r="BI266" t="str">
        <f>"128.31"</f>
        <v>128.31</v>
      </c>
      <c r="BY266" t="str">
        <f>"39.52"</f>
        <v>39.52</v>
      </c>
      <c r="BZ266" t="str">
        <f>"1.119"</f>
        <v>1.119</v>
      </c>
      <c r="CA266" t="s">
        <v>431</v>
      </c>
      <c r="CH266" t="s">
        <v>432</v>
      </c>
      <c r="CI266" t="s">
        <v>797</v>
      </c>
      <c r="CJ266" t="s">
        <v>859</v>
      </c>
      <c r="CK266" t="s">
        <v>600</v>
      </c>
      <c r="CL266" t="s">
        <v>396</v>
      </c>
      <c r="CM266" t="s">
        <v>823</v>
      </c>
      <c r="CN266">
        <v>2</v>
      </c>
      <c r="CO266">
        <v>2</v>
      </c>
      <c r="CP266" t="s">
        <v>437</v>
      </c>
      <c r="CQ266" t="s">
        <v>399</v>
      </c>
      <c r="CU266" t="s">
        <v>2029</v>
      </c>
      <c r="CX266" t="s">
        <v>403</v>
      </c>
      <c r="CY266" t="s">
        <v>400</v>
      </c>
      <c r="CZ266">
        <v>0</v>
      </c>
      <c r="DD266">
        <v>100000</v>
      </c>
      <c r="DE266" t="s">
        <v>439</v>
      </c>
      <c r="DF266" t="s">
        <v>406</v>
      </c>
      <c r="DG266" t="s">
        <v>407</v>
      </c>
      <c r="DH266">
        <v>2</v>
      </c>
      <c r="DI266">
        <v>3</v>
      </c>
      <c r="DK266" t="s">
        <v>5404</v>
      </c>
      <c r="DL266">
        <v>0</v>
      </c>
      <c r="DM266" t="s">
        <v>410</v>
      </c>
      <c r="DN266" t="s">
        <v>611</v>
      </c>
      <c r="DO266" t="s">
        <v>5405</v>
      </c>
      <c r="DP266" t="s">
        <v>859</v>
      </c>
      <c r="DQ266" t="s">
        <v>822</v>
      </c>
      <c r="DR266" t="s">
        <v>510</v>
      </c>
      <c r="DS266" t="s">
        <v>799</v>
      </c>
      <c r="DT266" t="s">
        <v>475</v>
      </c>
      <c r="DU266" t="s">
        <v>450</v>
      </c>
      <c r="DV266" t="s">
        <v>474</v>
      </c>
      <c r="DW266" t="s">
        <v>859</v>
      </c>
      <c r="DX266" t="s">
        <v>1489</v>
      </c>
      <c r="DY266" t="s">
        <v>822</v>
      </c>
      <c r="DZ266" t="s">
        <v>5406</v>
      </c>
      <c r="EA266" t="s">
        <v>5405</v>
      </c>
      <c r="EB266" t="s">
        <v>407</v>
      </c>
      <c r="EC266" t="s">
        <v>402</v>
      </c>
      <c r="ED266" t="s">
        <v>406</v>
      </c>
      <c r="EE266" t="s">
        <v>407</v>
      </c>
      <c r="EF266" t="s">
        <v>1190</v>
      </c>
      <c r="EG266" t="s">
        <v>2029</v>
      </c>
    </row>
    <row r="267" spans="1:283" x14ac:dyDescent="0.25">
      <c r="A267" t="s">
        <v>5407</v>
      </c>
      <c r="B267" t="str">
        <f>"801542769024"</f>
        <v>801542769024</v>
      </c>
      <c r="C267" t="s">
        <v>5408</v>
      </c>
      <c r="D267" t="s">
        <v>5390</v>
      </c>
      <c r="E267" t="s">
        <v>413</v>
      </c>
      <c r="G267" t="str">
        <f>"84"</f>
        <v>84</v>
      </c>
      <c r="H267" t="str">
        <f>"36"</f>
        <v>36</v>
      </c>
      <c r="I267" t="str">
        <f>"31.5"</f>
        <v>31.5</v>
      </c>
      <c r="J267" t="str">
        <f>"109.35"</f>
        <v>109.35</v>
      </c>
      <c r="K267" t="s">
        <v>5409</v>
      </c>
      <c r="L267" t="s">
        <v>1987</v>
      </c>
      <c r="N267" t="s">
        <v>1170</v>
      </c>
      <c r="O267" t="s">
        <v>3084</v>
      </c>
      <c r="P267" t="s">
        <v>1121</v>
      </c>
      <c r="T267" t="s">
        <v>402</v>
      </c>
      <c r="U267" t="s">
        <v>373</v>
      </c>
      <c r="V267" t="s">
        <v>5410</v>
      </c>
      <c r="W267" t="s">
        <v>5411</v>
      </c>
      <c r="X267" t="s">
        <v>5412</v>
      </c>
      <c r="Y267" t="s">
        <v>5413</v>
      </c>
      <c r="Z267" t="s">
        <v>5414</v>
      </c>
      <c r="AA267" t="s">
        <v>5415</v>
      </c>
      <c r="AB267" t="s">
        <v>5416</v>
      </c>
      <c r="AC267" t="s">
        <v>5417</v>
      </c>
      <c r="AD267" t="s">
        <v>5418</v>
      </c>
      <c r="AE267" t="s">
        <v>5419</v>
      </c>
      <c r="AF267" t="s">
        <v>5420</v>
      </c>
      <c r="AG267" t="s">
        <v>5421</v>
      </c>
      <c r="AH267" t="s">
        <v>5422</v>
      </c>
      <c r="AI267" t="s">
        <v>5423</v>
      </c>
      <c r="AJ267" t="s">
        <v>5424</v>
      </c>
      <c r="BA267" t="str">
        <f>"2099"</f>
        <v>2099</v>
      </c>
      <c r="BB267" t="str">
        <f>"885"</f>
        <v>885</v>
      </c>
      <c r="BC267" t="s">
        <v>388</v>
      </c>
      <c r="BD267" t="str">
        <f t="shared" si="78"/>
        <v>1</v>
      </c>
      <c r="BE267" t="s">
        <v>389</v>
      </c>
      <c r="BF267" t="str">
        <f>"85.04"</f>
        <v>85.04</v>
      </c>
      <c r="BG267" t="str">
        <f>"36.42"</f>
        <v>36.42</v>
      </c>
      <c r="BH267" t="str">
        <f>"22.05"</f>
        <v>22.05</v>
      </c>
      <c r="BI267" t="str">
        <f>"128.31"</f>
        <v>128.31</v>
      </c>
      <c r="BY267" t="str">
        <f>"39.52"</f>
        <v>39.52</v>
      </c>
      <c r="BZ267" t="str">
        <f>"1.119"</f>
        <v>1.119</v>
      </c>
      <c r="CA267" t="s">
        <v>495</v>
      </c>
      <c r="CH267" t="s">
        <v>432</v>
      </c>
      <c r="CI267" t="s">
        <v>797</v>
      </c>
      <c r="CJ267" t="s">
        <v>859</v>
      </c>
      <c r="CK267" t="s">
        <v>600</v>
      </c>
      <c r="CL267" t="s">
        <v>396</v>
      </c>
      <c r="CM267" t="s">
        <v>823</v>
      </c>
      <c r="CN267">
        <v>2</v>
      </c>
      <c r="CO267">
        <v>2</v>
      </c>
      <c r="CP267" t="s">
        <v>437</v>
      </c>
      <c r="CQ267" t="s">
        <v>399</v>
      </c>
      <c r="CU267" t="s">
        <v>2029</v>
      </c>
      <c r="CX267" t="s">
        <v>403</v>
      </c>
      <c r="CY267" t="s">
        <v>400</v>
      </c>
      <c r="CZ267">
        <v>0</v>
      </c>
      <c r="DD267">
        <v>100000</v>
      </c>
      <c r="DE267" t="s">
        <v>439</v>
      </c>
      <c r="DF267" t="s">
        <v>406</v>
      </c>
      <c r="DG267" t="s">
        <v>407</v>
      </c>
      <c r="DH267">
        <v>2</v>
      </c>
      <c r="DI267">
        <v>3</v>
      </c>
      <c r="DK267" t="s">
        <v>5404</v>
      </c>
      <c r="DL267">
        <v>0</v>
      </c>
      <c r="DM267" t="s">
        <v>410</v>
      </c>
      <c r="DN267" t="s">
        <v>611</v>
      </c>
      <c r="DO267" t="s">
        <v>5405</v>
      </c>
      <c r="DP267" t="s">
        <v>859</v>
      </c>
      <c r="DQ267" t="s">
        <v>822</v>
      </c>
      <c r="DR267" t="s">
        <v>510</v>
      </c>
      <c r="DS267" t="s">
        <v>799</v>
      </c>
      <c r="DT267" t="s">
        <v>475</v>
      </c>
      <c r="DU267" t="s">
        <v>450</v>
      </c>
      <c r="DV267" t="s">
        <v>474</v>
      </c>
      <c r="DW267" t="s">
        <v>859</v>
      </c>
      <c r="DX267" t="s">
        <v>1489</v>
      </c>
      <c r="DY267" t="s">
        <v>822</v>
      </c>
      <c r="DZ267" t="s">
        <v>5406</v>
      </c>
      <c r="EA267" t="s">
        <v>5405</v>
      </c>
      <c r="EB267" t="s">
        <v>407</v>
      </c>
      <c r="EC267" t="s">
        <v>402</v>
      </c>
      <c r="ED267" t="s">
        <v>406</v>
      </c>
      <c r="EE267" t="s">
        <v>407</v>
      </c>
      <c r="EF267" t="s">
        <v>1190</v>
      </c>
      <c r="EG267" t="s">
        <v>2029</v>
      </c>
    </row>
    <row r="268" spans="1:283" x14ac:dyDescent="0.25">
      <c r="A268" t="s">
        <v>5425</v>
      </c>
      <c r="B268" t="str">
        <f>"801542769048"</f>
        <v>801542769048</v>
      </c>
      <c r="C268" t="s">
        <v>5426</v>
      </c>
      <c r="D268" t="s">
        <v>5390</v>
      </c>
      <c r="E268" t="s">
        <v>413</v>
      </c>
      <c r="G268" t="str">
        <f>"84"</f>
        <v>84</v>
      </c>
      <c r="H268" t="str">
        <f>"36"</f>
        <v>36</v>
      </c>
      <c r="I268" t="str">
        <f>"31.5"</f>
        <v>31.5</v>
      </c>
      <c r="J268" t="str">
        <f>"109.35"</f>
        <v>109.35</v>
      </c>
      <c r="K268" t="s">
        <v>5427</v>
      </c>
      <c r="L268" t="s">
        <v>1987</v>
      </c>
      <c r="N268" t="s">
        <v>416</v>
      </c>
      <c r="O268" t="s">
        <v>1121</v>
      </c>
      <c r="T268" t="s">
        <v>373</v>
      </c>
      <c r="U268" t="s">
        <v>373</v>
      </c>
      <c r="V268" t="s">
        <v>5428</v>
      </c>
      <c r="W268" t="s">
        <v>5429</v>
      </c>
      <c r="X268" t="s">
        <v>5430</v>
      </c>
      <c r="Y268" t="s">
        <v>5431</v>
      </c>
      <c r="Z268" t="s">
        <v>5432</v>
      </c>
      <c r="AA268" t="s">
        <v>5433</v>
      </c>
      <c r="AB268" t="s">
        <v>5434</v>
      </c>
      <c r="AC268" t="s">
        <v>5435</v>
      </c>
      <c r="AD268" t="s">
        <v>5436</v>
      </c>
      <c r="AE268" t="s">
        <v>5437</v>
      </c>
      <c r="AF268" t="s">
        <v>5438</v>
      </c>
      <c r="AG268" t="s">
        <v>5439</v>
      </c>
      <c r="BA268" t="str">
        <f>"3499"</f>
        <v>3499</v>
      </c>
      <c r="BB268" t="str">
        <f>"1470"</f>
        <v>1470</v>
      </c>
      <c r="BC268" t="s">
        <v>388</v>
      </c>
      <c r="BD268" t="str">
        <f t="shared" si="78"/>
        <v>1</v>
      </c>
      <c r="BE268" t="s">
        <v>389</v>
      </c>
      <c r="BF268" t="str">
        <f>"85.04"</f>
        <v>85.04</v>
      </c>
      <c r="BG268" t="str">
        <f>"36.42"</f>
        <v>36.42</v>
      </c>
      <c r="BH268" t="str">
        <f>"22.05"</f>
        <v>22.05</v>
      </c>
      <c r="BI268" t="str">
        <f>"128.31"</f>
        <v>128.31</v>
      </c>
      <c r="BY268" t="str">
        <f>"39.52"</f>
        <v>39.52</v>
      </c>
      <c r="BZ268" t="str">
        <f>"1.119"</f>
        <v>1.119</v>
      </c>
      <c r="CA268" t="s">
        <v>431</v>
      </c>
      <c r="CH268" t="s">
        <v>432</v>
      </c>
      <c r="CI268" t="s">
        <v>797</v>
      </c>
      <c r="CJ268" t="s">
        <v>859</v>
      </c>
      <c r="CK268" t="s">
        <v>600</v>
      </c>
      <c r="CL268" t="s">
        <v>396</v>
      </c>
      <c r="CM268" t="s">
        <v>823</v>
      </c>
      <c r="CN268">
        <v>2</v>
      </c>
      <c r="CO268">
        <v>2</v>
      </c>
      <c r="CP268" t="s">
        <v>437</v>
      </c>
      <c r="CQ268" t="s">
        <v>438</v>
      </c>
      <c r="CU268" t="s">
        <v>2029</v>
      </c>
      <c r="CX268" t="s">
        <v>403</v>
      </c>
      <c r="CY268" t="s">
        <v>400</v>
      </c>
      <c r="CZ268">
        <v>0</v>
      </c>
      <c r="DD268">
        <v>0</v>
      </c>
      <c r="DE268" t="s">
        <v>439</v>
      </c>
      <c r="DF268" t="s">
        <v>406</v>
      </c>
      <c r="DG268" t="s">
        <v>407</v>
      </c>
      <c r="DH268">
        <v>2</v>
      </c>
      <c r="DI268">
        <v>3</v>
      </c>
      <c r="DK268" t="s">
        <v>5404</v>
      </c>
      <c r="DL268">
        <v>0</v>
      </c>
      <c r="DM268" t="s">
        <v>410</v>
      </c>
      <c r="DN268" t="s">
        <v>611</v>
      </c>
      <c r="DO268" t="s">
        <v>5405</v>
      </c>
      <c r="DP268" t="s">
        <v>859</v>
      </c>
      <c r="DQ268" t="s">
        <v>822</v>
      </c>
      <c r="DR268" t="s">
        <v>510</v>
      </c>
      <c r="DS268" t="s">
        <v>799</v>
      </c>
      <c r="DT268" t="s">
        <v>475</v>
      </c>
      <c r="DU268" t="s">
        <v>450</v>
      </c>
      <c r="DV268" t="s">
        <v>474</v>
      </c>
      <c r="DW268" t="s">
        <v>859</v>
      </c>
      <c r="DX268" t="s">
        <v>1489</v>
      </c>
      <c r="DY268" t="s">
        <v>822</v>
      </c>
      <c r="DZ268" t="s">
        <v>5406</v>
      </c>
      <c r="EA268" t="s">
        <v>5405</v>
      </c>
      <c r="EB268" t="s">
        <v>407</v>
      </c>
      <c r="EC268" t="s">
        <v>402</v>
      </c>
      <c r="ED268" t="s">
        <v>406</v>
      </c>
      <c r="EE268" t="s">
        <v>407</v>
      </c>
      <c r="EF268" t="s">
        <v>1190</v>
      </c>
      <c r="EG268" t="s">
        <v>2029</v>
      </c>
    </row>
    <row r="269" spans="1:283" x14ac:dyDescent="0.25">
      <c r="A269" t="s">
        <v>5440</v>
      </c>
      <c r="B269" t="str">
        <f>"801542769062"</f>
        <v>801542769062</v>
      </c>
      <c r="C269" t="s">
        <v>5441</v>
      </c>
      <c r="D269" t="s">
        <v>5390</v>
      </c>
      <c r="E269" t="s">
        <v>413</v>
      </c>
      <c r="G269" t="str">
        <f>"84"</f>
        <v>84</v>
      </c>
      <c r="H269" t="str">
        <f>"36"</f>
        <v>36</v>
      </c>
      <c r="I269" t="str">
        <f>"31.5"</f>
        <v>31.5</v>
      </c>
      <c r="J269" t="str">
        <f>"109.35"</f>
        <v>109.35</v>
      </c>
      <c r="K269" t="s">
        <v>5442</v>
      </c>
      <c r="L269" t="s">
        <v>5443</v>
      </c>
      <c r="N269" t="s">
        <v>808</v>
      </c>
      <c r="O269" t="s">
        <v>809</v>
      </c>
      <c r="P269" t="s">
        <v>810</v>
      </c>
      <c r="Q269" t="s">
        <v>1121</v>
      </c>
      <c r="T269" t="s">
        <v>373</v>
      </c>
      <c r="U269" t="s">
        <v>402</v>
      </c>
      <c r="V269" t="s">
        <v>5444</v>
      </c>
      <c r="W269" t="s">
        <v>5445</v>
      </c>
      <c r="X269" t="s">
        <v>5446</v>
      </c>
      <c r="Y269" t="s">
        <v>5447</v>
      </c>
      <c r="Z269" t="s">
        <v>5448</v>
      </c>
      <c r="AA269" t="s">
        <v>5449</v>
      </c>
      <c r="AB269" t="s">
        <v>5450</v>
      </c>
      <c r="AC269" t="s">
        <v>5451</v>
      </c>
      <c r="AD269" t="s">
        <v>5452</v>
      </c>
      <c r="AE269" t="s">
        <v>5453</v>
      </c>
      <c r="AF269" t="s">
        <v>5454</v>
      </c>
      <c r="AG269" t="s">
        <v>5455</v>
      </c>
      <c r="AH269" t="s">
        <v>5456</v>
      </c>
      <c r="AI269" t="s">
        <v>5457</v>
      </c>
      <c r="BA269" t="str">
        <f>"2099"</f>
        <v>2099</v>
      </c>
      <c r="BB269" t="str">
        <f>"885"</f>
        <v>885</v>
      </c>
      <c r="BC269" t="s">
        <v>388</v>
      </c>
      <c r="BD269" t="str">
        <f t="shared" si="78"/>
        <v>1</v>
      </c>
      <c r="BE269" t="s">
        <v>389</v>
      </c>
      <c r="BF269" t="str">
        <f>"85.04"</f>
        <v>85.04</v>
      </c>
      <c r="BG269" t="str">
        <f>"36.42"</f>
        <v>36.42</v>
      </c>
      <c r="BH269" t="str">
        <f>"22.05"</f>
        <v>22.05</v>
      </c>
      <c r="BI269" t="str">
        <f>"128.31"</f>
        <v>128.31</v>
      </c>
      <c r="BY269" t="str">
        <f>"39.52"</f>
        <v>39.52</v>
      </c>
      <c r="BZ269" t="str">
        <f>"1.119"</f>
        <v>1.119</v>
      </c>
      <c r="CA269" t="s">
        <v>495</v>
      </c>
      <c r="CH269" t="s">
        <v>432</v>
      </c>
      <c r="CI269" t="s">
        <v>797</v>
      </c>
      <c r="CJ269" t="s">
        <v>859</v>
      </c>
      <c r="CK269" t="s">
        <v>600</v>
      </c>
      <c r="CL269" t="s">
        <v>396</v>
      </c>
      <c r="CM269" t="s">
        <v>823</v>
      </c>
      <c r="CN269">
        <v>2</v>
      </c>
      <c r="CO269">
        <v>2</v>
      </c>
      <c r="CP269" t="s">
        <v>437</v>
      </c>
      <c r="CQ269" t="s">
        <v>631</v>
      </c>
      <c r="CU269" t="s">
        <v>2029</v>
      </c>
      <c r="CX269" t="s">
        <v>403</v>
      </c>
      <c r="CY269" t="s">
        <v>400</v>
      </c>
      <c r="CZ269">
        <v>0</v>
      </c>
      <c r="DD269">
        <v>25000</v>
      </c>
      <c r="DE269" t="s">
        <v>439</v>
      </c>
      <c r="DF269" t="s">
        <v>406</v>
      </c>
      <c r="DG269" t="s">
        <v>407</v>
      </c>
      <c r="DH269">
        <v>2</v>
      </c>
      <c r="DI269">
        <v>3</v>
      </c>
      <c r="DK269" t="s">
        <v>5404</v>
      </c>
      <c r="DL269">
        <v>0</v>
      </c>
      <c r="DM269" t="s">
        <v>410</v>
      </c>
      <c r="DN269" t="s">
        <v>611</v>
      </c>
      <c r="DO269" t="s">
        <v>5405</v>
      </c>
      <c r="DP269" t="s">
        <v>859</v>
      </c>
      <c r="DQ269" t="s">
        <v>822</v>
      </c>
      <c r="DR269" t="s">
        <v>510</v>
      </c>
      <c r="DS269" t="s">
        <v>799</v>
      </c>
      <c r="DT269" t="s">
        <v>475</v>
      </c>
      <c r="DU269" t="s">
        <v>450</v>
      </c>
      <c r="DV269" t="s">
        <v>474</v>
      </c>
      <c r="DW269" t="s">
        <v>859</v>
      </c>
      <c r="DX269" t="s">
        <v>1489</v>
      </c>
      <c r="DY269" t="s">
        <v>822</v>
      </c>
      <c r="DZ269" t="s">
        <v>5406</v>
      </c>
      <c r="EA269" t="s">
        <v>5405</v>
      </c>
      <c r="EB269" t="s">
        <v>407</v>
      </c>
      <c r="EC269" t="s">
        <v>402</v>
      </c>
      <c r="ED269" t="s">
        <v>406</v>
      </c>
      <c r="EE269" t="s">
        <v>407</v>
      </c>
      <c r="EF269" t="s">
        <v>1190</v>
      </c>
      <c r="EG269" t="s">
        <v>2029</v>
      </c>
    </row>
    <row r="270" spans="1:283" x14ac:dyDescent="0.25">
      <c r="A270" t="s">
        <v>5458</v>
      </c>
      <c r="B270" t="str">
        <f>"198394084963"</f>
        <v>198394084963</v>
      </c>
      <c r="C270" t="s">
        <v>5459</v>
      </c>
      <c r="D270" t="s">
        <v>5460</v>
      </c>
      <c r="E270" t="s">
        <v>647</v>
      </c>
      <c r="F270" t="s">
        <v>648</v>
      </c>
      <c r="G270" t="str">
        <f>"84"</f>
        <v>84</v>
      </c>
      <c r="H270" t="str">
        <f>"38"</f>
        <v>38</v>
      </c>
      <c r="I270" t="str">
        <f>"30"</f>
        <v>30</v>
      </c>
      <c r="J270" t="str">
        <f>"162.04"</f>
        <v>162.04</v>
      </c>
      <c r="K270" t="s">
        <v>5461</v>
      </c>
      <c r="L270" t="s">
        <v>5462</v>
      </c>
      <c r="N270" t="s">
        <v>1970</v>
      </c>
      <c r="O270" t="s">
        <v>372</v>
      </c>
      <c r="P270" t="s">
        <v>555</v>
      </c>
      <c r="T270" t="s">
        <v>373</v>
      </c>
      <c r="U270" t="s">
        <v>373</v>
      </c>
      <c r="V270" t="s">
        <v>5463</v>
      </c>
      <c r="W270" t="s">
        <v>5464</v>
      </c>
      <c r="X270" t="s">
        <v>5465</v>
      </c>
      <c r="Y270" t="s">
        <v>5466</v>
      </c>
      <c r="Z270" t="s">
        <v>5467</v>
      </c>
      <c r="AA270" t="s">
        <v>5468</v>
      </c>
      <c r="AB270" t="s">
        <v>5469</v>
      </c>
      <c r="AC270" t="s">
        <v>5470</v>
      </c>
      <c r="AD270" t="s">
        <v>5471</v>
      </c>
      <c r="AE270" t="s">
        <v>5472</v>
      </c>
      <c r="AF270" t="s">
        <v>5473</v>
      </c>
      <c r="AG270" t="s">
        <v>5474</v>
      </c>
      <c r="AH270" t="s">
        <v>5475</v>
      </c>
      <c r="AI270" t="s">
        <v>5476</v>
      </c>
      <c r="AJ270" t="s">
        <v>5477</v>
      </c>
      <c r="BA270" t="str">
        <f>"1799"</f>
        <v>1799</v>
      </c>
      <c r="BB270" t="str">
        <f>"760"</f>
        <v>760</v>
      </c>
      <c r="BC270" t="s">
        <v>665</v>
      </c>
      <c r="BD270" t="str">
        <f t="shared" si="78"/>
        <v>1</v>
      </c>
      <c r="BE270" t="s">
        <v>389</v>
      </c>
      <c r="BF270" t="str">
        <f>"88.98"</f>
        <v>88.98</v>
      </c>
      <c r="BG270" t="str">
        <f>"9.65"</f>
        <v>9.65</v>
      </c>
      <c r="BH270" t="str">
        <f>"43.11"</f>
        <v>43.11</v>
      </c>
      <c r="BI270" t="str">
        <f>"187.39"</f>
        <v>187.39</v>
      </c>
      <c r="BY270" t="str">
        <f>"21.4"</f>
        <v>21.4</v>
      </c>
      <c r="BZ270" t="str">
        <f>"0.606"</f>
        <v>0.606</v>
      </c>
      <c r="CA270" t="s">
        <v>431</v>
      </c>
      <c r="CR270" t="s">
        <v>400</v>
      </c>
      <c r="CS270">
        <v>0</v>
      </c>
      <c r="CT270" t="s">
        <v>400</v>
      </c>
      <c r="CV270">
        <v>0</v>
      </c>
      <c r="CX270" t="s">
        <v>4903</v>
      </c>
      <c r="CY270" t="s">
        <v>5478</v>
      </c>
      <c r="DA270">
        <v>0</v>
      </c>
      <c r="DB270">
        <v>0</v>
      </c>
      <c r="DC270">
        <v>0</v>
      </c>
      <c r="DI270">
        <v>12</v>
      </c>
      <c r="DJ270" t="s">
        <v>408</v>
      </c>
      <c r="DK270" t="s">
        <v>5479</v>
      </c>
      <c r="DM270" t="s">
        <v>669</v>
      </c>
      <c r="DX270" t="s">
        <v>2127</v>
      </c>
      <c r="DY270" t="s">
        <v>5480</v>
      </c>
      <c r="DZ270" t="s">
        <v>5481</v>
      </c>
      <c r="EI270" t="s">
        <v>5482</v>
      </c>
      <c r="EJ270" t="s">
        <v>5483</v>
      </c>
      <c r="EK270" t="s">
        <v>5482</v>
      </c>
      <c r="EL270" t="s">
        <v>1350</v>
      </c>
      <c r="EM270" t="s">
        <v>402</v>
      </c>
      <c r="EN270">
        <v>0</v>
      </c>
      <c r="EO270">
        <v>1</v>
      </c>
      <c r="EV270" t="s">
        <v>3856</v>
      </c>
      <c r="EW270" t="s">
        <v>5483</v>
      </c>
      <c r="EX270" t="s">
        <v>5484</v>
      </c>
      <c r="EY270" t="s">
        <v>5485</v>
      </c>
      <c r="JQ270" t="s">
        <v>5486</v>
      </c>
      <c r="JR270" t="s">
        <v>5487</v>
      </c>
      <c r="JS270" t="s">
        <v>5488</v>
      </c>
      <c r="JT270" t="s">
        <v>5489</v>
      </c>
    </row>
    <row r="271" spans="1:283" x14ac:dyDescent="0.25">
      <c r="A271" t="s">
        <v>5490</v>
      </c>
      <c r="B271" t="str">
        <f>"801542777265"</f>
        <v>801542777265</v>
      </c>
      <c r="C271" t="s">
        <v>5491</v>
      </c>
      <c r="D271" t="s">
        <v>4843</v>
      </c>
      <c r="E271" t="s">
        <v>647</v>
      </c>
      <c r="F271" t="s">
        <v>648</v>
      </c>
      <c r="G271" t="str">
        <f>"94"</f>
        <v>94</v>
      </c>
      <c r="H271" t="str">
        <f>"42"</f>
        <v>42</v>
      </c>
      <c r="I271" t="str">
        <f>"30"</f>
        <v>30</v>
      </c>
      <c r="J271" t="str">
        <f>"231.24"</f>
        <v>231.24</v>
      </c>
      <c r="K271" t="s">
        <v>5492</v>
      </c>
      <c r="L271" t="s">
        <v>5493</v>
      </c>
      <c r="N271" t="s">
        <v>372</v>
      </c>
      <c r="O271" t="s">
        <v>555</v>
      </c>
      <c r="T271" t="s">
        <v>373</v>
      </c>
      <c r="U271" t="s">
        <v>373</v>
      </c>
      <c r="V271" t="s">
        <v>5494</v>
      </c>
      <c r="W271" t="s">
        <v>5495</v>
      </c>
      <c r="X271" t="s">
        <v>5496</v>
      </c>
      <c r="Y271" t="s">
        <v>5497</v>
      </c>
      <c r="Z271" t="s">
        <v>5498</v>
      </c>
      <c r="AA271" t="s">
        <v>5499</v>
      </c>
      <c r="AB271" t="s">
        <v>5500</v>
      </c>
      <c r="AC271" t="s">
        <v>5501</v>
      </c>
      <c r="AD271" t="s">
        <v>5502</v>
      </c>
      <c r="AE271" t="s">
        <v>5503</v>
      </c>
      <c r="AF271" t="s">
        <v>5504</v>
      </c>
      <c r="AG271" t="s">
        <v>5505</v>
      </c>
      <c r="AH271" t="s">
        <v>5506</v>
      </c>
      <c r="AI271" t="s">
        <v>5507</v>
      </c>
      <c r="BA271" t="str">
        <f>"2399"</f>
        <v>2399</v>
      </c>
      <c r="BB271" t="str">
        <f>"1010"</f>
        <v>1010</v>
      </c>
      <c r="BC271" t="s">
        <v>949</v>
      </c>
      <c r="BD271" t="str">
        <f>"3"</f>
        <v>3</v>
      </c>
      <c r="BE271" t="s">
        <v>1089</v>
      </c>
      <c r="BF271" t="str">
        <f>"97"</f>
        <v>97</v>
      </c>
      <c r="BG271" t="str">
        <f>"5.5"</f>
        <v>5.5</v>
      </c>
      <c r="BH271" t="str">
        <f>"45.75"</f>
        <v>45.75</v>
      </c>
      <c r="BI271" t="str">
        <f>"166.77"</f>
        <v>166.77</v>
      </c>
      <c r="BJ271" t="s">
        <v>5508</v>
      </c>
      <c r="BK271" t="str">
        <f>"80"</f>
        <v>80</v>
      </c>
      <c r="BL271" t="str">
        <f>"7"</f>
        <v>7</v>
      </c>
      <c r="BM271" t="str">
        <f>"7.5"</f>
        <v>7.5</v>
      </c>
      <c r="BN271" t="str">
        <f>"32.4"</f>
        <v>32.4</v>
      </c>
      <c r="BO271" t="s">
        <v>1090</v>
      </c>
      <c r="BP271" t="str">
        <f>"28"</f>
        <v>28</v>
      </c>
      <c r="BQ271" t="str">
        <f>"17.5"</f>
        <v>17.5</v>
      </c>
      <c r="BR271" t="str">
        <f>"35"</f>
        <v>35</v>
      </c>
      <c r="BS271" t="str">
        <f>"83.2"</f>
        <v>83.2</v>
      </c>
      <c r="BY271" t="str">
        <f>"26.49"</f>
        <v>26.49</v>
      </c>
      <c r="BZ271" t="str">
        <f>"0.75"</f>
        <v>0.75</v>
      </c>
      <c r="CA271" t="s">
        <v>390</v>
      </c>
      <c r="CR271" t="s">
        <v>400</v>
      </c>
      <c r="CS271">
        <v>0</v>
      </c>
      <c r="CT271" t="s">
        <v>400</v>
      </c>
      <c r="CV271">
        <v>0</v>
      </c>
      <c r="CY271" t="s">
        <v>400</v>
      </c>
      <c r="DA271">
        <v>0</v>
      </c>
      <c r="DB271">
        <v>0</v>
      </c>
      <c r="DC271">
        <v>0</v>
      </c>
      <c r="DI271">
        <v>10</v>
      </c>
      <c r="DJ271" t="s">
        <v>408</v>
      </c>
      <c r="DK271" t="s">
        <v>5509</v>
      </c>
      <c r="DM271" t="s">
        <v>669</v>
      </c>
      <c r="DX271" t="s">
        <v>449</v>
      </c>
      <c r="DZ271" t="s">
        <v>2926</v>
      </c>
      <c r="EI271" t="s">
        <v>601</v>
      </c>
      <c r="EJ271" t="s">
        <v>3019</v>
      </c>
      <c r="EK271" t="s">
        <v>450</v>
      </c>
      <c r="EL271" t="s">
        <v>1094</v>
      </c>
      <c r="EM271" t="s">
        <v>402</v>
      </c>
      <c r="EN271">
        <v>0</v>
      </c>
      <c r="EO271">
        <v>0</v>
      </c>
      <c r="EW271" t="s">
        <v>5510</v>
      </c>
      <c r="EX271" t="s">
        <v>958</v>
      </c>
      <c r="EY271" t="s">
        <v>677</v>
      </c>
    </row>
    <row r="272" spans="1:283" x14ac:dyDescent="0.25">
      <c r="A272" t="s">
        <v>5511</v>
      </c>
      <c r="B272" t="str">
        <f>"801542709105"</f>
        <v>801542709105</v>
      </c>
      <c r="C272" t="s">
        <v>5512</v>
      </c>
      <c r="D272" t="s">
        <v>5513</v>
      </c>
      <c r="E272" t="s">
        <v>367</v>
      </c>
      <c r="F272" t="s">
        <v>368</v>
      </c>
      <c r="G272" t="str">
        <f>"78.75"</f>
        <v>78.75</v>
      </c>
      <c r="H272" t="str">
        <f>"28"</f>
        <v>28</v>
      </c>
      <c r="I272" t="str">
        <f>"20"</f>
        <v>20</v>
      </c>
      <c r="J272" t="str">
        <f>"59.72"</f>
        <v>59.72</v>
      </c>
      <c r="K272" t="s">
        <v>863</v>
      </c>
      <c r="L272" t="s">
        <v>2403</v>
      </c>
      <c r="N272" t="s">
        <v>416</v>
      </c>
      <c r="O272" t="s">
        <v>417</v>
      </c>
      <c r="T272" t="s">
        <v>373</v>
      </c>
      <c r="U272" t="s">
        <v>373</v>
      </c>
      <c r="V272" t="s">
        <v>5514</v>
      </c>
      <c r="W272" t="s">
        <v>5515</v>
      </c>
      <c r="X272" t="s">
        <v>5516</v>
      </c>
      <c r="Y272" t="s">
        <v>5517</v>
      </c>
      <c r="Z272" t="s">
        <v>5518</v>
      </c>
      <c r="AA272" t="s">
        <v>5519</v>
      </c>
      <c r="AB272" t="s">
        <v>5520</v>
      </c>
      <c r="AC272" t="s">
        <v>5521</v>
      </c>
      <c r="AD272" t="s">
        <v>5522</v>
      </c>
      <c r="AE272" t="s">
        <v>5523</v>
      </c>
      <c r="AF272" t="s">
        <v>5524</v>
      </c>
      <c r="AG272" t="s">
        <v>5525</v>
      </c>
      <c r="BA272" t="str">
        <f>"1549"</f>
        <v>1549</v>
      </c>
      <c r="BB272" t="str">
        <f>"655"</f>
        <v>655</v>
      </c>
      <c r="BC272" t="s">
        <v>388</v>
      </c>
      <c r="BD272" t="str">
        <f>"1"</f>
        <v>1</v>
      </c>
      <c r="BE272" t="s">
        <v>389</v>
      </c>
      <c r="BF272" t="str">
        <f>"79.72"</f>
        <v>79.72</v>
      </c>
      <c r="BG272" t="str">
        <f>"29.72"</f>
        <v>29.72</v>
      </c>
      <c r="BH272" t="str">
        <f>"20.28"</f>
        <v>20.28</v>
      </c>
      <c r="BI272" t="str">
        <f>"89.53"</f>
        <v>89.53</v>
      </c>
      <c r="BY272" t="str">
        <f>"27.79"</f>
        <v>27.79</v>
      </c>
      <c r="BZ272" t="str">
        <f>"0.787"</f>
        <v>0.787</v>
      </c>
      <c r="CA272" t="s">
        <v>431</v>
      </c>
      <c r="CH272" t="s">
        <v>567</v>
      </c>
      <c r="CI272" t="s">
        <v>575</v>
      </c>
      <c r="CJ272" t="s">
        <v>2049</v>
      </c>
      <c r="CK272" t="s">
        <v>567</v>
      </c>
      <c r="CL272" t="s">
        <v>5526</v>
      </c>
      <c r="CM272" t="s">
        <v>2049</v>
      </c>
      <c r="CN272">
        <v>0</v>
      </c>
      <c r="CO272">
        <v>0</v>
      </c>
      <c r="CP272" t="s">
        <v>398</v>
      </c>
      <c r="CQ272" t="s">
        <v>438</v>
      </c>
      <c r="CR272" t="s">
        <v>400</v>
      </c>
      <c r="CS272">
        <v>0</v>
      </c>
      <c r="CT272" t="s">
        <v>400</v>
      </c>
      <c r="CU272" t="s">
        <v>2029</v>
      </c>
      <c r="CV272">
        <v>0</v>
      </c>
      <c r="CX272" t="s">
        <v>667</v>
      </c>
      <c r="CY272" t="s">
        <v>400</v>
      </c>
      <c r="CZ272">
        <v>0</v>
      </c>
      <c r="DA272">
        <v>0</v>
      </c>
      <c r="DB272">
        <v>0</v>
      </c>
      <c r="DC272">
        <v>0</v>
      </c>
      <c r="DD272">
        <v>0</v>
      </c>
      <c r="DE272" t="s">
        <v>405</v>
      </c>
      <c r="DF272" t="s">
        <v>632</v>
      </c>
      <c r="DH272">
        <v>1</v>
      </c>
      <c r="DI272">
        <v>3</v>
      </c>
      <c r="DJ272" t="s">
        <v>408</v>
      </c>
      <c r="DK272" t="s">
        <v>5527</v>
      </c>
      <c r="DL272">
        <v>0</v>
      </c>
      <c r="DM272" t="s">
        <v>410</v>
      </c>
      <c r="DX272" t="s">
        <v>573</v>
      </c>
      <c r="DY272" t="s">
        <v>2382</v>
      </c>
      <c r="DZ272" t="s">
        <v>5528</v>
      </c>
      <c r="EP272" t="s">
        <v>2049</v>
      </c>
      <c r="EQ272" t="s">
        <v>2049</v>
      </c>
      <c r="JU272" t="s">
        <v>540</v>
      </c>
      <c r="JV272" t="s">
        <v>1739</v>
      </c>
      <c r="JW272" t="s">
        <v>534</v>
      </c>
    </row>
    <row r="273" spans="1:287" x14ac:dyDescent="0.25">
      <c r="A273" t="s">
        <v>5529</v>
      </c>
      <c r="B273" t="str">
        <f>"801542065959"</f>
        <v>801542065959</v>
      </c>
      <c r="C273" t="s">
        <v>5530</v>
      </c>
      <c r="D273" t="s">
        <v>5513</v>
      </c>
      <c r="E273" t="s">
        <v>2244</v>
      </c>
      <c r="G273" t="str">
        <f>"71.5"</f>
        <v>71.5</v>
      </c>
      <c r="H273" t="str">
        <f>"29"</f>
        <v>29</v>
      </c>
      <c r="I273" t="str">
        <f>"25.25"</f>
        <v>25.25</v>
      </c>
      <c r="J273" t="str">
        <f>"54.87"</f>
        <v>54.87</v>
      </c>
      <c r="K273" t="s">
        <v>863</v>
      </c>
      <c r="L273" t="s">
        <v>5531</v>
      </c>
      <c r="N273" t="s">
        <v>416</v>
      </c>
      <c r="O273" t="s">
        <v>417</v>
      </c>
      <c r="T273" t="s">
        <v>373</v>
      </c>
      <c r="U273" t="s">
        <v>373</v>
      </c>
      <c r="V273" t="s">
        <v>5532</v>
      </c>
      <c r="W273" t="s">
        <v>5533</v>
      </c>
      <c r="X273" t="s">
        <v>5534</v>
      </c>
      <c r="Y273" t="s">
        <v>5535</v>
      </c>
      <c r="Z273" t="s">
        <v>5536</v>
      </c>
      <c r="AA273" t="s">
        <v>5537</v>
      </c>
      <c r="AB273" t="s">
        <v>5538</v>
      </c>
      <c r="AC273" t="s">
        <v>5539</v>
      </c>
      <c r="AD273" t="s">
        <v>5540</v>
      </c>
      <c r="AE273" t="s">
        <v>5541</v>
      </c>
      <c r="AF273" t="s">
        <v>5542</v>
      </c>
      <c r="AG273" t="s">
        <v>5543</v>
      </c>
      <c r="BA273" t="str">
        <f>"1599"</f>
        <v>1599</v>
      </c>
      <c r="BB273" t="str">
        <f>"675"</f>
        <v>675</v>
      </c>
      <c r="BC273" t="s">
        <v>388</v>
      </c>
      <c r="BD273" t="str">
        <f>"1"</f>
        <v>1</v>
      </c>
      <c r="BE273" t="s">
        <v>389</v>
      </c>
      <c r="BF273" t="str">
        <f>"72.83"</f>
        <v>72.83</v>
      </c>
      <c r="BG273" t="str">
        <f>"34.65"</f>
        <v>34.65</v>
      </c>
      <c r="BH273" t="str">
        <f>"21.06"</f>
        <v>21.06</v>
      </c>
      <c r="BI273" t="str">
        <f>"80.58"</f>
        <v>80.58</v>
      </c>
      <c r="BY273" t="str">
        <f>"30.76"</f>
        <v>30.76</v>
      </c>
      <c r="BZ273" t="str">
        <f>"0.871"</f>
        <v>0.871</v>
      </c>
      <c r="CA273" t="s">
        <v>495</v>
      </c>
      <c r="CK273" t="s">
        <v>544</v>
      </c>
      <c r="CL273" t="s">
        <v>5544</v>
      </c>
      <c r="CM273" t="s">
        <v>5545</v>
      </c>
      <c r="CN273">
        <v>0</v>
      </c>
      <c r="CO273">
        <v>0</v>
      </c>
      <c r="CP273" t="s">
        <v>398</v>
      </c>
      <c r="CQ273" t="s">
        <v>438</v>
      </c>
      <c r="CX273" t="s">
        <v>403</v>
      </c>
      <c r="CY273" t="s">
        <v>400</v>
      </c>
      <c r="CZ273">
        <v>1</v>
      </c>
      <c r="DD273">
        <v>0</v>
      </c>
      <c r="DE273" t="s">
        <v>439</v>
      </c>
      <c r="DF273" t="s">
        <v>632</v>
      </c>
      <c r="DG273" t="s">
        <v>2380</v>
      </c>
      <c r="DH273">
        <v>1</v>
      </c>
      <c r="DI273">
        <v>3</v>
      </c>
      <c r="DK273" t="s">
        <v>5546</v>
      </c>
      <c r="DL273">
        <v>0</v>
      </c>
      <c r="DM273" t="s">
        <v>410</v>
      </c>
      <c r="DX273" t="s">
        <v>3252</v>
      </c>
      <c r="DY273" t="s">
        <v>5547</v>
      </c>
      <c r="DZ273" t="s">
        <v>5548</v>
      </c>
      <c r="EG273" t="s">
        <v>749</v>
      </c>
      <c r="EP273" t="s">
        <v>5545</v>
      </c>
      <c r="EQ273" t="s">
        <v>5545</v>
      </c>
      <c r="ET273" t="s">
        <v>549</v>
      </c>
      <c r="IH273" t="s">
        <v>2599</v>
      </c>
      <c r="II273" t="s">
        <v>2599</v>
      </c>
      <c r="IJ273" t="s">
        <v>638</v>
      </c>
      <c r="IK273" t="s">
        <v>5549</v>
      </c>
      <c r="IL273" t="s">
        <v>402</v>
      </c>
    </row>
    <row r="274" spans="1:287" x14ac:dyDescent="0.25">
      <c r="A274" t="s">
        <v>5550</v>
      </c>
      <c r="B274" t="str">
        <f>"801542248970"</f>
        <v>801542248970</v>
      </c>
      <c r="C274" t="s">
        <v>5551</v>
      </c>
      <c r="D274" t="s">
        <v>769</v>
      </c>
      <c r="E274" t="s">
        <v>515</v>
      </c>
      <c r="F274" t="s">
        <v>516</v>
      </c>
      <c r="G274" t="str">
        <f>"29"</f>
        <v>29</v>
      </c>
      <c r="H274" t="str">
        <f>"37"</f>
        <v>37</v>
      </c>
      <c r="I274" t="str">
        <f>"36.5"</f>
        <v>36.5</v>
      </c>
      <c r="J274" t="str">
        <f>"55.1"</f>
        <v>55.1</v>
      </c>
      <c r="K274" t="s">
        <v>5552</v>
      </c>
      <c r="L274" t="s">
        <v>5553</v>
      </c>
      <c r="N274" t="s">
        <v>839</v>
      </c>
      <c r="O274" t="s">
        <v>840</v>
      </c>
      <c r="P274" t="s">
        <v>775</v>
      </c>
      <c r="T274" t="s">
        <v>373</v>
      </c>
      <c r="U274" t="s">
        <v>402</v>
      </c>
      <c r="W274" t="s">
        <v>5554</v>
      </c>
      <c r="X274" t="s">
        <v>5555</v>
      </c>
      <c r="Y274" t="s">
        <v>5556</v>
      </c>
      <c r="Z274" t="s">
        <v>5557</v>
      </c>
      <c r="AA274" t="s">
        <v>5558</v>
      </c>
      <c r="AB274" t="s">
        <v>5559</v>
      </c>
      <c r="AC274" t="s">
        <v>5560</v>
      </c>
      <c r="AD274" t="s">
        <v>5561</v>
      </c>
      <c r="AE274" t="s">
        <v>5562</v>
      </c>
      <c r="AF274" t="s">
        <v>5563</v>
      </c>
      <c r="AG274" t="s">
        <v>5564</v>
      </c>
      <c r="AH274" t="s">
        <v>5565</v>
      </c>
      <c r="AI274" t="s">
        <v>5566</v>
      </c>
      <c r="AJ274" t="s">
        <v>5567</v>
      </c>
      <c r="AK274" t="s">
        <v>5568</v>
      </c>
      <c r="AL274" t="s">
        <v>5569</v>
      </c>
      <c r="AM274" t="s">
        <v>5570</v>
      </c>
      <c r="AN274" t="s">
        <v>5571</v>
      </c>
      <c r="AO274" t="s">
        <v>5572</v>
      </c>
      <c r="AP274" t="s">
        <v>5573</v>
      </c>
      <c r="AQ274" t="s">
        <v>5574</v>
      </c>
      <c r="BA274" t="str">
        <f>"1249"</f>
        <v>1249</v>
      </c>
      <c r="BB274" t="str">
        <f>"525"</f>
        <v>525</v>
      </c>
      <c r="BC274" t="s">
        <v>388</v>
      </c>
      <c r="BD274" t="str">
        <f>"1"</f>
        <v>1</v>
      </c>
      <c r="BE274" t="s">
        <v>5575</v>
      </c>
      <c r="BF274" t="str">
        <f>"40.5"</f>
        <v>40.5</v>
      </c>
      <c r="BG274" t="str">
        <f>"31.13"</f>
        <v>31.13</v>
      </c>
      <c r="BH274" t="str">
        <f>"38.25"</f>
        <v>38.25</v>
      </c>
      <c r="BI274" t="str">
        <f>"73.9"</f>
        <v>73.9</v>
      </c>
      <c r="BY274" t="str">
        <f>"23.98"</f>
        <v>23.98</v>
      </c>
      <c r="BZ274" t="str">
        <f>"0.679"</f>
        <v>0.679</v>
      </c>
      <c r="CA274" t="s">
        <v>495</v>
      </c>
      <c r="CK274" t="s">
        <v>601</v>
      </c>
      <c r="CL274" t="s">
        <v>981</v>
      </c>
      <c r="CN274">
        <v>0</v>
      </c>
      <c r="CO274">
        <v>1</v>
      </c>
      <c r="CP274" t="s">
        <v>437</v>
      </c>
      <c r="CQ274" t="s">
        <v>631</v>
      </c>
      <c r="CX274" t="s">
        <v>403</v>
      </c>
      <c r="CY274" t="s">
        <v>2358</v>
      </c>
      <c r="CZ274">
        <v>0</v>
      </c>
      <c r="DD274">
        <v>25000</v>
      </c>
      <c r="DE274" t="s">
        <v>439</v>
      </c>
      <c r="DF274" t="s">
        <v>632</v>
      </c>
      <c r="DG274" t="s">
        <v>1808</v>
      </c>
      <c r="DH274">
        <v>1</v>
      </c>
      <c r="DI274">
        <v>1</v>
      </c>
      <c r="DK274" t="s">
        <v>1638</v>
      </c>
      <c r="DL274">
        <v>0</v>
      </c>
      <c r="DM274" t="s">
        <v>538</v>
      </c>
      <c r="DN274" t="s">
        <v>638</v>
      </c>
      <c r="DO274" t="s">
        <v>610</v>
      </c>
      <c r="DP274" t="s">
        <v>638</v>
      </c>
      <c r="DT274" t="s">
        <v>475</v>
      </c>
      <c r="DX274" t="s">
        <v>2360</v>
      </c>
      <c r="DY274" t="s">
        <v>2792</v>
      </c>
      <c r="DZ274" t="s">
        <v>600</v>
      </c>
      <c r="EA274" t="s">
        <v>791</v>
      </c>
      <c r="ED274" t="s">
        <v>632</v>
      </c>
      <c r="EE274" t="s">
        <v>1808</v>
      </c>
      <c r="EG274" t="s">
        <v>749</v>
      </c>
      <c r="EP274" t="s">
        <v>1510</v>
      </c>
      <c r="EQ274" t="s">
        <v>600</v>
      </c>
      <c r="ER274">
        <v>0</v>
      </c>
      <c r="ES274">
        <v>0</v>
      </c>
      <c r="EU274" t="s">
        <v>474</v>
      </c>
      <c r="IR274" t="s">
        <v>5576</v>
      </c>
      <c r="IS274" t="s">
        <v>822</v>
      </c>
    </row>
    <row r="275" spans="1:287" x14ac:dyDescent="0.25">
      <c r="A275" t="s">
        <v>5577</v>
      </c>
      <c r="B275" t="str">
        <f>"801542561000"</f>
        <v>801542561000</v>
      </c>
      <c r="C275" t="s">
        <v>5578</v>
      </c>
      <c r="D275" t="s">
        <v>1420</v>
      </c>
      <c r="E275" t="s">
        <v>3813</v>
      </c>
      <c r="G275" t="str">
        <f>"35"</f>
        <v>35</v>
      </c>
      <c r="H275" t="str">
        <f>"39.25"</f>
        <v>39.25</v>
      </c>
      <c r="I275" t="str">
        <f>"101.25"</f>
        <v>101.25</v>
      </c>
      <c r="J275" t="str">
        <f>"169.75"</f>
        <v>169.75</v>
      </c>
      <c r="K275" t="s">
        <v>5579</v>
      </c>
      <c r="L275" t="s">
        <v>5580</v>
      </c>
      <c r="N275" t="s">
        <v>461</v>
      </c>
      <c r="O275" t="s">
        <v>555</v>
      </c>
      <c r="T275" t="s">
        <v>373</v>
      </c>
      <c r="U275" t="s">
        <v>373</v>
      </c>
      <c r="V275" t="s">
        <v>5581</v>
      </c>
      <c r="W275" t="s">
        <v>5582</v>
      </c>
      <c r="X275" t="s">
        <v>5583</v>
      </c>
      <c r="Y275" t="s">
        <v>5584</v>
      </c>
      <c r="Z275" t="s">
        <v>5585</v>
      </c>
      <c r="AA275" t="s">
        <v>5586</v>
      </c>
      <c r="AB275" t="s">
        <v>5587</v>
      </c>
      <c r="AC275" t="s">
        <v>5588</v>
      </c>
      <c r="AD275" t="s">
        <v>5589</v>
      </c>
      <c r="AE275" t="s">
        <v>5590</v>
      </c>
      <c r="AF275" t="s">
        <v>5591</v>
      </c>
      <c r="AG275" t="s">
        <v>5592</v>
      </c>
      <c r="AH275" t="s">
        <v>5593</v>
      </c>
      <c r="AI275" t="s">
        <v>5594</v>
      </c>
      <c r="AJ275" t="s">
        <v>5595</v>
      </c>
      <c r="AK275" t="s">
        <v>5596</v>
      </c>
      <c r="AL275" t="s">
        <v>5597</v>
      </c>
      <c r="BA275" t="str">
        <f>"2399"</f>
        <v>2399</v>
      </c>
      <c r="BB275" t="str">
        <f>"1010"</f>
        <v>1010</v>
      </c>
      <c r="BC275" t="s">
        <v>665</v>
      </c>
      <c r="BD275" t="str">
        <f>"2"</f>
        <v>2</v>
      </c>
      <c r="BE275" t="s">
        <v>389</v>
      </c>
      <c r="BF275" t="str">
        <f>"40.35"</f>
        <v>40.35</v>
      </c>
      <c r="BG275" t="str">
        <f>"22.44"</f>
        <v>22.44</v>
      </c>
      <c r="BH275" t="str">
        <f>"110.24"</f>
        <v>110.24</v>
      </c>
      <c r="BI275" t="str">
        <f>"189.6"</f>
        <v>189.6</v>
      </c>
      <c r="BJ275" t="s">
        <v>389</v>
      </c>
      <c r="BK275" t="str">
        <f>"100.98"</f>
        <v>100.98</v>
      </c>
      <c r="BL275" t="str">
        <f>"21.85"</f>
        <v>21.85</v>
      </c>
      <c r="BM275" t="str">
        <f>"4.92"</f>
        <v>4.92</v>
      </c>
      <c r="BN275" t="str">
        <f>"28.66"</f>
        <v>28.66</v>
      </c>
      <c r="BY275" t="str">
        <f>"64.06"</f>
        <v>64.06</v>
      </c>
      <c r="BZ275" t="str">
        <f>"1.814"</f>
        <v>1.814</v>
      </c>
      <c r="CA275" t="s">
        <v>390</v>
      </c>
      <c r="CR275" t="s">
        <v>400</v>
      </c>
      <c r="CS275">
        <v>0</v>
      </c>
      <c r="CT275" t="s">
        <v>400</v>
      </c>
      <c r="CV275">
        <v>4</v>
      </c>
      <c r="CW275" t="s">
        <v>402</v>
      </c>
      <c r="CX275" t="s">
        <v>953</v>
      </c>
      <c r="CY275" t="s">
        <v>954</v>
      </c>
      <c r="DA275">
        <v>18.14</v>
      </c>
      <c r="DB275">
        <v>40</v>
      </c>
      <c r="DC275">
        <v>0</v>
      </c>
      <c r="DJ275" t="s">
        <v>982</v>
      </c>
      <c r="DK275" t="s">
        <v>5598</v>
      </c>
      <c r="EM275" t="s">
        <v>402</v>
      </c>
      <c r="EN275">
        <v>6</v>
      </c>
      <c r="FH275" t="s">
        <v>959</v>
      </c>
      <c r="FI275">
        <v>2</v>
      </c>
      <c r="FJ275" t="s">
        <v>960</v>
      </c>
      <c r="FK275" t="s">
        <v>1246</v>
      </c>
      <c r="FO275" t="s">
        <v>984</v>
      </c>
      <c r="JX275" t="s">
        <v>402</v>
      </c>
    </row>
    <row r="276" spans="1:287" x14ac:dyDescent="0.25">
      <c r="A276" t="s">
        <v>5599</v>
      </c>
      <c r="B276" t="str">
        <f>"801542622688"</f>
        <v>801542622688</v>
      </c>
      <c r="C276" t="s">
        <v>5600</v>
      </c>
      <c r="D276" t="s">
        <v>1224</v>
      </c>
      <c r="E276" t="s">
        <v>1077</v>
      </c>
      <c r="G276" t="str">
        <f>"49.5"</f>
        <v>49.5</v>
      </c>
      <c r="H276" t="str">
        <f>"24"</f>
        <v>24</v>
      </c>
      <c r="I276" t="str">
        <f>"15.75"</f>
        <v>15.75</v>
      </c>
      <c r="J276" t="str">
        <f>"77.16"</f>
        <v>77.16</v>
      </c>
      <c r="K276" t="s">
        <v>5601</v>
      </c>
      <c r="L276" t="s">
        <v>837</v>
      </c>
      <c r="N276" t="s">
        <v>5602</v>
      </c>
      <c r="O276" t="s">
        <v>555</v>
      </c>
      <c r="P276" t="s">
        <v>1227</v>
      </c>
      <c r="T276" t="s">
        <v>373</v>
      </c>
      <c r="U276" t="s">
        <v>373</v>
      </c>
      <c r="V276" t="s">
        <v>5603</v>
      </c>
      <c r="W276" t="s">
        <v>5604</v>
      </c>
      <c r="X276" t="s">
        <v>5605</v>
      </c>
      <c r="Y276" t="s">
        <v>5606</v>
      </c>
      <c r="Z276" t="s">
        <v>5607</v>
      </c>
      <c r="AA276" t="s">
        <v>5608</v>
      </c>
      <c r="AB276" t="s">
        <v>5609</v>
      </c>
      <c r="AC276" t="s">
        <v>5610</v>
      </c>
      <c r="AD276" t="s">
        <v>5611</v>
      </c>
      <c r="AE276" t="s">
        <v>5612</v>
      </c>
      <c r="AF276" t="s">
        <v>5613</v>
      </c>
      <c r="AG276" t="s">
        <v>5614</v>
      </c>
      <c r="AH276" t="s">
        <v>5615</v>
      </c>
      <c r="AI276" t="s">
        <v>5616</v>
      </c>
      <c r="AJ276" t="s">
        <v>5617</v>
      </c>
      <c r="AK276" t="s">
        <v>5618</v>
      </c>
      <c r="AL276" t="s">
        <v>5619</v>
      </c>
      <c r="AM276" t="s">
        <v>5620</v>
      </c>
      <c r="AN276" t="s">
        <v>5621</v>
      </c>
      <c r="AO276" t="s">
        <v>5622</v>
      </c>
      <c r="AP276" t="s">
        <v>5623</v>
      </c>
      <c r="BA276" t="str">
        <f>"3299"</f>
        <v>3299</v>
      </c>
      <c r="BB276" t="str">
        <f>"1390"</f>
        <v>1390</v>
      </c>
      <c r="BC276" t="s">
        <v>1149</v>
      </c>
      <c r="BD276" t="str">
        <f>"2"</f>
        <v>2</v>
      </c>
      <c r="BE276" t="s">
        <v>5624</v>
      </c>
      <c r="BF276" t="str">
        <f>"54.92"</f>
        <v>54.92</v>
      </c>
      <c r="BG276" t="str">
        <f>"29.13"</f>
        <v>29.13</v>
      </c>
      <c r="BH276" t="str">
        <f>"23.39"</f>
        <v>23.39</v>
      </c>
      <c r="BI276" t="str">
        <f>"84.22"</f>
        <v>84.22</v>
      </c>
      <c r="BJ276" t="s">
        <v>5625</v>
      </c>
      <c r="BK276" t="str">
        <f>"54.92"</f>
        <v>54.92</v>
      </c>
      <c r="BL276" t="str">
        <f>"29.13"</f>
        <v>29.13</v>
      </c>
      <c r="BM276" t="str">
        <f>"23.39"</f>
        <v>23.39</v>
      </c>
      <c r="BN276" t="str">
        <f>"59.97"</f>
        <v>59.97</v>
      </c>
      <c r="BY276" t="str">
        <f>"43.3"</f>
        <v>43.3</v>
      </c>
      <c r="BZ276" t="str">
        <f>"1.226"</f>
        <v>1.226</v>
      </c>
      <c r="CA276" t="s">
        <v>495</v>
      </c>
      <c r="CR276" t="s">
        <v>400</v>
      </c>
      <c r="CS276">
        <v>0</v>
      </c>
      <c r="CT276" t="s">
        <v>400</v>
      </c>
      <c r="CV276">
        <v>0</v>
      </c>
      <c r="CX276" t="s">
        <v>1241</v>
      </c>
      <c r="CY276" t="s">
        <v>400</v>
      </c>
      <c r="DC276">
        <v>0</v>
      </c>
      <c r="DJ276" t="s">
        <v>4001</v>
      </c>
      <c r="DK276" t="s">
        <v>5626</v>
      </c>
      <c r="DM276" t="s">
        <v>473</v>
      </c>
      <c r="EN276">
        <v>0</v>
      </c>
      <c r="EO276">
        <v>0</v>
      </c>
    </row>
    <row r="277" spans="1:287" x14ac:dyDescent="0.25">
      <c r="A277" t="s">
        <v>5627</v>
      </c>
      <c r="B277" t="str">
        <f>"801542725471"</f>
        <v>801542725471</v>
      </c>
      <c r="C277" t="s">
        <v>5628</v>
      </c>
      <c r="D277" t="s">
        <v>1224</v>
      </c>
      <c r="E277" t="s">
        <v>1077</v>
      </c>
      <c r="G277" t="str">
        <f>"49.5"</f>
        <v>49.5</v>
      </c>
      <c r="H277" t="str">
        <f>"24"</f>
        <v>24</v>
      </c>
      <c r="I277" t="str">
        <f>"15.75"</f>
        <v>15.75</v>
      </c>
      <c r="J277" t="str">
        <f>"77.16"</f>
        <v>77.16</v>
      </c>
      <c r="K277" t="s">
        <v>5629</v>
      </c>
      <c r="L277" t="s">
        <v>837</v>
      </c>
      <c r="N277" t="s">
        <v>5602</v>
      </c>
      <c r="O277" t="s">
        <v>555</v>
      </c>
      <c r="P277" t="s">
        <v>1227</v>
      </c>
      <c r="T277" t="s">
        <v>373</v>
      </c>
      <c r="U277" t="s">
        <v>373</v>
      </c>
      <c r="V277" t="s">
        <v>5630</v>
      </c>
      <c r="W277" t="s">
        <v>5631</v>
      </c>
      <c r="X277" t="s">
        <v>5632</v>
      </c>
      <c r="Y277" t="s">
        <v>5633</v>
      </c>
      <c r="Z277" t="s">
        <v>5634</v>
      </c>
      <c r="AA277" t="s">
        <v>5635</v>
      </c>
      <c r="AB277" t="s">
        <v>5636</v>
      </c>
      <c r="AC277" t="s">
        <v>5637</v>
      </c>
      <c r="AD277" t="s">
        <v>5638</v>
      </c>
      <c r="AE277" t="s">
        <v>5639</v>
      </c>
      <c r="AF277" t="s">
        <v>5640</v>
      </c>
      <c r="AG277" t="s">
        <v>5641</v>
      </c>
      <c r="AH277" t="s">
        <v>5642</v>
      </c>
      <c r="BA277" t="str">
        <f>"3299"</f>
        <v>3299</v>
      </c>
      <c r="BB277" t="str">
        <f>"1390"</f>
        <v>1390</v>
      </c>
      <c r="BC277" t="s">
        <v>1149</v>
      </c>
      <c r="BD277" t="str">
        <f>"2"</f>
        <v>2</v>
      </c>
      <c r="BE277" t="s">
        <v>5624</v>
      </c>
      <c r="BF277" t="str">
        <f>"54.92"</f>
        <v>54.92</v>
      </c>
      <c r="BG277" t="str">
        <f>"29.13"</f>
        <v>29.13</v>
      </c>
      <c r="BH277" t="str">
        <f>"23.39"</f>
        <v>23.39</v>
      </c>
      <c r="BI277" t="str">
        <f>"84.22"</f>
        <v>84.22</v>
      </c>
      <c r="BJ277" t="s">
        <v>5625</v>
      </c>
      <c r="BK277" t="str">
        <f>"54.92"</f>
        <v>54.92</v>
      </c>
      <c r="BL277" t="str">
        <f>"29.13"</f>
        <v>29.13</v>
      </c>
      <c r="BM277" t="str">
        <f>"23.39"</f>
        <v>23.39</v>
      </c>
      <c r="BN277" t="str">
        <f>"59.97"</f>
        <v>59.97</v>
      </c>
      <c r="BY277" t="str">
        <f>"43.3"</f>
        <v>43.3</v>
      </c>
      <c r="BZ277" t="str">
        <f>"1.226"</f>
        <v>1.226</v>
      </c>
      <c r="CA277" t="s">
        <v>495</v>
      </c>
      <c r="CR277" t="s">
        <v>400</v>
      </c>
      <c r="CS277">
        <v>0</v>
      </c>
      <c r="CT277" t="s">
        <v>400</v>
      </c>
      <c r="CV277">
        <v>0</v>
      </c>
      <c r="CX277" t="s">
        <v>1241</v>
      </c>
      <c r="CY277" t="s">
        <v>400</v>
      </c>
      <c r="DC277">
        <v>0</v>
      </c>
      <c r="DJ277" t="s">
        <v>4001</v>
      </c>
      <c r="DK277" t="s">
        <v>5626</v>
      </c>
      <c r="DM277" t="s">
        <v>473</v>
      </c>
      <c r="EN277">
        <v>0</v>
      </c>
      <c r="EO277">
        <v>0</v>
      </c>
    </row>
    <row r="278" spans="1:287" x14ac:dyDescent="0.25">
      <c r="A278" t="s">
        <v>5643</v>
      </c>
      <c r="B278" t="str">
        <f>"801542571276"</f>
        <v>801542571276</v>
      </c>
      <c r="C278" t="s">
        <v>5644</v>
      </c>
      <c r="D278" t="s">
        <v>1224</v>
      </c>
      <c r="E278" t="s">
        <v>1077</v>
      </c>
      <c r="G278" t="str">
        <f>"28"</f>
        <v>28</v>
      </c>
      <c r="H278" t="str">
        <f>"28"</f>
        <v>28</v>
      </c>
      <c r="I278" t="str">
        <f>"15.75"</f>
        <v>15.75</v>
      </c>
      <c r="J278" t="str">
        <f>"23.04"</f>
        <v>23.04</v>
      </c>
      <c r="K278" t="s">
        <v>5645</v>
      </c>
      <c r="L278" t="s">
        <v>5646</v>
      </c>
      <c r="N278" t="s">
        <v>5647</v>
      </c>
      <c r="O278" t="s">
        <v>5648</v>
      </c>
      <c r="T278" t="s">
        <v>373</v>
      </c>
      <c r="U278" t="s">
        <v>373</v>
      </c>
      <c r="V278" t="s">
        <v>5649</v>
      </c>
      <c r="W278" t="s">
        <v>5650</v>
      </c>
      <c r="X278" t="s">
        <v>5651</v>
      </c>
      <c r="Y278" t="s">
        <v>5652</v>
      </c>
      <c r="Z278" t="s">
        <v>5653</v>
      </c>
      <c r="AA278" t="s">
        <v>5654</v>
      </c>
      <c r="AB278" t="s">
        <v>5655</v>
      </c>
      <c r="AC278" t="s">
        <v>5656</v>
      </c>
      <c r="AD278" t="s">
        <v>5657</v>
      </c>
      <c r="AE278" t="s">
        <v>5658</v>
      </c>
      <c r="AF278" t="s">
        <v>5659</v>
      </c>
      <c r="AG278" t="s">
        <v>5660</v>
      </c>
      <c r="AH278" t="s">
        <v>5661</v>
      </c>
      <c r="AI278" t="s">
        <v>5662</v>
      </c>
      <c r="BA278" t="str">
        <f>"1499"</f>
        <v>1499</v>
      </c>
      <c r="BB278" t="str">
        <f>"630"</f>
        <v>630</v>
      </c>
      <c r="BC278" t="s">
        <v>1149</v>
      </c>
      <c r="BD278" t="str">
        <f t="shared" ref="BD278:BD283" si="79">"1"</f>
        <v>1</v>
      </c>
      <c r="BE278" t="s">
        <v>389</v>
      </c>
      <c r="BF278" t="str">
        <f>"36.61"</f>
        <v>36.61</v>
      </c>
      <c r="BG278" t="str">
        <f>"36.22"</f>
        <v>36.22</v>
      </c>
      <c r="BH278" t="str">
        <f>"22.44"</f>
        <v>22.44</v>
      </c>
      <c r="BI278" t="str">
        <f>"47.51"</f>
        <v>47.51</v>
      </c>
      <c r="BY278" t="str">
        <f>"17.23"</f>
        <v>17.23</v>
      </c>
      <c r="BZ278" t="str">
        <f>"0.488"</f>
        <v>0.488</v>
      </c>
      <c r="CA278" t="s">
        <v>495</v>
      </c>
      <c r="CR278" t="s">
        <v>400</v>
      </c>
      <c r="CS278">
        <v>0</v>
      </c>
      <c r="CT278" t="s">
        <v>400</v>
      </c>
      <c r="CV278">
        <v>0</v>
      </c>
      <c r="CX278" t="s">
        <v>953</v>
      </c>
      <c r="CY278" t="s">
        <v>400</v>
      </c>
      <c r="DC278">
        <v>0</v>
      </c>
      <c r="DJ278" t="s">
        <v>471</v>
      </c>
      <c r="DK278" t="s">
        <v>5663</v>
      </c>
      <c r="DM278" t="s">
        <v>473</v>
      </c>
      <c r="DY278" t="s">
        <v>609</v>
      </c>
      <c r="DZ278" t="s">
        <v>609</v>
      </c>
      <c r="EI278" t="s">
        <v>609</v>
      </c>
      <c r="EJ278" t="s">
        <v>4034</v>
      </c>
      <c r="EK278" t="s">
        <v>609</v>
      </c>
      <c r="EL278" t="s">
        <v>4034</v>
      </c>
      <c r="EM278" t="s">
        <v>402</v>
      </c>
      <c r="EN278">
        <v>0</v>
      </c>
      <c r="EO278">
        <v>0</v>
      </c>
    </row>
    <row r="279" spans="1:287" x14ac:dyDescent="0.25">
      <c r="A279" t="s">
        <v>5664</v>
      </c>
      <c r="B279" t="str">
        <f>"801542572969"</f>
        <v>801542572969</v>
      </c>
      <c r="C279" t="s">
        <v>5665</v>
      </c>
      <c r="D279" t="s">
        <v>1224</v>
      </c>
      <c r="E279" t="s">
        <v>1077</v>
      </c>
      <c r="G279" t="str">
        <f>"41.5"</f>
        <v>41.5</v>
      </c>
      <c r="H279" t="str">
        <f>"41.5"</f>
        <v>41.5</v>
      </c>
      <c r="I279" t="str">
        <f>"17.75"</f>
        <v>17.75</v>
      </c>
      <c r="J279" t="str">
        <f>"102.51"</f>
        <v>102.51</v>
      </c>
      <c r="K279" t="s">
        <v>5666</v>
      </c>
      <c r="L279" t="s">
        <v>5667</v>
      </c>
      <c r="N279" t="s">
        <v>1463</v>
      </c>
      <c r="O279" t="s">
        <v>555</v>
      </c>
      <c r="T279" t="s">
        <v>402</v>
      </c>
      <c r="U279" t="s">
        <v>373</v>
      </c>
      <c r="V279" t="s">
        <v>5668</v>
      </c>
      <c r="W279" t="s">
        <v>5669</v>
      </c>
      <c r="X279" t="s">
        <v>5670</v>
      </c>
      <c r="Y279" t="s">
        <v>5671</v>
      </c>
      <c r="Z279" t="s">
        <v>5672</v>
      </c>
      <c r="AA279" t="s">
        <v>5673</v>
      </c>
      <c r="AB279" t="s">
        <v>5674</v>
      </c>
      <c r="AC279" t="s">
        <v>5675</v>
      </c>
      <c r="AD279" t="s">
        <v>5676</v>
      </c>
      <c r="AE279" t="s">
        <v>5677</v>
      </c>
      <c r="AF279" t="s">
        <v>5678</v>
      </c>
      <c r="AG279" t="s">
        <v>5679</v>
      </c>
      <c r="AH279" t="s">
        <v>5680</v>
      </c>
      <c r="AI279" t="s">
        <v>5681</v>
      </c>
      <c r="BA279" t="str">
        <f>"2199"</f>
        <v>2199</v>
      </c>
      <c r="BB279" t="str">
        <f>"925"</f>
        <v>925</v>
      </c>
      <c r="BC279" t="s">
        <v>1149</v>
      </c>
      <c r="BD279" t="str">
        <f t="shared" si="79"/>
        <v>1</v>
      </c>
      <c r="BE279" t="s">
        <v>389</v>
      </c>
      <c r="BF279" t="str">
        <f>"46.85"</f>
        <v>46.85</v>
      </c>
      <c r="BG279" t="str">
        <f>"47.24"</f>
        <v>47.24</v>
      </c>
      <c r="BH279" t="str">
        <f>"24.41"</f>
        <v>24.41</v>
      </c>
      <c r="BI279" t="str">
        <f>"147.05"</f>
        <v>147.05</v>
      </c>
      <c r="BY279" t="str">
        <f>"31.25"</f>
        <v>31.25</v>
      </c>
      <c r="BZ279" t="str">
        <f>"0.885"</f>
        <v>0.885</v>
      </c>
      <c r="CA279" t="s">
        <v>1765</v>
      </c>
      <c r="CR279" t="s">
        <v>400</v>
      </c>
      <c r="CS279">
        <v>0</v>
      </c>
      <c r="CT279" t="s">
        <v>400</v>
      </c>
      <c r="CV279">
        <v>0</v>
      </c>
      <c r="CX279" t="s">
        <v>953</v>
      </c>
      <c r="CY279" t="s">
        <v>400</v>
      </c>
      <c r="DC279">
        <v>0</v>
      </c>
      <c r="DJ279" t="s">
        <v>471</v>
      </c>
      <c r="DK279" t="s">
        <v>5682</v>
      </c>
      <c r="DM279" t="s">
        <v>473</v>
      </c>
      <c r="DX279" t="s">
        <v>5683</v>
      </c>
      <c r="DY279" t="s">
        <v>5684</v>
      </c>
      <c r="DZ279" t="s">
        <v>5684</v>
      </c>
      <c r="EI279" t="s">
        <v>5684</v>
      </c>
      <c r="EJ279" t="s">
        <v>3020</v>
      </c>
      <c r="EK279" t="s">
        <v>5685</v>
      </c>
      <c r="EL279" t="s">
        <v>5686</v>
      </c>
      <c r="EM279" t="s">
        <v>402</v>
      </c>
      <c r="EN279">
        <v>0</v>
      </c>
      <c r="EO279">
        <v>0</v>
      </c>
    </row>
    <row r="280" spans="1:287" x14ac:dyDescent="0.25">
      <c r="A280" t="s">
        <v>5687</v>
      </c>
      <c r="B280" t="str">
        <f>"801542688011"</f>
        <v>801542688011</v>
      </c>
      <c r="C280" t="s">
        <v>5665</v>
      </c>
      <c r="D280" t="s">
        <v>1224</v>
      </c>
      <c r="E280" t="s">
        <v>1077</v>
      </c>
      <c r="G280" t="str">
        <f>"41.5"</f>
        <v>41.5</v>
      </c>
      <c r="H280" t="str">
        <f>"41.5"</f>
        <v>41.5</v>
      </c>
      <c r="I280" t="str">
        <f>"17.75"</f>
        <v>17.75</v>
      </c>
      <c r="J280" t="str">
        <f>"102.51"</f>
        <v>102.51</v>
      </c>
      <c r="K280" t="s">
        <v>5666</v>
      </c>
      <c r="N280" t="s">
        <v>1463</v>
      </c>
      <c r="T280" t="s">
        <v>402</v>
      </c>
      <c r="U280" t="s">
        <v>373</v>
      </c>
      <c r="V280" t="s">
        <v>5688</v>
      </c>
      <c r="W280" t="s">
        <v>5689</v>
      </c>
      <c r="X280" t="s">
        <v>5690</v>
      </c>
      <c r="Y280" t="s">
        <v>5691</v>
      </c>
      <c r="Z280" t="s">
        <v>5692</v>
      </c>
      <c r="AA280" t="s">
        <v>5693</v>
      </c>
      <c r="AB280" t="s">
        <v>5694</v>
      </c>
      <c r="AC280" t="s">
        <v>5695</v>
      </c>
      <c r="AD280" t="s">
        <v>5696</v>
      </c>
      <c r="AE280" t="s">
        <v>5697</v>
      </c>
      <c r="AF280" t="s">
        <v>5698</v>
      </c>
      <c r="BA280" t="str">
        <f>"2199"</f>
        <v>2199</v>
      </c>
      <c r="BB280" t="str">
        <f>"925"</f>
        <v>925</v>
      </c>
      <c r="BC280" t="s">
        <v>1149</v>
      </c>
      <c r="BD280" t="str">
        <f t="shared" si="79"/>
        <v>1</v>
      </c>
      <c r="BE280" t="s">
        <v>389</v>
      </c>
      <c r="BF280" t="str">
        <f>"46.85"</f>
        <v>46.85</v>
      </c>
      <c r="BG280" t="str">
        <f>"47.24"</f>
        <v>47.24</v>
      </c>
      <c r="BH280" t="str">
        <f>"24.41"</f>
        <v>24.41</v>
      </c>
      <c r="BI280" t="str">
        <f>"147.05"</f>
        <v>147.05</v>
      </c>
      <c r="BY280" t="str">
        <f>"31.25"</f>
        <v>31.25</v>
      </c>
      <c r="BZ280" t="str">
        <f>"0.885"</f>
        <v>0.885</v>
      </c>
      <c r="CA280" t="s">
        <v>431</v>
      </c>
      <c r="CR280" t="s">
        <v>400</v>
      </c>
      <c r="CS280">
        <v>0</v>
      </c>
      <c r="CT280" t="s">
        <v>400</v>
      </c>
      <c r="CV280">
        <v>0</v>
      </c>
      <c r="CX280" t="s">
        <v>953</v>
      </c>
      <c r="CY280" t="s">
        <v>400</v>
      </c>
      <c r="DC280">
        <v>0</v>
      </c>
      <c r="DJ280" t="s">
        <v>471</v>
      </c>
      <c r="DK280" t="s">
        <v>5682</v>
      </c>
      <c r="DM280" t="s">
        <v>473</v>
      </c>
      <c r="DX280" t="s">
        <v>5683</v>
      </c>
      <c r="DY280" t="s">
        <v>5684</v>
      </c>
      <c r="DZ280" t="s">
        <v>5684</v>
      </c>
      <c r="EI280" t="s">
        <v>5684</v>
      </c>
      <c r="EJ280" t="s">
        <v>3020</v>
      </c>
      <c r="EK280" t="s">
        <v>5685</v>
      </c>
      <c r="EL280" t="s">
        <v>5686</v>
      </c>
      <c r="EM280" t="s">
        <v>402</v>
      </c>
      <c r="EN280">
        <v>0</v>
      </c>
      <c r="EO280">
        <v>0</v>
      </c>
    </row>
    <row r="281" spans="1:287" x14ac:dyDescent="0.25">
      <c r="A281" t="s">
        <v>5699</v>
      </c>
      <c r="B281" t="str">
        <f>"801542572976"</f>
        <v>801542572976</v>
      </c>
      <c r="C281" t="s">
        <v>5700</v>
      </c>
      <c r="D281" t="s">
        <v>1224</v>
      </c>
      <c r="E281" t="s">
        <v>459</v>
      </c>
      <c r="G281" t="str">
        <f>"26"</f>
        <v>26</v>
      </c>
      <c r="H281" t="str">
        <f>"26"</f>
        <v>26</v>
      </c>
      <c r="I281" t="str">
        <f>"17.75"</f>
        <v>17.75</v>
      </c>
      <c r="J281" t="str">
        <f>"49.56"</f>
        <v>49.56</v>
      </c>
      <c r="K281" t="s">
        <v>5666</v>
      </c>
      <c r="L281" t="s">
        <v>5667</v>
      </c>
      <c r="N281" t="s">
        <v>1463</v>
      </c>
      <c r="O281" t="s">
        <v>555</v>
      </c>
      <c r="T281" t="s">
        <v>373</v>
      </c>
      <c r="U281" t="s">
        <v>373</v>
      </c>
      <c r="V281" t="s">
        <v>5701</v>
      </c>
      <c r="W281" t="s">
        <v>5702</v>
      </c>
      <c r="X281" t="s">
        <v>5703</v>
      </c>
      <c r="Y281" t="s">
        <v>5704</v>
      </c>
      <c r="Z281" t="s">
        <v>5705</v>
      </c>
      <c r="AA281" t="s">
        <v>5706</v>
      </c>
      <c r="AB281" t="s">
        <v>5707</v>
      </c>
      <c r="AC281" t="s">
        <v>5708</v>
      </c>
      <c r="AD281" t="s">
        <v>5709</v>
      </c>
      <c r="AE281" t="s">
        <v>5710</v>
      </c>
      <c r="AF281" t="s">
        <v>5711</v>
      </c>
      <c r="AG281" t="s">
        <v>5712</v>
      </c>
      <c r="BA281" t="str">
        <f>"1449"</f>
        <v>1449</v>
      </c>
      <c r="BB281" t="str">
        <f>"610"</f>
        <v>610</v>
      </c>
      <c r="BC281" t="s">
        <v>1149</v>
      </c>
      <c r="BD281" t="str">
        <f t="shared" si="79"/>
        <v>1</v>
      </c>
      <c r="BE281" t="s">
        <v>389</v>
      </c>
      <c r="BF281" t="str">
        <f>"32.28"</f>
        <v>32.28</v>
      </c>
      <c r="BG281" t="str">
        <f>"31.89"</f>
        <v>31.89</v>
      </c>
      <c r="BH281" t="str">
        <f>"26.77"</f>
        <v>26.77</v>
      </c>
      <c r="BI281" t="str">
        <f>"74.56"</f>
        <v>74.56</v>
      </c>
      <c r="BY281" t="str">
        <f>"15.96"</f>
        <v>15.96</v>
      </c>
      <c r="BZ281" t="str">
        <f>"0.452"</f>
        <v>0.452</v>
      </c>
      <c r="CA281" t="s">
        <v>431</v>
      </c>
      <c r="CR281" t="s">
        <v>400</v>
      </c>
      <c r="CS281">
        <v>0</v>
      </c>
      <c r="CT281" t="s">
        <v>400</v>
      </c>
      <c r="CV281">
        <v>0</v>
      </c>
      <c r="CX281" t="s">
        <v>953</v>
      </c>
      <c r="CY281" t="s">
        <v>400</v>
      </c>
      <c r="DC281">
        <v>0</v>
      </c>
      <c r="DJ281" t="s">
        <v>471</v>
      </c>
      <c r="DK281" t="s">
        <v>5682</v>
      </c>
      <c r="DM281" t="s">
        <v>473</v>
      </c>
      <c r="DX281" t="s">
        <v>4976</v>
      </c>
      <c r="DY281" t="s">
        <v>5713</v>
      </c>
      <c r="DZ281" t="s">
        <v>5713</v>
      </c>
      <c r="EI281" t="s">
        <v>796</v>
      </c>
      <c r="EJ281" t="s">
        <v>3020</v>
      </c>
      <c r="EK281" t="s">
        <v>796</v>
      </c>
      <c r="EL281" t="s">
        <v>1852</v>
      </c>
      <c r="EM281" t="s">
        <v>402</v>
      </c>
      <c r="EN281">
        <v>0</v>
      </c>
      <c r="EO281">
        <v>0</v>
      </c>
    </row>
    <row r="282" spans="1:287" x14ac:dyDescent="0.25">
      <c r="A282" t="s">
        <v>5714</v>
      </c>
      <c r="B282" t="str">
        <f>"801542688035"</f>
        <v>801542688035</v>
      </c>
      <c r="C282" t="s">
        <v>5700</v>
      </c>
      <c r="D282" t="s">
        <v>1224</v>
      </c>
      <c r="E282" t="s">
        <v>459</v>
      </c>
      <c r="G282" t="str">
        <f>"26"</f>
        <v>26</v>
      </c>
      <c r="H282" t="str">
        <f>"26"</f>
        <v>26</v>
      </c>
      <c r="I282" t="str">
        <f>"17.75"</f>
        <v>17.75</v>
      </c>
      <c r="J282" t="str">
        <f>"49.56"</f>
        <v>49.56</v>
      </c>
      <c r="K282" t="s">
        <v>5666</v>
      </c>
      <c r="N282" t="s">
        <v>1463</v>
      </c>
      <c r="T282" t="s">
        <v>373</v>
      </c>
      <c r="U282" t="s">
        <v>373</v>
      </c>
      <c r="W282" t="s">
        <v>5715</v>
      </c>
      <c r="X282" t="s">
        <v>5716</v>
      </c>
      <c r="Y282" t="s">
        <v>5717</v>
      </c>
      <c r="Z282" t="s">
        <v>5718</v>
      </c>
      <c r="AA282" t="s">
        <v>5719</v>
      </c>
      <c r="AB282" t="s">
        <v>5720</v>
      </c>
      <c r="AC282" t="s">
        <v>5721</v>
      </c>
      <c r="AD282" t="s">
        <v>5722</v>
      </c>
      <c r="AE282" t="s">
        <v>5723</v>
      </c>
      <c r="AF282" t="s">
        <v>5724</v>
      </c>
      <c r="BA282" t="str">
        <f>"1449"</f>
        <v>1449</v>
      </c>
      <c r="BB282" t="str">
        <f>"610"</f>
        <v>610</v>
      </c>
      <c r="BC282" t="s">
        <v>1149</v>
      </c>
      <c r="BD282" t="str">
        <f t="shared" si="79"/>
        <v>1</v>
      </c>
      <c r="BE282" t="s">
        <v>389</v>
      </c>
      <c r="BF282" t="str">
        <f>"32.28"</f>
        <v>32.28</v>
      </c>
      <c r="BG282" t="str">
        <f>"31.89"</f>
        <v>31.89</v>
      </c>
      <c r="BH282" t="str">
        <f>"26.77"</f>
        <v>26.77</v>
      </c>
      <c r="BI282" t="str">
        <f>"74.56"</f>
        <v>74.56</v>
      </c>
      <c r="BY282" t="str">
        <f>"15.96"</f>
        <v>15.96</v>
      </c>
      <c r="BZ282" t="str">
        <f>"0.452"</f>
        <v>0.452</v>
      </c>
      <c r="CA282" t="s">
        <v>390</v>
      </c>
      <c r="CR282" t="s">
        <v>400</v>
      </c>
      <c r="CS282">
        <v>0</v>
      </c>
      <c r="CT282" t="s">
        <v>400</v>
      </c>
      <c r="CV282">
        <v>0</v>
      </c>
      <c r="CX282" t="s">
        <v>953</v>
      </c>
      <c r="CY282" t="s">
        <v>400</v>
      </c>
      <c r="DC282">
        <v>0</v>
      </c>
      <c r="DJ282" t="s">
        <v>471</v>
      </c>
      <c r="DK282" t="s">
        <v>5682</v>
      </c>
      <c r="DM282" t="s">
        <v>473</v>
      </c>
      <c r="DX282" t="s">
        <v>4976</v>
      </c>
      <c r="DY282" t="s">
        <v>5713</v>
      </c>
      <c r="DZ282" t="s">
        <v>5713</v>
      </c>
      <c r="EI282" t="s">
        <v>796</v>
      </c>
      <c r="EJ282" t="s">
        <v>3020</v>
      </c>
      <c r="EK282" t="s">
        <v>796</v>
      </c>
      <c r="EL282" t="s">
        <v>1852</v>
      </c>
      <c r="EM282" t="s">
        <v>402</v>
      </c>
      <c r="EN282">
        <v>0</v>
      </c>
      <c r="EO282">
        <v>0</v>
      </c>
    </row>
    <row r="283" spans="1:287" x14ac:dyDescent="0.25">
      <c r="A283" t="s">
        <v>5725</v>
      </c>
      <c r="B283" t="str">
        <f>"801542570514"</f>
        <v>801542570514</v>
      </c>
      <c r="C283" t="s">
        <v>5726</v>
      </c>
      <c r="D283" t="s">
        <v>1224</v>
      </c>
      <c r="E283" t="s">
        <v>4074</v>
      </c>
      <c r="G283" t="str">
        <f>"78.75"</f>
        <v>78.75</v>
      </c>
      <c r="H283" t="str">
        <f>"15.75"</f>
        <v>15.75</v>
      </c>
      <c r="I283" t="str">
        <f>"29.5"</f>
        <v>29.5</v>
      </c>
      <c r="J283" t="str">
        <f>"157.19"</f>
        <v>157.19</v>
      </c>
      <c r="K283" t="s">
        <v>5666</v>
      </c>
      <c r="L283" t="s">
        <v>5667</v>
      </c>
      <c r="N283" t="s">
        <v>1463</v>
      </c>
      <c r="O283" t="s">
        <v>555</v>
      </c>
      <c r="T283" t="s">
        <v>373</v>
      </c>
      <c r="U283" t="s">
        <v>373</v>
      </c>
      <c r="V283" t="s">
        <v>5727</v>
      </c>
      <c r="W283" t="s">
        <v>5728</v>
      </c>
      <c r="X283" t="s">
        <v>5729</v>
      </c>
      <c r="Y283" t="s">
        <v>5730</v>
      </c>
      <c r="Z283" t="s">
        <v>5731</v>
      </c>
      <c r="AA283" t="s">
        <v>5732</v>
      </c>
      <c r="AB283" t="s">
        <v>5733</v>
      </c>
      <c r="AC283" t="s">
        <v>5734</v>
      </c>
      <c r="AD283" t="s">
        <v>5735</v>
      </c>
      <c r="AE283" t="s">
        <v>5736</v>
      </c>
      <c r="AF283" t="s">
        <v>5737</v>
      </c>
      <c r="AG283" t="s">
        <v>5738</v>
      </c>
      <c r="AH283" t="s">
        <v>5739</v>
      </c>
      <c r="AI283" t="s">
        <v>5740</v>
      </c>
      <c r="AJ283" t="s">
        <v>5741</v>
      </c>
      <c r="AK283" t="s">
        <v>5742</v>
      </c>
      <c r="BA283" t="str">
        <f>"2399"</f>
        <v>2399</v>
      </c>
      <c r="BB283" t="str">
        <f>"1010"</f>
        <v>1010</v>
      </c>
      <c r="BC283" t="s">
        <v>1149</v>
      </c>
      <c r="BD283" t="str">
        <f t="shared" si="79"/>
        <v>1</v>
      </c>
      <c r="BE283" t="s">
        <v>389</v>
      </c>
      <c r="BF283" t="str">
        <f>"86.61"</f>
        <v>86.61</v>
      </c>
      <c r="BG283" t="str">
        <f>"22.05"</f>
        <v>22.05</v>
      </c>
      <c r="BH283" t="str">
        <f>"36.22"</f>
        <v>36.22</v>
      </c>
      <c r="BI283" t="str">
        <f>"227.74"</f>
        <v>227.74</v>
      </c>
      <c r="BY283" t="str">
        <f>"40.01"</f>
        <v>40.01</v>
      </c>
      <c r="BZ283" t="str">
        <f>"1.133"</f>
        <v>1.133</v>
      </c>
      <c r="CA283" t="s">
        <v>431</v>
      </c>
      <c r="CR283" t="s">
        <v>400</v>
      </c>
      <c r="CS283">
        <v>0</v>
      </c>
      <c r="CT283" t="s">
        <v>400</v>
      </c>
      <c r="CV283">
        <v>0</v>
      </c>
      <c r="CX283" t="s">
        <v>953</v>
      </c>
      <c r="CY283" t="s">
        <v>400</v>
      </c>
      <c r="DC283">
        <v>0</v>
      </c>
      <c r="DJ283" t="s">
        <v>408</v>
      </c>
      <c r="DK283" t="s">
        <v>5682</v>
      </c>
      <c r="DM283" t="s">
        <v>669</v>
      </c>
      <c r="DX283" t="s">
        <v>444</v>
      </c>
      <c r="DY283" t="s">
        <v>1512</v>
      </c>
      <c r="DZ283" t="s">
        <v>5743</v>
      </c>
      <c r="EI283" t="s">
        <v>1055</v>
      </c>
      <c r="EJ283" t="s">
        <v>2792</v>
      </c>
      <c r="EK283" t="s">
        <v>3098</v>
      </c>
      <c r="EL283" t="s">
        <v>5686</v>
      </c>
      <c r="EM283" t="s">
        <v>402</v>
      </c>
      <c r="EN283">
        <v>0</v>
      </c>
      <c r="EO283">
        <v>0</v>
      </c>
      <c r="EX283" t="s">
        <v>1240</v>
      </c>
      <c r="FI283">
        <v>0</v>
      </c>
      <c r="FJ283" t="s">
        <v>1012</v>
      </c>
    </row>
    <row r="284" spans="1:287" x14ac:dyDescent="0.25">
      <c r="A284" t="s">
        <v>5744</v>
      </c>
      <c r="B284" t="str">
        <f>"801542568078"</f>
        <v>801542568078</v>
      </c>
      <c r="C284" t="s">
        <v>5578</v>
      </c>
      <c r="D284" t="s">
        <v>1420</v>
      </c>
      <c r="E284" t="s">
        <v>3813</v>
      </c>
      <c r="G284" t="str">
        <f>"70"</f>
        <v>70</v>
      </c>
      <c r="H284" t="str">
        <f>"39.25"</f>
        <v>39.25</v>
      </c>
      <c r="I284" t="str">
        <f>"101.25"</f>
        <v>101.25</v>
      </c>
      <c r="J284" t="str">
        <f>"319.66"</f>
        <v>319.66</v>
      </c>
      <c r="K284" t="s">
        <v>5579</v>
      </c>
      <c r="L284" t="s">
        <v>5580</v>
      </c>
      <c r="N284" t="s">
        <v>461</v>
      </c>
      <c r="O284" t="s">
        <v>555</v>
      </c>
      <c r="T284" t="s">
        <v>373</v>
      </c>
      <c r="U284" t="s">
        <v>373</v>
      </c>
      <c r="V284" t="s">
        <v>5745</v>
      </c>
      <c r="W284" t="s">
        <v>5746</v>
      </c>
      <c r="X284" t="s">
        <v>5747</v>
      </c>
      <c r="Y284" t="s">
        <v>5748</v>
      </c>
      <c r="Z284" t="s">
        <v>5749</v>
      </c>
      <c r="AA284" t="s">
        <v>5750</v>
      </c>
      <c r="AB284" t="s">
        <v>5751</v>
      </c>
      <c r="AC284" t="s">
        <v>5752</v>
      </c>
      <c r="AD284" t="s">
        <v>5753</v>
      </c>
      <c r="AE284" t="s">
        <v>5754</v>
      </c>
      <c r="AF284" t="s">
        <v>5755</v>
      </c>
      <c r="AG284" t="s">
        <v>5756</v>
      </c>
      <c r="AH284" t="s">
        <v>5757</v>
      </c>
      <c r="AI284" t="s">
        <v>5758</v>
      </c>
      <c r="AJ284" t="s">
        <v>5759</v>
      </c>
      <c r="AK284" t="s">
        <v>5760</v>
      </c>
      <c r="AL284" t="s">
        <v>5761</v>
      </c>
      <c r="BA284" t="str">
        <f>"4499"</f>
        <v>4499</v>
      </c>
      <c r="BB284" t="str">
        <f>"1890"</f>
        <v>1890</v>
      </c>
      <c r="BC284" t="s">
        <v>665</v>
      </c>
      <c r="BD284" t="str">
        <f>"2"</f>
        <v>2</v>
      </c>
      <c r="BE284" t="s">
        <v>389</v>
      </c>
      <c r="BF284" t="str">
        <f>"40.35"</f>
        <v>40.35</v>
      </c>
      <c r="BG284" t="str">
        <f>"22.44"</f>
        <v>22.44</v>
      </c>
      <c r="BH284" t="str">
        <f>"110.24"</f>
        <v>110.24</v>
      </c>
      <c r="BI284" t="str">
        <f>"189.6"</f>
        <v>189.6</v>
      </c>
      <c r="BJ284" t="s">
        <v>389</v>
      </c>
      <c r="BK284" t="str">
        <f>"100.98"</f>
        <v>100.98</v>
      </c>
      <c r="BL284" t="str">
        <f>"21.85"</f>
        <v>21.85</v>
      </c>
      <c r="BM284" t="str">
        <f>"4.92"</f>
        <v>4.92</v>
      </c>
      <c r="BN284" t="str">
        <f>"28.66"</f>
        <v>28.66</v>
      </c>
      <c r="BY284" t="str">
        <f>"121.84"</f>
        <v>121.84</v>
      </c>
      <c r="BZ284" t="str">
        <f>"3.45"</f>
        <v>3.45</v>
      </c>
      <c r="CA284" t="s">
        <v>390</v>
      </c>
      <c r="CR284" t="s">
        <v>400</v>
      </c>
      <c r="CS284">
        <v>0</v>
      </c>
      <c r="CT284" t="s">
        <v>400</v>
      </c>
      <c r="CV284">
        <v>8</v>
      </c>
      <c r="CW284" t="s">
        <v>402</v>
      </c>
      <c r="CX284" t="s">
        <v>1980</v>
      </c>
      <c r="CY284" t="s">
        <v>404</v>
      </c>
      <c r="DA284">
        <v>18.14</v>
      </c>
      <c r="DB284">
        <v>40</v>
      </c>
      <c r="DC284">
        <v>0</v>
      </c>
      <c r="DJ284" t="s">
        <v>5762</v>
      </c>
      <c r="DK284" t="s">
        <v>5598</v>
      </c>
      <c r="EM284" t="s">
        <v>402</v>
      </c>
      <c r="EN284">
        <v>12</v>
      </c>
      <c r="FH284" t="s">
        <v>959</v>
      </c>
      <c r="FI284">
        <v>4</v>
      </c>
      <c r="FJ284" t="s">
        <v>960</v>
      </c>
      <c r="FK284" t="s">
        <v>1246</v>
      </c>
      <c r="FO284" t="s">
        <v>984</v>
      </c>
      <c r="JX284" t="s">
        <v>402</v>
      </c>
    </row>
    <row r="285" spans="1:287" x14ac:dyDescent="0.25">
      <c r="A285" t="s">
        <v>5763</v>
      </c>
      <c r="B285" t="str">
        <f>"801542568085"</f>
        <v>801542568085</v>
      </c>
      <c r="C285" t="s">
        <v>5578</v>
      </c>
      <c r="D285" t="s">
        <v>1420</v>
      </c>
      <c r="E285" t="s">
        <v>3813</v>
      </c>
      <c r="G285" t="str">
        <f>"105"</f>
        <v>105</v>
      </c>
      <c r="H285" t="str">
        <f>"39.25"</f>
        <v>39.25</v>
      </c>
      <c r="I285" t="str">
        <f>"101.25"</f>
        <v>101.25</v>
      </c>
      <c r="J285" t="str">
        <f>"469.57"</f>
        <v>469.57</v>
      </c>
      <c r="K285" t="s">
        <v>5579</v>
      </c>
      <c r="L285" t="s">
        <v>5580</v>
      </c>
      <c r="N285" t="s">
        <v>461</v>
      </c>
      <c r="O285" t="s">
        <v>555</v>
      </c>
      <c r="T285" t="s">
        <v>373</v>
      </c>
      <c r="U285" t="s">
        <v>373</v>
      </c>
      <c r="V285" t="s">
        <v>5764</v>
      </c>
      <c r="W285" t="s">
        <v>5765</v>
      </c>
      <c r="X285" t="s">
        <v>5766</v>
      </c>
      <c r="Y285" t="s">
        <v>5767</v>
      </c>
      <c r="Z285" t="s">
        <v>5768</v>
      </c>
      <c r="AA285" t="s">
        <v>5769</v>
      </c>
      <c r="AB285" t="s">
        <v>5770</v>
      </c>
      <c r="AC285" t="s">
        <v>5771</v>
      </c>
      <c r="AD285" t="s">
        <v>5772</v>
      </c>
      <c r="AE285" t="s">
        <v>5773</v>
      </c>
      <c r="AF285" t="s">
        <v>5774</v>
      </c>
      <c r="AG285" t="s">
        <v>5775</v>
      </c>
      <c r="AH285" t="s">
        <v>5776</v>
      </c>
      <c r="AI285" t="s">
        <v>5777</v>
      </c>
      <c r="AJ285" t="s">
        <v>5778</v>
      </c>
      <c r="AK285" t="s">
        <v>5779</v>
      </c>
      <c r="AL285" t="s">
        <v>5780</v>
      </c>
      <c r="AM285" t="s">
        <v>5781</v>
      </c>
      <c r="AN285" t="s">
        <v>5782</v>
      </c>
      <c r="BA285" t="str">
        <f>"6599"</f>
        <v>6599</v>
      </c>
      <c r="BB285" t="str">
        <f>"2775"</f>
        <v>2775</v>
      </c>
      <c r="BC285" t="s">
        <v>665</v>
      </c>
      <c r="BD285" t="str">
        <f>"2"</f>
        <v>2</v>
      </c>
      <c r="BE285" t="s">
        <v>389</v>
      </c>
      <c r="BF285" t="str">
        <f>"40.35"</f>
        <v>40.35</v>
      </c>
      <c r="BG285" t="str">
        <f>"22.44"</f>
        <v>22.44</v>
      </c>
      <c r="BH285" t="str">
        <f>"110.24"</f>
        <v>110.24</v>
      </c>
      <c r="BI285" t="str">
        <f>"189.6"</f>
        <v>189.6</v>
      </c>
      <c r="BJ285" t="s">
        <v>389</v>
      </c>
      <c r="BK285" t="str">
        <f>"100.98"</f>
        <v>100.98</v>
      </c>
      <c r="BL285" t="str">
        <f>"21.85"</f>
        <v>21.85</v>
      </c>
      <c r="BM285" t="str">
        <f>"4.92"</f>
        <v>4.92</v>
      </c>
      <c r="BN285" t="str">
        <f>"28.66"</f>
        <v>28.66</v>
      </c>
      <c r="BY285" t="str">
        <f>"179.61"</f>
        <v>179.61</v>
      </c>
      <c r="BZ285" t="str">
        <f>"5.086"</f>
        <v>5.086</v>
      </c>
      <c r="CA285" t="s">
        <v>390</v>
      </c>
      <c r="CR285" t="s">
        <v>400</v>
      </c>
      <c r="CS285">
        <v>0</v>
      </c>
      <c r="CT285" t="s">
        <v>400</v>
      </c>
      <c r="CV285">
        <v>12</v>
      </c>
      <c r="CW285" t="s">
        <v>402</v>
      </c>
      <c r="CX285" t="s">
        <v>953</v>
      </c>
      <c r="CY285" t="s">
        <v>404</v>
      </c>
      <c r="DA285">
        <v>18.14</v>
      </c>
      <c r="DB285">
        <v>40</v>
      </c>
      <c r="DC285">
        <v>0</v>
      </c>
      <c r="DJ285" t="s">
        <v>5762</v>
      </c>
      <c r="DK285" t="s">
        <v>5598</v>
      </c>
      <c r="EM285" t="s">
        <v>402</v>
      </c>
      <c r="EN285">
        <v>18</v>
      </c>
      <c r="FH285" t="s">
        <v>959</v>
      </c>
      <c r="FI285">
        <v>6</v>
      </c>
      <c r="FJ285" t="s">
        <v>960</v>
      </c>
      <c r="FK285" t="s">
        <v>1246</v>
      </c>
      <c r="FO285" t="s">
        <v>984</v>
      </c>
      <c r="JX285" t="s">
        <v>402</v>
      </c>
    </row>
    <row r="286" spans="1:287" x14ac:dyDescent="0.25">
      <c r="A286" t="s">
        <v>5783</v>
      </c>
      <c r="B286" t="str">
        <f>"801542627300"</f>
        <v>801542627300</v>
      </c>
      <c r="C286" t="s">
        <v>5784</v>
      </c>
      <c r="D286" t="s">
        <v>3784</v>
      </c>
      <c r="E286" t="s">
        <v>930</v>
      </c>
      <c r="G286" t="str">
        <f>"74"</f>
        <v>74</v>
      </c>
      <c r="H286" t="str">
        <f>"19"</f>
        <v>19</v>
      </c>
      <c r="I286" t="str">
        <f>"32.25"</f>
        <v>32.25</v>
      </c>
      <c r="J286" t="str">
        <f>"149.91"</f>
        <v>149.91</v>
      </c>
      <c r="K286" t="s">
        <v>5785</v>
      </c>
      <c r="L286" t="s">
        <v>3786</v>
      </c>
      <c r="N286" t="s">
        <v>3787</v>
      </c>
      <c r="O286" t="s">
        <v>416</v>
      </c>
      <c r="T286" t="s">
        <v>373</v>
      </c>
      <c r="U286" t="s">
        <v>373</v>
      </c>
      <c r="V286" t="s">
        <v>5786</v>
      </c>
      <c r="W286" t="s">
        <v>5787</v>
      </c>
      <c r="X286" t="s">
        <v>5788</v>
      </c>
      <c r="Y286" t="s">
        <v>5789</v>
      </c>
      <c r="Z286" t="s">
        <v>5790</v>
      </c>
      <c r="AA286" t="s">
        <v>5791</v>
      </c>
      <c r="AB286" t="s">
        <v>5792</v>
      </c>
      <c r="AC286" t="s">
        <v>5793</v>
      </c>
      <c r="AD286" t="s">
        <v>5794</v>
      </c>
      <c r="AE286" t="s">
        <v>5795</v>
      </c>
      <c r="AF286" t="s">
        <v>5796</v>
      </c>
      <c r="AG286" t="s">
        <v>5797</v>
      </c>
      <c r="AH286" t="s">
        <v>5798</v>
      </c>
      <c r="AI286" t="s">
        <v>5799</v>
      </c>
      <c r="AJ286" t="s">
        <v>5800</v>
      </c>
      <c r="BA286" t="str">
        <f>"1799"</f>
        <v>1799</v>
      </c>
      <c r="BB286" t="str">
        <f>"760"</f>
        <v>760</v>
      </c>
      <c r="BC286" t="s">
        <v>1149</v>
      </c>
      <c r="BD286" t="str">
        <f t="shared" ref="BD286:BD295" si="80">"1"</f>
        <v>1</v>
      </c>
      <c r="BE286" t="s">
        <v>389</v>
      </c>
      <c r="BF286" t="str">
        <f>"78.35"</f>
        <v>78.35</v>
      </c>
      <c r="BG286" t="str">
        <f>"23.62"</f>
        <v>23.62</v>
      </c>
      <c r="BH286" t="str">
        <f>"26.77"</f>
        <v>26.77</v>
      </c>
      <c r="BI286" t="str">
        <f>"165.35"</f>
        <v>165.35</v>
      </c>
      <c r="BY286" t="str">
        <f>"28.68"</f>
        <v>28.68</v>
      </c>
      <c r="BZ286" t="str">
        <f>"0.812"</f>
        <v>0.812</v>
      </c>
      <c r="CA286" t="s">
        <v>390</v>
      </c>
      <c r="CE286" t="s">
        <v>1999</v>
      </c>
      <c r="CF286" t="s">
        <v>2124</v>
      </c>
      <c r="CG286" t="s">
        <v>5801</v>
      </c>
      <c r="CR286" t="s">
        <v>3806</v>
      </c>
      <c r="CS286">
        <v>3</v>
      </c>
      <c r="CT286" t="s">
        <v>1344</v>
      </c>
      <c r="CV286">
        <v>0</v>
      </c>
      <c r="CX286" t="s">
        <v>1018</v>
      </c>
      <c r="CY286" t="s">
        <v>954</v>
      </c>
      <c r="DA286">
        <v>18.14</v>
      </c>
      <c r="DB286">
        <v>40</v>
      </c>
      <c r="DC286">
        <v>2</v>
      </c>
      <c r="DK286" t="s">
        <v>5802</v>
      </c>
      <c r="DM286" t="s">
        <v>669</v>
      </c>
      <c r="DX286" t="s">
        <v>1354</v>
      </c>
      <c r="EM286" t="s">
        <v>402</v>
      </c>
      <c r="EN286">
        <v>2</v>
      </c>
      <c r="EZ286" t="s">
        <v>2124</v>
      </c>
      <c r="FA286" t="s">
        <v>1348</v>
      </c>
      <c r="FB286" t="s">
        <v>568</v>
      </c>
      <c r="FC286" t="s">
        <v>1999</v>
      </c>
      <c r="FD286" t="s">
        <v>1348</v>
      </c>
      <c r="FE286" t="s">
        <v>5801</v>
      </c>
      <c r="FF286">
        <v>0</v>
      </c>
      <c r="FG286" t="s">
        <v>402</v>
      </c>
      <c r="FH286" t="s">
        <v>959</v>
      </c>
      <c r="FI286">
        <v>3</v>
      </c>
      <c r="FJ286" t="s">
        <v>960</v>
      </c>
      <c r="FK286" t="s">
        <v>1246</v>
      </c>
      <c r="FL286">
        <v>0</v>
      </c>
      <c r="FM286" t="s">
        <v>402</v>
      </c>
      <c r="FO286" t="s">
        <v>984</v>
      </c>
      <c r="FR286" t="s">
        <v>1612</v>
      </c>
      <c r="FS286" t="s">
        <v>1612</v>
      </c>
      <c r="FT286" t="s">
        <v>1292</v>
      </c>
      <c r="FU286" t="s">
        <v>5803</v>
      </c>
      <c r="FV286" t="s">
        <v>391</v>
      </c>
      <c r="FW286" t="s">
        <v>391</v>
      </c>
      <c r="FX286" t="s">
        <v>1008</v>
      </c>
      <c r="FZ286" t="s">
        <v>1018</v>
      </c>
      <c r="GA286" t="s">
        <v>402</v>
      </c>
      <c r="GB286" t="s">
        <v>1999</v>
      </c>
      <c r="GC286" t="s">
        <v>2124</v>
      </c>
      <c r="GD286" t="s">
        <v>5804</v>
      </c>
      <c r="HE286" t="s">
        <v>1999</v>
      </c>
      <c r="HF286" t="s">
        <v>1348</v>
      </c>
      <c r="HG286" t="s">
        <v>5804</v>
      </c>
    </row>
    <row r="287" spans="1:287" x14ac:dyDescent="0.25">
      <c r="A287" t="s">
        <v>5805</v>
      </c>
      <c r="B287" t="str">
        <f>"801542618520"</f>
        <v>801542618520</v>
      </c>
      <c r="C287" t="s">
        <v>5806</v>
      </c>
      <c r="D287" t="s">
        <v>3784</v>
      </c>
      <c r="E287" t="s">
        <v>1319</v>
      </c>
      <c r="F287" t="s">
        <v>1320</v>
      </c>
      <c r="G287" t="str">
        <f>"70"</f>
        <v>70</v>
      </c>
      <c r="H287" t="str">
        <f>"27"</f>
        <v>27</v>
      </c>
      <c r="I287" t="str">
        <f t="shared" ref="I287:I292" si="81">"30"</f>
        <v>30</v>
      </c>
      <c r="J287" t="str">
        <f>"146.61"</f>
        <v>146.61</v>
      </c>
      <c r="K287" t="s">
        <v>3861</v>
      </c>
      <c r="L287" t="s">
        <v>3862</v>
      </c>
      <c r="N287" t="s">
        <v>3787</v>
      </c>
      <c r="O287" t="s">
        <v>416</v>
      </c>
      <c r="T287" t="s">
        <v>373</v>
      </c>
      <c r="U287" t="s">
        <v>373</v>
      </c>
      <c r="V287" t="s">
        <v>5807</v>
      </c>
      <c r="W287" t="s">
        <v>5808</v>
      </c>
      <c r="X287" t="s">
        <v>5809</v>
      </c>
      <c r="Y287" t="s">
        <v>5810</v>
      </c>
      <c r="Z287" t="s">
        <v>5811</v>
      </c>
      <c r="AA287" t="s">
        <v>5812</v>
      </c>
      <c r="AB287" t="s">
        <v>5813</v>
      </c>
      <c r="AC287" t="s">
        <v>5814</v>
      </c>
      <c r="AD287" t="s">
        <v>5815</v>
      </c>
      <c r="AE287" t="s">
        <v>5816</v>
      </c>
      <c r="AF287" t="s">
        <v>5817</v>
      </c>
      <c r="AG287" t="s">
        <v>5818</v>
      </c>
      <c r="AH287" t="s">
        <v>5819</v>
      </c>
      <c r="AI287" t="s">
        <v>5820</v>
      </c>
      <c r="AJ287" t="s">
        <v>5821</v>
      </c>
      <c r="AK287" t="s">
        <v>5822</v>
      </c>
      <c r="AL287" t="s">
        <v>5823</v>
      </c>
      <c r="AM287" t="s">
        <v>5824</v>
      </c>
      <c r="BA287" t="str">
        <f>"1899"</f>
        <v>1899</v>
      </c>
      <c r="BB287" t="str">
        <f>"800"</f>
        <v>800</v>
      </c>
      <c r="BC287" t="s">
        <v>1149</v>
      </c>
      <c r="BD287" t="str">
        <f t="shared" si="80"/>
        <v>1</v>
      </c>
      <c r="BE287" t="s">
        <v>389</v>
      </c>
      <c r="BF287" t="str">
        <f>"74.02"</f>
        <v>74.02</v>
      </c>
      <c r="BG287" t="str">
        <f>"30.31"</f>
        <v>30.31</v>
      </c>
      <c r="BH287" t="str">
        <f t="shared" ref="BH287:BH292" si="82">"33.27"</f>
        <v>33.27</v>
      </c>
      <c r="BI287" t="str">
        <f>"181.88"</f>
        <v>181.88</v>
      </c>
      <c r="BY287" t="str">
        <f>"43.19"</f>
        <v>43.19</v>
      </c>
      <c r="BZ287" t="str">
        <f>"1.223"</f>
        <v>1.223</v>
      </c>
      <c r="CA287" t="s">
        <v>431</v>
      </c>
      <c r="CB287" t="s">
        <v>5825</v>
      </c>
      <c r="CC287" t="s">
        <v>1348</v>
      </c>
      <c r="CD287" t="s">
        <v>2124</v>
      </c>
      <c r="CE287" t="s">
        <v>5826</v>
      </c>
      <c r="CF287" t="s">
        <v>5827</v>
      </c>
      <c r="CG287" t="s">
        <v>2124</v>
      </c>
      <c r="CR287" t="s">
        <v>3806</v>
      </c>
      <c r="CS287">
        <v>4</v>
      </c>
      <c r="CT287" t="s">
        <v>1008</v>
      </c>
      <c r="CV287">
        <v>2</v>
      </c>
      <c r="CW287" t="s">
        <v>402</v>
      </c>
      <c r="CX287" t="s">
        <v>1018</v>
      </c>
      <c r="CY287" t="s">
        <v>954</v>
      </c>
      <c r="DC287">
        <v>1</v>
      </c>
      <c r="DJ287" t="s">
        <v>1345</v>
      </c>
      <c r="DK287" t="s">
        <v>3807</v>
      </c>
      <c r="DM287" t="s">
        <v>473</v>
      </c>
      <c r="DX287" t="s">
        <v>5828</v>
      </c>
      <c r="DY287" t="s">
        <v>5829</v>
      </c>
      <c r="DZ287" t="s">
        <v>5830</v>
      </c>
      <c r="EI287" t="s">
        <v>5831</v>
      </c>
      <c r="EJ287" t="s">
        <v>1015</v>
      </c>
      <c r="EK287" t="s">
        <v>823</v>
      </c>
      <c r="EL287" t="s">
        <v>1348</v>
      </c>
      <c r="EM287" t="s">
        <v>402</v>
      </c>
      <c r="EN287">
        <v>5</v>
      </c>
      <c r="EW287" t="s">
        <v>2127</v>
      </c>
      <c r="EZ287" t="s">
        <v>5827</v>
      </c>
      <c r="FA287" t="s">
        <v>1348</v>
      </c>
      <c r="FB287" t="s">
        <v>2124</v>
      </c>
      <c r="FC287" t="s">
        <v>5826</v>
      </c>
      <c r="FD287" t="s">
        <v>1348</v>
      </c>
      <c r="FE287" t="s">
        <v>2124</v>
      </c>
      <c r="FG287" t="s">
        <v>402</v>
      </c>
      <c r="FH287" t="s">
        <v>959</v>
      </c>
      <c r="FI287">
        <v>1</v>
      </c>
      <c r="FJ287" t="s">
        <v>960</v>
      </c>
      <c r="FK287" t="s">
        <v>1246</v>
      </c>
      <c r="FM287" t="s">
        <v>402</v>
      </c>
      <c r="FO287" t="s">
        <v>984</v>
      </c>
      <c r="FR287" t="s">
        <v>5832</v>
      </c>
      <c r="FS287" t="s">
        <v>5832</v>
      </c>
      <c r="FT287" t="s">
        <v>1292</v>
      </c>
      <c r="FU287" t="s">
        <v>4615</v>
      </c>
      <c r="FV287" t="s">
        <v>2071</v>
      </c>
      <c r="FW287" t="s">
        <v>2286</v>
      </c>
      <c r="FX287" t="s">
        <v>1008</v>
      </c>
      <c r="FZ287" t="s">
        <v>1018</v>
      </c>
      <c r="GA287" t="s">
        <v>402</v>
      </c>
      <c r="GB287" t="s">
        <v>5825</v>
      </c>
      <c r="GC287" t="s">
        <v>3883</v>
      </c>
      <c r="GD287" t="s">
        <v>2124</v>
      </c>
      <c r="GE287">
        <v>1</v>
      </c>
      <c r="GR287" t="s">
        <v>5825</v>
      </c>
      <c r="GS287" t="s">
        <v>5825</v>
      </c>
      <c r="GT287" t="s">
        <v>3883</v>
      </c>
      <c r="GU287" t="s">
        <v>3883</v>
      </c>
      <c r="GV287" t="s">
        <v>2124</v>
      </c>
      <c r="GW287" t="s">
        <v>2124</v>
      </c>
      <c r="GY287" t="s">
        <v>5832</v>
      </c>
      <c r="HA287" t="s">
        <v>5833</v>
      </c>
      <c r="HC287" t="s">
        <v>2286</v>
      </c>
      <c r="HH287" t="s">
        <v>402</v>
      </c>
      <c r="JY287" t="s">
        <v>5825</v>
      </c>
      <c r="JZ287" t="s">
        <v>3883</v>
      </c>
      <c r="KA287" t="s">
        <v>2124</v>
      </c>
    </row>
    <row r="288" spans="1:287" x14ac:dyDescent="0.25">
      <c r="A288" t="s">
        <v>5834</v>
      </c>
      <c r="B288" t="str">
        <f>"801542618537"</f>
        <v>801542618537</v>
      </c>
      <c r="C288" t="s">
        <v>5835</v>
      </c>
      <c r="D288" t="s">
        <v>3784</v>
      </c>
      <c r="E288" t="s">
        <v>1319</v>
      </c>
      <c r="F288" t="s">
        <v>1320</v>
      </c>
      <c r="G288" t="str">
        <f>"70"</f>
        <v>70</v>
      </c>
      <c r="H288" t="str">
        <f>"27"</f>
        <v>27</v>
      </c>
      <c r="I288" t="str">
        <f t="shared" si="81"/>
        <v>30</v>
      </c>
      <c r="J288" t="str">
        <f>"146.61"</f>
        <v>146.61</v>
      </c>
      <c r="K288" t="s">
        <v>3886</v>
      </c>
      <c r="L288" t="s">
        <v>3786</v>
      </c>
      <c r="N288" t="s">
        <v>3787</v>
      </c>
      <c r="O288" t="s">
        <v>416</v>
      </c>
      <c r="T288" t="s">
        <v>373</v>
      </c>
      <c r="U288" t="s">
        <v>373</v>
      </c>
      <c r="V288" t="s">
        <v>5836</v>
      </c>
      <c r="W288" t="s">
        <v>5837</v>
      </c>
      <c r="X288" t="s">
        <v>5838</v>
      </c>
      <c r="Y288" t="s">
        <v>5839</v>
      </c>
      <c r="Z288" t="s">
        <v>5840</v>
      </c>
      <c r="AA288" t="s">
        <v>5841</v>
      </c>
      <c r="BA288" t="str">
        <f>"1899"</f>
        <v>1899</v>
      </c>
      <c r="BB288" t="str">
        <f>"800"</f>
        <v>800</v>
      </c>
      <c r="BC288" t="s">
        <v>1149</v>
      </c>
      <c r="BD288" t="str">
        <f t="shared" si="80"/>
        <v>1</v>
      </c>
      <c r="BE288" t="s">
        <v>389</v>
      </c>
      <c r="BF288" t="str">
        <f>"74.02"</f>
        <v>74.02</v>
      </c>
      <c r="BG288" t="str">
        <f>"30.31"</f>
        <v>30.31</v>
      </c>
      <c r="BH288" t="str">
        <f t="shared" si="82"/>
        <v>33.27</v>
      </c>
      <c r="BI288" t="str">
        <f>"181.88"</f>
        <v>181.88</v>
      </c>
      <c r="BY288" t="str">
        <f>"43.19"</f>
        <v>43.19</v>
      </c>
      <c r="BZ288" t="str">
        <f>"1.223"</f>
        <v>1.223</v>
      </c>
      <c r="CA288" t="s">
        <v>431</v>
      </c>
      <c r="CB288" t="s">
        <v>5825</v>
      </c>
      <c r="CC288" t="s">
        <v>1348</v>
      </c>
      <c r="CD288" t="s">
        <v>2124</v>
      </c>
      <c r="CE288" t="s">
        <v>5826</v>
      </c>
      <c r="CF288" t="s">
        <v>5827</v>
      </c>
      <c r="CG288" t="s">
        <v>2124</v>
      </c>
      <c r="CR288" t="s">
        <v>3806</v>
      </c>
      <c r="CS288">
        <v>4</v>
      </c>
      <c r="CT288" t="s">
        <v>1008</v>
      </c>
      <c r="CV288">
        <v>2</v>
      </c>
      <c r="CW288" t="s">
        <v>402</v>
      </c>
      <c r="CX288" t="s">
        <v>1018</v>
      </c>
      <c r="CY288" t="s">
        <v>954</v>
      </c>
      <c r="DC288">
        <v>1</v>
      </c>
      <c r="DJ288" t="s">
        <v>1345</v>
      </c>
      <c r="DK288" t="s">
        <v>3807</v>
      </c>
      <c r="DM288" t="s">
        <v>473</v>
      </c>
      <c r="DX288" t="s">
        <v>5828</v>
      </c>
      <c r="DY288" t="s">
        <v>5829</v>
      </c>
      <c r="DZ288" t="s">
        <v>5830</v>
      </c>
      <c r="EI288" t="s">
        <v>5831</v>
      </c>
      <c r="EJ288" t="s">
        <v>1015</v>
      </c>
      <c r="EK288" t="s">
        <v>823</v>
      </c>
      <c r="EL288" t="s">
        <v>1348</v>
      </c>
      <c r="EM288" t="s">
        <v>402</v>
      </c>
      <c r="EN288">
        <v>5</v>
      </c>
      <c r="EW288" t="s">
        <v>2127</v>
      </c>
      <c r="EZ288" t="s">
        <v>5827</v>
      </c>
      <c r="FA288" t="s">
        <v>1348</v>
      </c>
      <c r="FB288" t="s">
        <v>2124</v>
      </c>
      <c r="FC288" t="s">
        <v>5826</v>
      </c>
      <c r="FD288" t="s">
        <v>1348</v>
      </c>
      <c r="FE288" t="s">
        <v>2124</v>
      </c>
      <c r="FG288" t="s">
        <v>402</v>
      </c>
      <c r="FH288" t="s">
        <v>959</v>
      </c>
      <c r="FI288">
        <v>1</v>
      </c>
      <c r="FJ288" t="s">
        <v>960</v>
      </c>
      <c r="FK288" t="s">
        <v>1246</v>
      </c>
      <c r="FM288" t="s">
        <v>402</v>
      </c>
      <c r="FO288" t="s">
        <v>984</v>
      </c>
      <c r="FR288" t="s">
        <v>5832</v>
      </c>
      <c r="FS288" t="s">
        <v>5832</v>
      </c>
      <c r="FT288" t="s">
        <v>1292</v>
      </c>
      <c r="FU288" t="s">
        <v>4615</v>
      </c>
      <c r="FV288" t="s">
        <v>2071</v>
      </c>
      <c r="FW288" t="s">
        <v>2286</v>
      </c>
      <c r="FX288" t="s">
        <v>1008</v>
      </c>
      <c r="FZ288" t="s">
        <v>1018</v>
      </c>
      <c r="GA288" t="s">
        <v>402</v>
      </c>
      <c r="GB288" t="s">
        <v>5825</v>
      </c>
      <c r="GC288" t="s">
        <v>3883</v>
      </c>
      <c r="GD288" t="s">
        <v>2124</v>
      </c>
      <c r="GE288">
        <v>1</v>
      </c>
      <c r="GR288" t="s">
        <v>5825</v>
      </c>
      <c r="GS288" t="s">
        <v>5825</v>
      </c>
      <c r="GT288" t="s">
        <v>3883</v>
      </c>
      <c r="GU288" t="s">
        <v>3883</v>
      </c>
      <c r="GV288" t="s">
        <v>2124</v>
      </c>
      <c r="GW288" t="s">
        <v>2124</v>
      </c>
      <c r="GY288" t="s">
        <v>5832</v>
      </c>
      <c r="HA288" t="s">
        <v>5833</v>
      </c>
      <c r="HC288" t="s">
        <v>2286</v>
      </c>
      <c r="HH288" t="s">
        <v>402</v>
      </c>
      <c r="JY288" t="s">
        <v>5825</v>
      </c>
      <c r="JZ288" t="s">
        <v>3883</v>
      </c>
      <c r="KA288" t="s">
        <v>2124</v>
      </c>
    </row>
    <row r="289" spans="1:287" x14ac:dyDescent="0.25">
      <c r="A289" t="s">
        <v>5842</v>
      </c>
      <c r="B289" t="str">
        <f>"801542769512"</f>
        <v>801542769512</v>
      </c>
      <c r="C289" t="s">
        <v>5843</v>
      </c>
      <c r="D289" t="s">
        <v>3784</v>
      </c>
      <c r="E289" t="s">
        <v>1319</v>
      </c>
      <c r="F289" t="s">
        <v>1320</v>
      </c>
      <c r="G289" t="str">
        <f>"70"</f>
        <v>70</v>
      </c>
      <c r="H289" t="str">
        <f>"27"</f>
        <v>27</v>
      </c>
      <c r="I289" t="str">
        <f t="shared" si="81"/>
        <v>30</v>
      </c>
      <c r="J289" t="str">
        <f>"146.61"</f>
        <v>146.61</v>
      </c>
      <c r="K289" t="s">
        <v>3785</v>
      </c>
      <c r="L289" t="s">
        <v>3786</v>
      </c>
      <c r="N289" t="s">
        <v>3787</v>
      </c>
      <c r="O289" t="s">
        <v>416</v>
      </c>
      <c r="T289" t="s">
        <v>373</v>
      </c>
      <c r="U289" t="s">
        <v>373</v>
      </c>
      <c r="V289" t="s">
        <v>5844</v>
      </c>
      <c r="W289" t="s">
        <v>5845</v>
      </c>
      <c r="X289" t="s">
        <v>5846</v>
      </c>
      <c r="Y289" t="s">
        <v>5847</v>
      </c>
      <c r="Z289" t="s">
        <v>5848</v>
      </c>
      <c r="AA289" t="s">
        <v>5849</v>
      </c>
      <c r="AB289" t="s">
        <v>5850</v>
      </c>
      <c r="AC289" t="s">
        <v>5851</v>
      </c>
      <c r="AD289" t="s">
        <v>3796</v>
      </c>
      <c r="AE289" t="s">
        <v>5852</v>
      </c>
      <c r="AF289" t="s">
        <v>5853</v>
      </c>
      <c r="AG289" t="s">
        <v>5854</v>
      </c>
      <c r="AH289" t="s">
        <v>5855</v>
      </c>
      <c r="AI289" t="s">
        <v>5856</v>
      </c>
      <c r="AJ289" t="s">
        <v>5857</v>
      </c>
      <c r="AK289" t="s">
        <v>5858</v>
      </c>
      <c r="AL289" t="s">
        <v>5859</v>
      </c>
      <c r="BA289" t="str">
        <f>"1899"</f>
        <v>1899</v>
      </c>
      <c r="BB289" t="str">
        <f>"800"</f>
        <v>800</v>
      </c>
      <c r="BC289" t="s">
        <v>1149</v>
      </c>
      <c r="BD289" t="str">
        <f t="shared" si="80"/>
        <v>1</v>
      </c>
      <c r="BE289" t="s">
        <v>389</v>
      </c>
      <c r="BF289" t="str">
        <f>"74.02"</f>
        <v>74.02</v>
      </c>
      <c r="BG289" t="str">
        <f>"30.31"</f>
        <v>30.31</v>
      </c>
      <c r="BH289" t="str">
        <f t="shared" si="82"/>
        <v>33.27</v>
      </c>
      <c r="BI289" t="str">
        <f>"181.88"</f>
        <v>181.88</v>
      </c>
      <c r="BY289" t="str">
        <f>"43.19"</f>
        <v>43.19</v>
      </c>
      <c r="BZ289" t="str">
        <f>"1.223"</f>
        <v>1.223</v>
      </c>
      <c r="CA289" t="s">
        <v>431</v>
      </c>
      <c r="CB289" t="s">
        <v>5825</v>
      </c>
      <c r="CC289" t="s">
        <v>1348</v>
      </c>
      <c r="CD289" t="s">
        <v>2124</v>
      </c>
      <c r="CE289" t="s">
        <v>5826</v>
      </c>
      <c r="CF289" t="s">
        <v>5827</v>
      </c>
      <c r="CG289" t="s">
        <v>2124</v>
      </c>
      <c r="CR289" t="s">
        <v>3806</v>
      </c>
      <c r="CS289">
        <v>4</v>
      </c>
      <c r="CT289" t="s">
        <v>1008</v>
      </c>
      <c r="CV289">
        <v>2</v>
      </c>
      <c r="CW289" t="s">
        <v>402</v>
      </c>
      <c r="CX289" t="s">
        <v>1018</v>
      </c>
      <c r="CY289" t="s">
        <v>954</v>
      </c>
      <c r="DC289">
        <v>1</v>
      </c>
      <c r="DJ289" t="s">
        <v>1345</v>
      </c>
      <c r="DK289" t="s">
        <v>3807</v>
      </c>
      <c r="DM289" t="s">
        <v>473</v>
      </c>
      <c r="DX289" t="s">
        <v>5828</v>
      </c>
      <c r="DY289" t="s">
        <v>5829</v>
      </c>
      <c r="DZ289" t="s">
        <v>5830</v>
      </c>
      <c r="EI289" t="s">
        <v>5831</v>
      </c>
      <c r="EJ289" t="s">
        <v>1015</v>
      </c>
      <c r="EK289" t="s">
        <v>823</v>
      </c>
      <c r="EL289" t="s">
        <v>1348</v>
      </c>
      <c r="EM289" t="s">
        <v>402</v>
      </c>
      <c r="EN289">
        <v>5</v>
      </c>
      <c r="EW289" t="s">
        <v>2127</v>
      </c>
      <c r="EZ289" t="s">
        <v>5827</v>
      </c>
      <c r="FA289" t="s">
        <v>1348</v>
      </c>
      <c r="FB289" t="s">
        <v>2124</v>
      </c>
      <c r="FC289" t="s">
        <v>5826</v>
      </c>
      <c r="FD289" t="s">
        <v>1348</v>
      </c>
      <c r="FE289" t="s">
        <v>2124</v>
      </c>
      <c r="FG289" t="s">
        <v>402</v>
      </c>
      <c r="FH289" t="s">
        <v>959</v>
      </c>
      <c r="FI289">
        <v>1</v>
      </c>
      <c r="FJ289" t="s">
        <v>960</v>
      </c>
      <c r="FK289" t="s">
        <v>1246</v>
      </c>
      <c r="FM289" t="s">
        <v>402</v>
      </c>
      <c r="FO289" t="s">
        <v>984</v>
      </c>
      <c r="FR289" t="s">
        <v>5832</v>
      </c>
      <c r="FS289" t="s">
        <v>5832</v>
      </c>
      <c r="FT289" t="s">
        <v>1292</v>
      </c>
      <c r="FU289" t="s">
        <v>4615</v>
      </c>
      <c r="FV289" t="s">
        <v>2071</v>
      </c>
      <c r="FW289" t="s">
        <v>2286</v>
      </c>
      <c r="FX289" t="s">
        <v>1008</v>
      </c>
      <c r="FZ289" t="s">
        <v>1018</v>
      </c>
      <c r="GA289" t="s">
        <v>402</v>
      </c>
      <c r="GB289" t="s">
        <v>5825</v>
      </c>
      <c r="GC289" t="s">
        <v>3883</v>
      </c>
      <c r="GD289" t="s">
        <v>2124</v>
      </c>
      <c r="GE289">
        <v>1</v>
      </c>
      <c r="GR289" t="s">
        <v>5825</v>
      </c>
      <c r="GS289" t="s">
        <v>5825</v>
      </c>
      <c r="GT289" t="s">
        <v>3883</v>
      </c>
      <c r="GU289" t="s">
        <v>3883</v>
      </c>
      <c r="GV289" t="s">
        <v>2124</v>
      </c>
      <c r="GW289" t="s">
        <v>2124</v>
      </c>
      <c r="GY289" t="s">
        <v>5832</v>
      </c>
      <c r="HA289" t="s">
        <v>5833</v>
      </c>
      <c r="HC289" t="s">
        <v>2286</v>
      </c>
      <c r="HH289" t="s">
        <v>402</v>
      </c>
      <c r="JY289" t="s">
        <v>5825</v>
      </c>
      <c r="JZ289" t="s">
        <v>3883</v>
      </c>
      <c r="KA289" t="s">
        <v>2124</v>
      </c>
    </row>
    <row r="290" spans="1:287" x14ac:dyDescent="0.25">
      <c r="A290" t="s">
        <v>5860</v>
      </c>
      <c r="B290" t="str">
        <f>"801542622671"</f>
        <v>801542622671</v>
      </c>
      <c r="C290" t="s">
        <v>5861</v>
      </c>
      <c r="D290" t="s">
        <v>3784</v>
      </c>
      <c r="E290" t="s">
        <v>4074</v>
      </c>
      <c r="G290" t="str">
        <f>"55"</f>
        <v>55</v>
      </c>
      <c r="H290" t="str">
        <f>"15"</f>
        <v>15</v>
      </c>
      <c r="I290" t="str">
        <f t="shared" si="81"/>
        <v>30</v>
      </c>
      <c r="J290" t="str">
        <f>"62.83"</f>
        <v>62.83</v>
      </c>
      <c r="K290" t="s">
        <v>3814</v>
      </c>
      <c r="L290" t="s">
        <v>3862</v>
      </c>
      <c r="M290" t="s">
        <v>3861</v>
      </c>
      <c r="N290" t="s">
        <v>555</v>
      </c>
      <c r="O290" t="s">
        <v>416</v>
      </c>
      <c r="P290" t="s">
        <v>3787</v>
      </c>
      <c r="T290" t="s">
        <v>373</v>
      </c>
      <c r="U290" t="s">
        <v>373</v>
      </c>
      <c r="V290" t="s">
        <v>5862</v>
      </c>
      <c r="W290" t="s">
        <v>5863</v>
      </c>
      <c r="X290" t="s">
        <v>5864</v>
      </c>
      <c r="Y290" t="s">
        <v>5865</v>
      </c>
      <c r="Z290" t="s">
        <v>5866</v>
      </c>
      <c r="AA290" t="s">
        <v>5867</v>
      </c>
      <c r="AB290" t="s">
        <v>5868</v>
      </c>
      <c r="AC290" t="s">
        <v>5869</v>
      </c>
      <c r="AD290" t="s">
        <v>5870</v>
      </c>
      <c r="AE290" t="s">
        <v>5871</v>
      </c>
      <c r="AF290" t="s">
        <v>5872</v>
      </c>
      <c r="AG290" t="s">
        <v>5873</v>
      </c>
      <c r="AH290" t="s">
        <v>5874</v>
      </c>
      <c r="AI290" t="s">
        <v>5875</v>
      </c>
      <c r="AJ290" t="s">
        <v>5876</v>
      </c>
      <c r="BA290" t="str">
        <f>"999"</f>
        <v>999</v>
      </c>
      <c r="BB290" t="str">
        <f>"420"</f>
        <v>420</v>
      </c>
      <c r="BC290" t="s">
        <v>1149</v>
      </c>
      <c r="BD290" t="str">
        <f t="shared" si="80"/>
        <v>1</v>
      </c>
      <c r="BE290" t="s">
        <v>389</v>
      </c>
      <c r="BF290" t="str">
        <f>"59.84"</f>
        <v>59.84</v>
      </c>
      <c r="BG290" t="str">
        <f>"19.29"</f>
        <v>19.29</v>
      </c>
      <c r="BH290" t="str">
        <f t="shared" si="82"/>
        <v>33.27</v>
      </c>
      <c r="BI290" t="str">
        <f>"78.26"</f>
        <v>78.26</v>
      </c>
      <c r="BY290" t="str">
        <f>"22.21"</f>
        <v>22.21</v>
      </c>
      <c r="BZ290" t="str">
        <f>"0.629"</f>
        <v>0.629</v>
      </c>
      <c r="CA290" t="s">
        <v>390</v>
      </c>
      <c r="CE290" t="s">
        <v>3319</v>
      </c>
      <c r="CF290" t="s">
        <v>542</v>
      </c>
      <c r="CG290" t="s">
        <v>5877</v>
      </c>
      <c r="CR290" t="s">
        <v>3806</v>
      </c>
      <c r="CS290">
        <v>2</v>
      </c>
      <c r="CT290" t="s">
        <v>1008</v>
      </c>
      <c r="CV290">
        <v>0</v>
      </c>
      <c r="CX290" t="s">
        <v>1018</v>
      </c>
      <c r="CY290" t="s">
        <v>1009</v>
      </c>
      <c r="DC290">
        <v>0</v>
      </c>
      <c r="DJ290" t="s">
        <v>408</v>
      </c>
      <c r="DK290" t="s">
        <v>3807</v>
      </c>
      <c r="DM290" t="s">
        <v>473</v>
      </c>
      <c r="DX290" t="s">
        <v>2510</v>
      </c>
      <c r="DY290" t="s">
        <v>5878</v>
      </c>
      <c r="DZ290" t="s">
        <v>5879</v>
      </c>
      <c r="EI290" t="s">
        <v>979</v>
      </c>
      <c r="EJ290" t="s">
        <v>5880</v>
      </c>
      <c r="EK290" t="s">
        <v>2807</v>
      </c>
      <c r="EL290" t="s">
        <v>1348</v>
      </c>
      <c r="EM290" t="s">
        <v>402</v>
      </c>
      <c r="EN290">
        <v>1</v>
      </c>
      <c r="EO290">
        <v>0</v>
      </c>
      <c r="FI290">
        <v>0</v>
      </c>
      <c r="FJ290" t="s">
        <v>1012</v>
      </c>
      <c r="FR290" t="s">
        <v>394</v>
      </c>
      <c r="FT290" t="s">
        <v>5881</v>
      </c>
      <c r="FV290" t="s">
        <v>5882</v>
      </c>
      <c r="FX290" t="s">
        <v>1008</v>
      </c>
      <c r="FZ290" t="s">
        <v>1018</v>
      </c>
      <c r="GA290" t="s">
        <v>402</v>
      </c>
    </row>
    <row r="291" spans="1:287" x14ac:dyDescent="0.25">
      <c r="A291" t="s">
        <v>5883</v>
      </c>
      <c r="B291" t="str">
        <f>"801542624224"</f>
        <v>801542624224</v>
      </c>
      <c r="C291" t="s">
        <v>5861</v>
      </c>
      <c r="D291" t="s">
        <v>3784</v>
      </c>
      <c r="E291" t="s">
        <v>4074</v>
      </c>
      <c r="G291" t="str">
        <f>"55"</f>
        <v>55</v>
      </c>
      <c r="H291" t="str">
        <f>"15"</f>
        <v>15</v>
      </c>
      <c r="I291" t="str">
        <f t="shared" si="81"/>
        <v>30</v>
      </c>
      <c r="J291" t="str">
        <f>"62.83"</f>
        <v>62.83</v>
      </c>
      <c r="K291" t="s">
        <v>3814</v>
      </c>
      <c r="L291" t="s">
        <v>3786</v>
      </c>
      <c r="M291" t="s">
        <v>3886</v>
      </c>
      <c r="N291" t="s">
        <v>555</v>
      </c>
      <c r="O291" t="s">
        <v>416</v>
      </c>
      <c r="P291" t="s">
        <v>3787</v>
      </c>
      <c r="T291" t="s">
        <v>373</v>
      </c>
      <c r="U291" t="s">
        <v>373</v>
      </c>
      <c r="V291" t="s">
        <v>5884</v>
      </c>
      <c r="W291" t="s">
        <v>5885</v>
      </c>
      <c r="X291" t="s">
        <v>5886</v>
      </c>
      <c r="Y291" t="s">
        <v>5887</v>
      </c>
      <c r="Z291" t="s">
        <v>5888</v>
      </c>
      <c r="AA291" t="s">
        <v>5889</v>
      </c>
      <c r="AB291" t="s">
        <v>5890</v>
      </c>
      <c r="AC291" t="s">
        <v>5891</v>
      </c>
      <c r="AD291" t="s">
        <v>5892</v>
      </c>
      <c r="AE291" t="s">
        <v>5893</v>
      </c>
      <c r="AF291" t="s">
        <v>5894</v>
      </c>
      <c r="AG291" t="s">
        <v>5895</v>
      </c>
      <c r="AH291" t="s">
        <v>5896</v>
      </c>
      <c r="AI291" t="s">
        <v>5897</v>
      </c>
      <c r="AJ291" t="s">
        <v>5898</v>
      </c>
      <c r="BA291" t="str">
        <f>"999"</f>
        <v>999</v>
      </c>
      <c r="BB291" t="str">
        <f>"420"</f>
        <v>420</v>
      </c>
      <c r="BC291" t="s">
        <v>1149</v>
      </c>
      <c r="BD291" t="str">
        <f t="shared" si="80"/>
        <v>1</v>
      </c>
      <c r="BE291" t="s">
        <v>389</v>
      </c>
      <c r="BF291" t="str">
        <f>"59.84"</f>
        <v>59.84</v>
      </c>
      <c r="BG291" t="str">
        <f>"19.29"</f>
        <v>19.29</v>
      </c>
      <c r="BH291" t="str">
        <f t="shared" si="82"/>
        <v>33.27</v>
      </c>
      <c r="BI291" t="str">
        <f>"78.26"</f>
        <v>78.26</v>
      </c>
      <c r="BY291" t="str">
        <f>"22.21"</f>
        <v>22.21</v>
      </c>
      <c r="BZ291" t="str">
        <f>"0.629"</f>
        <v>0.629</v>
      </c>
      <c r="CA291" t="s">
        <v>390</v>
      </c>
      <c r="CE291" t="s">
        <v>3319</v>
      </c>
      <c r="CF291" t="s">
        <v>542</v>
      </c>
      <c r="CG291" t="s">
        <v>5877</v>
      </c>
      <c r="CR291" t="s">
        <v>3806</v>
      </c>
      <c r="CS291">
        <v>2</v>
      </c>
      <c r="CT291" t="s">
        <v>1008</v>
      </c>
      <c r="CV291">
        <v>0</v>
      </c>
      <c r="CX291" t="s">
        <v>1018</v>
      </c>
      <c r="CY291" t="s">
        <v>1009</v>
      </c>
      <c r="DC291">
        <v>0</v>
      </c>
      <c r="DJ291" t="s">
        <v>408</v>
      </c>
      <c r="DK291" t="s">
        <v>3807</v>
      </c>
      <c r="DM291" t="s">
        <v>473</v>
      </c>
      <c r="DX291" t="s">
        <v>2510</v>
      </c>
      <c r="DY291" t="s">
        <v>5878</v>
      </c>
      <c r="DZ291" t="s">
        <v>5879</v>
      </c>
      <c r="EI291" t="s">
        <v>979</v>
      </c>
      <c r="EJ291" t="s">
        <v>5880</v>
      </c>
      <c r="EK291" t="s">
        <v>2807</v>
      </c>
      <c r="EL291" t="s">
        <v>1348</v>
      </c>
      <c r="EM291" t="s">
        <v>402</v>
      </c>
      <c r="EN291">
        <v>1</v>
      </c>
      <c r="EO291">
        <v>0</v>
      </c>
      <c r="FI291">
        <v>0</v>
      </c>
      <c r="FJ291" t="s">
        <v>1012</v>
      </c>
      <c r="FR291" t="s">
        <v>394</v>
      </c>
      <c r="FT291" t="s">
        <v>5881</v>
      </c>
      <c r="FV291" t="s">
        <v>5882</v>
      </c>
      <c r="FX291" t="s">
        <v>1008</v>
      </c>
      <c r="FZ291" t="s">
        <v>1018</v>
      </c>
      <c r="GA291" t="s">
        <v>402</v>
      </c>
    </row>
    <row r="292" spans="1:287" x14ac:dyDescent="0.25">
      <c r="A292" t="s">
        <v>5899</v>
      </c>
      <c r="B292" t="str">
        <f>"801542763367"</f>
        <v>801542763367</v>
      </c>
      <c r="C292" t="s">
        <v>5861</v>
      </c>
      <c r="D292" t="s">
        <v>3784</v>
      </c>
      <c r="E292" t="s">
        <v>4074</v>
      </c>
      <c r="G292" t="str">
        <f>"55"</f>
        <v>55</v>
      </c>
      <c r="H292" t="str">
        <f>"15"</f>
        <v>15</v>
      </c>
      <c r="I292" t="str">
        <f t="shared" si="81"/>
        <v>30</v>
      </c>
      <c r="J292" t="str">
        <f>"62.83"</f>
        <v>62.83</v>
      </c>
      <c r="K292" t="s">
        <v>3814</v>
      </c>
      <c r="L292" t="s">
        <v>3786</v>
      </c>
      <c r="M292" t="s">
        <v>3785</v>
      </c>
      <c r="N292" t="s">
        <v>555</v>
      </c>
      <c r="O292" t="s">
        <v>416</v>
      </c>
      <c r="P292" t="s">
        <v>3787</v>
      </c>
      <c r="T292" t="s">
        <v>373</v>
      </c>
      <c r="U292" t="s">
        <v>373</v>
      </c>
      <c r="V292" t="s">
        <v>5900</v>
      </c>
      <c r="W292" t="s">
        <v>5901</v>
      </c>
      <c r="X292" t="s">
        <v>5902</v>
      </c>
      <c r="Y292" t="s">
        <v>5903</v>
      </c>
      <c r="Z292" t="s">
        <v>5904</v>
      </c>
      <c r="AA292" t="s">
        <v>5905</v>
      </c>
      <c r="AB292" t="s">
        <v>5906</v>
      </c>
      <c r="AC292" t="s">
        <v>5907</v>
      </c>
      <c r="AD292" t="s">
        <v>3796</v>
      </c>
      <c r="AE292" t="s">
        <v>5908</v>
      </c>
      <c r="AF292" t="s">
        <v>5909</v>
      </c>
      <c r="AG292" t="s">
        <v>5910</v>
      </c>
      <c r="AH292" t="s">
        <v>5911</v>
      </c>
      <c r="AI292" t="s">
        <v>5912</v>
      </c>
      <c r="AJ292" t="s">
        <v>5913</v>
      </c>
      <c r="AK292" t="s">
        <v>5914</v>
      </c>
      <c r="AL292" t="s">
        <v>5915</v>
      </c>
      <c r="BA292" t="str">
        <f>"999"</f>
        <v>999</v>
      </c>
      <c r="BB292" t="str">
        <f>"420"</f>
        <v>420</v>
      </c>
      <c r="BC292" t="s">
        <v>1149</v>
      </c>
      <c r="BD292" t="str">
        <f t="shared" si="80"/>
        <v>1</v>
      </c>
      <c r="BE292" t="s">
        <v>389</v>
      </c>
      <c r="BF292" t="str">
        <f>"59.84"</f>
        <v>59.84</v>
      </c>
      <c r="BG292" t="str">
        <f>"19.29"</f>
        <v>19.29</v>
      </c>
      <c r="BH292" t="str">
        <f t="shared" si="82"/>
        <v>33.27</v>
      </c>
      <c r="BI292" t="str">
        <f>"78.26"</f>
        <v>78.26</v>
      </c>
      <c r="BY292" t="str">
        <f>"22.21"</f>
        <v>22.21</v>
      </c>
      <c r="BZ292" t="str">
        <f>"0.629"</f>
        <v>0.629</v>
      </c>
      <c r="CA292" t="s">
        <v>390</v>
      </c>
      <c r="CE292" t="s">
        <v>3319</v>
      </c>
      <c r="CF292" t="s">
        <v>542</v>
      </c>
      <c r="CG292" t="s">
        <v>5877</v>
      </c>
      <c r="CR292" t="s">
        <v>3806</v>
      </c>
      <c r="CS292">
        <v>2</v>
      </c>
      <c r="CT292" t="s">
        <v>1008</v>
      </c>
      <c r="CV292">
        <v>0</v>
      </c>
      <c r="CX292" t="s">
        <v>1018</v>
      </c>
      <c r="CY292" t="s">
        <v>1009</v>
      </c>
      <c r="DC292">
        <v>0</v>
      </c>
      <c r="DJ292" t="s">
        <v>408</v>
      </c>
      <c r="DK292" t="s">
        <v>3807</v>
      </c>
      <c r="DM292" t="s">
        <v>473</v>
      </c>
      <c r="DX292" t="s">
        <v>2510</v>
      </c>
      <c r="DY292" t="s">
        <v>5878</v>
      </c>
      <c r="DZ292" t="s">
        <v>5879</v>
      </c>
      <c r="EI292" t="s">
        <v>979</v>
      </c>
      <c r="EJ292" t="s">
        <v>5880</v>
      </c>
      <c r="EK292" t="s">
        <v>2807</v>
      </c>
      <c r="EL292" t="s">
        <v>1348</v>
      </c>
      <c r="EM292" t="s">
        <v>402</v>
      </c>
      <c r="EN292">
        <v>1</v>
      </c>
      <c r="EO292">
        <v>0</v>
      </c>
      <c r="FI292">
        <v>0</v>
      </c>
      <c r="FJ292" t="s">
        <v>1012</v>
      </c>
      <c r="FR292" t="s">
        <v>394</v>
      </c>
      <c r="FT292" t="s">
        <v>5881</v>
      </c>
      <c r="FV292" t="s">
        <v>5882</v>
      </c>
      <c r="FX292" t="s">
        <v>1008</v>
      </c>
      <c r="FZ292" t="s">
        <v>1018</v>
      </c>
      <c r="GA292" t="s">
        <v>402</v>
      </c>
    </row>
    <row r="293" spans="1:287" x14ac:dyDescent="0.25">
      <c r="A293" t="s">
        <v>5916</v>
      </c>
      <c r="B293" t="str">
        <f>"801542623043"</f>
        <v>801542623043</v>
      </c>
      <c r="C293" t="s">
        <v>5917</v>
      </c>
      <c r="D293" t="s">
        <v>3784</v>
      </c>
      <c r="E293" t="s">
        <v>3813</v>
      </c>
      <c r="G293" t="str">
        <f>"35"</f>
        <v>35</v>
      </c>
      <c r="H293" t="str">
        <f>"17"</f>
        <v>17</v>
      </c>
      <c r="I293" t="str">
        <f>"83"</f>
        <v>83</v>
      </c>
      <c r="J293" t="str">
        <f>"125.66"</f>
        <v>125.66</v>
      </c>
      <c r="K293" t="s">
        <v>3861</v>
      </c>
      <c r="L293" t="s">
        <v>3862</v>
      </c>
      <c r="N293" t="s">
        <v>3787</v>
      </c>
      <c r="O293" t="s">
        <v>416</v>
      </c>
      <c r="T293" t="s">
        <v>373</v>
      </c>
      <c r="U293" t="s">
        <v>373</v>
      </c>
      <c r="V293" t="s">
        <v>5918</v>
      </c>
      <c r="W293" t="s">
        <v>5919</v>
      </c>
      <c r="X293" t="s">
        <v>5920</v>
      </c>
      <c r="Y293" t="s">
        <v>5921</v>
      </c>
      <c r="Z293" t="s">
        <v>5922</v>
      </c>
      <c r="AA293" t="s">
        <v>5923</v>
      </c>
      <c r="AB293" t="s">
        <v>5924</v>
      </c>
      <c r="AC293" t="s">
        <v>5925</v>
      </c>
      <c r="AD293" t="s">
        <v>5926</v>
      </c>
      <c r="AE293" t="s">
        <v>5927</v>
      </c>
      <c r="AF293" t="s">
        <v>5928</v>
      </c>
      <c r="AG293" t="s">
        <v>5929</v>
      </c>
      <c r="AH293" t="s">
        <v>5930</v>
      </c>
      <c r="AI293" t="s">
        <v>5931</v>
      </c>
      <c r="AJ293" t="s">
        <v>5932</v>
      </c>
      <c r="BA293" t="str">
        <f>"1899"</f>
        <v>1899</v>
      </c>
      <c r="BB293" t="str">
        <f>"800"</f>
        <v>800</v>
      </c>
      <c r="BC293" t="s">
        <v>1149</v>
      </c>
      <c r="BD293" t="str">
        <f t="shared" si="80"/>
        <v>1</v>
      </c>
      <c r="BE293" t="s">
        <v>389</v>
      </c>
      <c r="BF293" t="str">
        <f>"40.75"</f>
        <v>40.75</v>
      </c>
      <c r="BG293" t="str">
        <f>"21.26"</f>
        <v>21.26</v>
      </c>
      <c r="BH293" t="str">
        <f>"90.35"</f>
        <v>90.35</v>
      </c>
      <c r="BI293" t="str">
        <f>"186.29"</f>
        <v>186.29</v>
      </c>
      <c r="BY293" t="str">
        <f>"45.31"</f>
        <v>45.31</v>
      </c>
      <c r="BZ293" t="str">
        <f>"1.283"</f>
        <v>1.283</v>
      </c>
      <c r="CA293" t="s">
        <v>431</v>
      </c>
      <c r="CB293" t="s">
        <v>391</v>
      </c>
      <c r="CC293" t="s">
        <v>1348</v>
      </c>
      <c r="CD293" t="s">
        <v>541</v>
      </c>
      <c r="CE293" t="s">
        <v>453</v>
      </c>
      <c r="CF293" t="s">
        <v>3252</v>
      </c>
      <c r="CG293" t="s">
        <v>5933</v>
      </c>
      <c r="CR293" t="s">
        <v>400</v>
      </c>
      <c r="CS293">
        <v>0</v>
      </c>
      <c r="CT293" t="s">
        <v>400</v>
      </c>
      <c r="CV293">
        <v>3</v>
      </c>
      <c r="CW293" t="s">
        <v>402</v>
      </c>
      <c r="CX293" t="s">
        <v>1018</v>
      </c>
      <c r="CY293" t="s">
        <v>954</v>
      </c>
      <c r="DA293">
        <v>18.14</v>
      </c>
      <c r="DB293">
        <v>40</v>
      </c>
      <c r="DC293">
        <v>1</v>
      </c>
      <c r="DJ293" t="s">
        <v>982</v>
      </c>
      <c r="DK293" t="s">
        <v>3807</v>
      </c>
      <c r="DX293" t="s">
        <v>1290</v>
      </c>
      <c r="EM293" t="s">
        <v>402</v>
      </c>
      <c r="EN293">
        <v>5</v>
      </c>
      <c r="EZ293" t="s">
        <v>5934</v>
      </c>
      <c r="FA293" t="s">
        <v>1348</v>
      </c>
      <c r="FB293" t="s">
        <v>1416</v>
      </c>
      <c r="FC293" t="s">
        <v>453</v>
      </c>
      <c r="FD293" t="s">
        <v>1348</v>
      </c>
      <c r="FE293" t="s">
        <v>4674</v>
      </c>
      <c r="FG293" t="s">
        <v>402</v>
      </c>
      <c r="FI293">
        <v>2</v>
      </c>
      <c r="FJ293" t="s">
        <v>960</v>
      </c>
      <c r="FK293" t="s">
        <v>1246</v>
      </c>
      <c r="FM293" t="s">
        <v>402</v>
      </c>
      <c r="FO293" t="s">
        <v>984</v>
      </c>
      <c r="GB293" t="s">
        <v>391</v>
      </c>
      <c r="GC293" t="s">
        <v>540</v>
      </c>
      <c r="GD293" t="s">
        <v>5935</v>
      </c>
      <c r="GR293" t="s">
        <v>391</v>
      </c>
      <c r="GS293" t="s">
        <v>391</v>
      </c>
      <c r="GT293" t="s">
        <v>748</v>
      </c>
      <c r="GU293" t="s">
        <v>5936</v>
      </c>
      <c r="GV293" t="s">
        <v>5935</v>
      </c>
      <c r="GW293" t="s">
        <v>5935</v>
      </c>
      <c r="JY293" t="s">
        <v>391</v>
      </c>
      <c r="JZ293" t="s">
        <v>5937</v>
      </c>
      <c r="KA293" t="s">
        <v>5935</v>
      </c>
    </row>
    <row r="294" spans="1:287" x14ac:dyDescent="0.25">
      <c r="A294" t="s">
        <v>5938</v>
      </c>
      <c r="B294" t="str">
        <f>"801542623050"</f>
        <v>801542623050</v>
      </c>
      <c r="C294" t="s">
        <v>5939</v>
      </c>
      <c r="D294" t="s">
        <v>3784</v>
      </c>
      <c r="E294" t="s">
        <v>3813</v>
      </c>
      <c r="G294" t="str">
        <f>"35"</f>
        <v>35</v>
      </c>
      <c r="H294" t="str">
        <f>"17"</f>
        <v>17</v>
      </c>
      <c r="I294" t="str">
        <f>"83"</f>
        <v>83</v>
      </c>
      <c r="J294" t="str">
        <f>"125.66"</f>
        <v>125.66</v>
      </c>
      <c r="K294" t="s">
        <v>3886</v>
      </c>
      <c r="L294" t="s">
        <v>3786</v>
      </c>
      <c r="N294" t="s">
        <v>3787</v>
      </c>
      <c r="O294" t="s">
        <v>416</v>
      </c>
      <c r="T294" t="s">
        <v>373</v>
      </c>
      <c r="U294" t="s">
        <v>373</v>
      </c>
      <c r="V294" t="s">
        <v>5940</v>
      </c>
      <c r="W294" t="s">
        <v>5941</v>
      </c>
      <c r="X294" t="s">
        <v>5942</v>
      </c>
      <c r="Y294" t="s">
        <v>5943</v>
      </c>
      <c r="Z294" t="s">
        <v>5944</v>
      </c>
      <c r="AA294" t="s">
        <v>5945</v>
      </c>
      <c r="AB294" t="s">
        <v>5946</v>
      </c>
      <c r="AC294" t="s">
        <v>5947</v>
      </c>
      <c r="AD294" t="s">
        <v>5948</v>
      </c>
      <c r="AE294" t="s">
        <v>5949</v>
      </c>
      <c r="AF294" t="s">
        <v>5950</v>
      </c>
      <c r="AG294" t="s">
        <v>5951</v>
      </c>
      <c r="AH294" t="s">
        <v>5952</v>
      </c>
      <c r="AI294" t="s">
        <v>5953</v>
      </c>
      <c r="AJ294" t="s">
        <v>5954</v>
      </c>
      <c r="AK294" t="s">
        <v>5955</v>
      </c>
      <c r="BA294" t="str">
        <f>"1899"</f>
        <v>1899</v>
      </c>
      <c r="BB294" t="str">
        <f>"800"</f>
        <v>800</v>
      </c>
      <c r="BC294" t="s">
        <v>1149</v>
      </c>
      <c r="BD294" t="str">
        <f t="shared" si="80"/>
        <v>1</v>
      </c>
      <c r="BE294" t="s">
        <v>389</v>
      </c>
      <c r="BF294" t="str">
        <f>"40.75"</f>
        <v>40.75</v>
      </c>
      <c r="BG294" t="str">
        <f>"21.26"</f>
        <v>21.26</v>
      </c>
      <c r="BH294" t="str">
        <f>"90.35"</f>
        <v>90.35</v>
      </c>
      <c r="BI294" t="str">
        <f>"186.29"</f>
        <v>186.29</v>
      </c>
      <c r="BY294" t="str">
        <f>"45.31"</f>
        <v>45.31</v>
      </c>
      <c r="BZ294" t="str">
        <f>"1.283"</f>
        <v>1.283</v>
      </c>
      <c r="CA294" t="s">
        <v>431</v>
      </c>
      <c r="CB294" t="s">
        <v>391</v>
      </c>
      <c r="CC294" t="s">
        <v>1348</v>
      </c>
      <c r="CD294" t="s">
        <v>541</v>
      </c>
      <c r="CE294" t="s">
        <v>453</v>
      </c>
      <c r="CF294" t="s">
        <v>3252</v>
      </c>
      <c r="CG294" t="s">
        <v>5933</v>
      </c>
      <c r="CR294" t="s">
        <v>400</v>
      </c>
      <c r="CS294">
        <v>0</v>
      </c>
      <c r="CT294" t="s">
        <v>400</v>
      </c>
      <c r="CV294">
        <v>3</v>
      </c>
      <c r="CW294" t="s">
        <v>402</v>
      </c>
      <c r="CX294" t="s">
        <v>1018</v>
      </c>
      <c r="CY294" t="s">
        <v>954</v>
      </c>
      <c r="DA294">
        <v>18.14</v>
      </c>
      <c r="DB294">
        <v>40</v>
      </c>
      <c r="DC294">
        <v>1</v>
      </c>
      <c r="DJ294" t="s">
        <v>982</v>
      </c>
      <c r="DK294" t="s">
        <v>3807</v>
      </c>
      <c r="DX294" t="s">
        <v>1290</v>
      </c>
      <c r="EM294" t="s">
        <v>402</v>
      </c>
      <c r="EN294">
        <v>5</v>
      </c>
      <c r="EZ294" t="s">
        <v>5934</v>
      </c>
      <c r="FA294" t="s">
        <v>1348</v>
      </c>
      <c r="FB294" t="s">
        <v>1416</v>
      </c>
      <c r="FC294" t="s">
        <v>453</v>
      </c>
      <c r="FD294" t="s">
        <v>1348</v>
      </c>
      <c r="FE294" t="s">
        <v>4674</v>
      </c>
      <c r="FG294" t="s">
        <v>402</v>
      </c>
      <c r="FI294">
        <v>2</v>
      </c>
      <c r="FJ294" t="s">
        <v>960</v>
      </c>
      <c r="FK294" t="s">
        <v>1246</v>
      </c>
      <c r="FM294" t="s">
        <v>402</v>
      </c>
      <c r="FO294" t="s">
        <v>984</v>
      </c>
      <c r="GB294" t="s">
        <v>391</v>
      </c>
      <c r="GC294" t="s">
        <v>540</v>
      </c>
      <c r="GD294" t="s">
        <v>5935</v>
      </c>
      <c r="GR294" t="s">
        <v>391</v>
      </c>
      <c r="GS294" t="s">
        <v>391</v>
      </c>
      <c r="GT294" t="s">
        <v>748</v>
      </c>
      <c r="GU294" t="s">
        <v>5936</v>
      </c>
      <c r="GV294" t="s">
        <v>5935</v>
      </c>
      <c r="GW294" t="s">
        <v>5935</v>
      </c>
      <c r="JY294" t="s">
        <v>391</v>
      </c>
      <c r="JZ294" t="s">
        <v>5937</v>
      </c>
      <c r="KA294" t="s">
        <v>5935</v>
      </c>
    </row>
    <row r="295" spans="1:287" x14ac:dyDescent="0.25">
      <c r="A295" t="s">
        <v>5956</v>
      </c>
      <c r="B295" t="str">
        <f>"801542763398"</f>
        <v>801542763398</v>
      </c>
      <c r="C295" t="s">
        <v>5957</v>
      </c>
      <c r="D295" t="s">
        <v>3784</v>
      </c>
      <c r="E295" t="s">
        <v>3813</v>
      </c>
      <c r="G295" t="str">
        <f>"35"</f>
        <v>35</v>
      </c>
      <c r="H295" t="str">
        <f>"17"</f>
        <v>17</v>
      </c>
      <c r="I295" t="str">
        <f>"83"</f>
        <v>83</v>
      </c>
      <c r="J295" t="str">
        <f>"125.66"</f>
        <v>125.66</v>
      </c>
      <c r="K295" t="s">
        <v>3785</v>
      </c>
      <c r="L295" t="s">
        <v>3786</v>
      </c>
      <c r="N295" t="s">
        <v>3787</v>
      </c>
      <c r="O295" t="s">
        <v>416</v>
      </c>
      <c r="T295" t="s">
        <v>373</v>
      </c>
      <c r="U295" t="s">
        <v>373</v>
      </c>
      <c r="V295" t="s">
        <v>5958</v>
      </c>
      <c r="W295" t="s">
        <v>5959</v>
      </c>
      <c r="X295" t="s">
        <v>5960</v>
      </c>
      <c r="Y295" t="s">
        <v>5961</v>
      </c>
      <c r="Z295" t="s">
        <v>5962</v>
      </c>
      <c r="AA295" t="s">
        <v>5963</v>
      </c>
      <c r="AB295" t="s">
        <v>5964</v>
      </c>
      <c r="AC295" t="s">
        <v>3796</v>
      </c>
      <c r="AD295" t="s">
        <v>5965</v>
      </c>
      <c r="AE295" t="s">
        <v>5966</v>
      </c>
      <c r="AF295" t="s">
        <v>5967</v>
      </c>
      <c r="AG295" t="s">
        <v>5968</v>
      </c>
      <c r="AH295" t="s">
        <v>5969</v>
      </c>
      <c r="AI295" t="s">
        <v>5970</v>
      </c>
      <c r="AJ295" t="s">
        <v>5971</v>
      </c>
      <c r="AK295" t="s">
        <v>5972</v>
      </c>
      <c r="AL295" t="s">
        <v>5973</v>
      </c>
      <c r="BA295" t="str">
        <f>"1899"</f>
        <v>1899</v>
      </c>
      <c r="BB295" t="str">
        <f>"800"</f>
        <v>800</v>
      </c>
      <c r="BC295" t="s">
        <v>1149</v>
      </c>
      <c r="BD295" t="str">
        <f t="shared" si="80"/>
        <v>1</v>
      </c>
      <c r="BE295" t="s">
        <v>389</v>
      </c>
      <c r="BF295" t="str">
        <f>"40.75"</f>
        <v>40.75</v>
      </c>
      <c r="BG295" t="str">
        <f>"21.26"</f>
        <v>21.26</v>
      </c>
      <c r="BH295" t="str">
        <f>"90.35"</f>
        <v>90.35</v>
      </c>
      <c r="BI295" t="str">
        <f>"186.29"</f>
        <v>186.29</v>
      </c>
      <c r="BY295" t="str">
        <f>"45.31"</f>
        <v>45.31</v>
      </c>
      <c r="BZ295" t="str">
        <f>"1.283"</f>
        <v>1.283</v>
      </c>
      <c r="CA295" t="s">
        <v>431</v>
      </c>
      <c r="CB295" t="s">
        <v>391</v>
      </c>
      <c r="CC295" t="s">
        <v>1348</v>
      </c>
      <c r="CD295" t="s">
        <v>541</v>
      </c>
      <c r="CE295" t="s">
        <v>453</v>
      </c>
      <c r="CF295" t="s">
        <v>3252</v>
      </c>
      <c r="CG295" t="s">
        <v>5933</v>
      </c>
      <c r="CR295" t="s">
        <v>400</v>
      </c>
      <c r="CS295">
        <v>0</v>
      </c>
      <c r="CT295" t="s">
        <v>400</v>
      </c>
      <c r="CV295">
        <v>3</v>
      </c>
      <c r="CW295" t="s">
        <v>402</v>
      </c>
      <c r="CX295" t="s">
        <v>1018</v>
      </c>
      <c r="CY295" t="s">
        <v>954</v>
      </c>
      <c r="DA295">
        <v>18.14</v>
      </c>
      <c r="DB295">
        <v>40</v>
      </c>
      <c r="DC295">
        <v>1</v>
      </c>
      <c r="DJ295" t="s">
        <v>982</v>
      </c>
      <c r="DK295" t="s">
        <v>3807</v>
      </c>
      <c r="DX295" t="s">
        <v>1290</v>
      </c>
      <c r="EM295" t="s">
        <v>402</v>
      </c>
      <c r="EN295">
        <v>5</v>
      </c>
      <c r="EZ295" t="s">
        <v>5934</v>
      </c>
      <c r="FA295" t="s">
        <v>1348</v>
      </c>
      <c r="FB295" t="s">
        <v>1416</v>
      </c>
      <c r="FC295" t="s">
        <v>453</v>
      </c>
      <c r="FD295" t="s">
        <v>1348</v>
      </c>
      <c r="FE295" t="s">
        <v>4674</v>
      </c>
      <c r="FG295" t="s">
        <v>402</v>
      </c>
      <c r="FI295">
        <v>2</v>
      </c>
      <c r="FJ295" t="s">
        <v>960</v>
      </c>
      <c r="FK295" t="s">
        <v>1246</v>
      </c>
      <c r="FM295" t="s">
        <v>402</v>
      </c>
      <c r="FO295" t="s">
        <v>984</v>
      </c>
      <c r="GB295" t="s">
        <v>391</v>
      </c>
      <c r="GC295" t="s">
        <v>540</v>
      </c>
      <c r="GD295" t="s">
        <v>5935</v>
      </c>
      <c r="GR295" t="s">
        <v>391</v>
      </c>
      <c r="GS295" t="s">
        <v>391</v>
      </c>
      <c r="GT295" t="s">
        <v>748</v>
      </c>
      <c r="GU295" t="s">
        <v>5936</v>
      </c>
      <c r="GV295" t="s">
        <v>5935</v>
      </c>
      <c r="GW295" t="s">
        <v>5935</v>
      </c>
      <c r="JY295" t="s">
        <v>391</v>
      </c>
      <c r="JZ295" t="s">
        <v>5937</v>
      </c>
      <c r="KA295" t="s">
        <v>5935</v>
      </c>
    </row>
    <row r="296" spans="1:287" x14ac:dyDescent="0.25">
      <c r="A296" t="s">
        <v>5974</v>
      </c>
      <c r="B296" t="str">
        <f>"801542638528"</f>
        <v>801542638528</v>
      </c>
      <c r="C296" t="s">
        <v>5975</v>
      </c>
      <c r="D296" t="s">
        <v>1420</v>
      </c>
      <c r="E296" t="s">
        <v>988</v>
      </c>
      <c r="G296" t="str">
        <f>"60"</f>
        <v>60</v>
      </c>
      <c r="H296" t="str">
        <f>"18"</f>
        <v>18</v>
      </c>
      <c r="I296" t="str">
        <f>"35.75"</f>
        <v>35.75</v>
      </c>
      <c r="J296" t="str">
        <f>"196.21"</f>
        <v>196.21</v>
      </c>
      <c r="K296" t="s">
        <v>5976</v>
      </c>
      <c r="L296" t="s">
        <v>5977</v>
      </c>
      <c r="N296" t="s">
        <v>1970</v>
      </c>
      <c r="O296" t="s">
        <v>372</v>
      </c>
      <c r="T296" t="s">
        <v>373</v>
      </c>
      <c r="U296" t="s">
        <v>373</v>
      </c>
      <c r="V296" t="s">
        <v>5978</v>
      </c>
      <c r="W296" t="s">
        <v>5979</v>
      </c>
      <c r="X296" t="s">
        <v>5980</v>
      </c>
      <c r="Y296" t="s">
        <v>5981</v>
      </c>
      <c r="Z296" t="s">
        <v>5982</v>
      </c>
      <c r="AA296" t="s">
        <v>5983</v>
      </c>
      <c r="AB296" t="s">
        <v>5984</v>
      </c>
      <c r="AC296" t="s">
        <v>5985</v>
      </c>
      <c r="AD296" t="s">
        <v>5986</v>
      </c>
      <c r="AE296" t="s">
        <v>5987</v>
      </c>
      <c r="AF296" t="s">
        <v>5988</v>
      </c>
      <c r="AG296" t="s">
        <v>5989</v>
      </c>
      <c r="AH296" t="s">
        <v>5990</v>
      </c>
      <c r="AI296" t="s">
        <v>5991</v>
      </c>
      <c r="AJ296" t="s">
        <v>5992</v>
      </c>
      <c r="AK296" t="s">
        <v>5993</v>
      </c>
      <c r="BA296" t="str">
        <f>"2199"</f>
        <v>2199</v>
      </c>
      <c r="BB296" t="str">
        <f>"925"</f>
        <v>925</v>
      </c>
      <c r="BC296" t="s">
        <v>665</v>
      </c>
      <c r="BD296" t="str">
        <f>"2"</f>
        <v>2</v>
      </c>
      <c r="BE296" t="s">
        <v>5994</v>
      </c>
      <c r="BF296" t="str">
        <f>"63.58"</f>
        <v>63.58</v>
      </c>
      <c r="BG296" t="str">
        <f>"22.72"</f>
        <v>22.72</v>
      </c>
      <c r="BH296" t="str">
        <f>"5.71"</f>
        <v>5.71</v>
      </c>
      <c r="BI296" t="str">
        <f>"79.37"</f>
        <v>79.37</v>
      </c>
      <c r="BJ296" t="s">
        <v>5995</v>
      </c>
      <c r="BK296" t="str">
        <f>"63.39"</f>
        <v>63.39</v>
      </c>
      <c r="BL296" t="str">
        <f>"21.85"</f>
        <v>21.85</v>
      </c>
      <c r="BM296" t="str">
        <f>"36.61"</f>
        <v>36.61</v>
      </c>
      <c r="BN296" t="str">
        <f>"179.68"</f>
        <v>179.68</v>
      </c>
      <c r="BY296" t="str">
        <f>"34.11"</f>
        <v>34.11</v>
      </c>
      <c r="BZ296" t="str">
        <f>"0.966"</f>
        <v>0.966</v>
      </c>
      <c r="CA296" t="s">
        <v>495</v>
      </c>
      <c r="CR296" t="s">
        <v>3806</v>
      </c>
      <c r="CS296">
        <v>6</v>
      </c>
      <c r="CT296" t="s">
        <v>400</v>
      </c>
      <c r="CV296">
        <v>0</v>
      </c>
      <c r="CX296" t="s">
        <v>1980</v>
      </c>
      <c r="CY296" t="s">
        <v>1009</v>
      </c>
      <c r="DC296">
        <v>0</v>
      </c>
      <c r="DJ296" t="s">
        <v>1010</v>
      </c>
      <c r="DK296" t="s">
        <v>5996</v>
      </c>
      <c r="DM296" t="s">
        <v>473</v>
      </c>
      <c r="DX296" t="s">
        <v>446</v>
      </c>
      <c r="EM296" t="s">
        <v>402</v>
      </c>
      <c r="EN296">
        <v>0</v>
      </c>
      <c r="FI296">
        <v>0</v>
      </c>
      <c r="FJ296" t="s">
        <v>1012</v>
      </c>
      <c r="FR296" t="s">
        <v>4069</v>
      </c>
      <c r="FT296" t="s">
        <v>575</v>
      </c>
      <c r="FV296" t="s">
        <v>3078</v>
      </c>
      <c r="FX296" t="s">
        <v>1008</v>
      </c>
      <c r="FZ296" t="s">
        <v>1018</v>
      </c>
    </row>
    <row r="297" spans="1:287" x14ac:dyDescent="0.25">
      <c r="A297" t="s">
        <v>5997</v>
      </c>
      <c r="B297" t="str">
        <f>"801542578770"</f>
        <v>801542578770</v>
      </c>
      <c r="C297" t="s">
        <v>5998</v>
      </c>
      <c r="D297" t="s">
        <v>5999</v>
      </c>
      <c r="E297" t="s">
        <v>459</v>
      </c>
      <c r="G297" t="str">
        <f t="shared" ref="G297:H300" si="83">"10"</f>
        <v>10</v>
      </c>
      <c r="H297" t="str">
        <f t="shared" si="83"/>
        <v>10</v>
      </c>
      <c r="I297" t="str">
        <f>"18.75"</f>
        <v>18.75</v>
      </c>
      <c r="J297" t="str">
        <f>"29.1"</f>
        <v>29.1</v>
      </c>
      <c r="K297" t="s">
        <v>6000</v>
      </c>
      <c r="L297" t="s">
        <v>6001</v>
      </c>
      <c r="N297" t="s">
        <v>6002</v>
      </c>
      <c r="O297" t="s">
        <v>555</v>
      </c>
      <c r="T297" t="s">
        <v>402</v>
      </c>
      <c r="U297" t="s">
        <v>373</v>
      </c>
      <c r="V297" t="s">
        <v>6003</v>
      </c>
      <c r="W297" t="s">
        <v>6004</v>
      </c>
      <c r="X297" t="s">
        <v>6005</v>
      </c>
      <c r="Y297" t="s">
        <v>6006</v>
      </c>
      <c r="Z297" t="s">
        <v>6007</v>
      </c>
      <c r="AA297" t="s">
        <v>6008</v>
      </c>
      <c r="AB297" t="s">
        <v>6009</v>
      </c>
      <c r="AC297" t="s">
        <v>6010</v>
      </c>
      <c r="AD297" t="s">
        <v>6011</v>
      </c>
      <c r="AE297" t="s">
        <v>6012</v>
      </c>
      <c r="BA297" t="str">
        <f>"399"</f>
        <v>399</v>
      </c>
      <c r="BB297" t="str">
        <f>"170"</f>
        <v>170</v>
      </c>
      <c r="BC297" t="s">
        <v>949</v>
      </c>
      <c r="BD297" t="str">
        <f>"1"</f>
        <v>1</v>
      </c>
      <c r="BE297" t="s">
        <v>389</v>
      </c>
      <c r="BF297" t="str">
        <f>"22.5"</f>
        <v>22.5</v>
      </c>
      <c r="BG297" t="str">
        <f>"16.5"</f>
        <v>16.5</v>
      </c>
      <c r="BH297" t="str">
        <f>"17.5"</f>
        <v>17.5</v>
      </c>
      <c r="BI297" t="str">
        <f>"40.01"</f>
        <v>40.01</v>
      </c>
      <c r="BY297" t="str">
        <f>"3.74"</f>
        <v>3.74</v>
      </c>
      <c r="BZ297" t="str">
        <f>"0.106"</f>
        <v>0.106</v>
      </c>
      <c r="CA297" t="s">
        <v>431</v>
      </c>
      <c r="CR297" t="s">
        <v>400</v>
      </c>
      <c r="CS297">
        <v>0</v>
      </c>
      <c r="CT297" t="s">
        <v>400</v>
      </c>
      <c r="CV297">
        <v>0</v>
      </c>
      <c r="CY297" t="s">
        <v>400</v>
      </c>
      <c r="DC297">
        <v>0</v>
      </c>
      <c r="DJ297" t="s">
        <v>471</v>
      </c>
      <c r="DK297" t="s">
        <v>6013</v>
      </c>
      <c r="DM297" t="s">
        <v>473</v>
      </c>
      <c r="DX297" t="s">
        <v>957</v>
      </c>
      <c r="EI297" t="s">
        <v>6014</v>
      </c>
      <c r="EJ297" t="s">
        <v>450</v>
      </c>
      <c r="EK297" t="s">
        <v>6014</v>
      </c>
      <c r="EL297" t="s">
        <v>956</v>
      </c>
      <c r="EN297">
        <v>0</v>
      </c>
      <c r="EO297">
        <v>0</v>
      </c>
      <c r="EX297" t="s">
        <v>799</v>
      </c>
    </row>
    <row r="298" spans="1:287" x14ac:dyDescent="0.25">
      <c r="A298" t="s">
        <v>6015</v>
      </c>
      <c r="B298" t="str">
        <f>"801542029715"</f>
        <v>801542029715</v>
      </c>
      <c r="C298" t="s">
        <v>6016</v>
      </c>
      <c r="D298" t="s">
        <v>5999</v>
      </c>
      <c r="E298" t="s">
        <v>459</v>
      </c>
      <c r="G298" t="str">
        <f t="shared" si="83"/>
        <v>10</v>
      </c>
      <c r="H298" t="str">
        <f t="shared" si="83"/>
        <v>10</v>
      </c>
      <c r="I298" t="str">
        <f>"18.75"</f>
        <v>18.75</v>
      </c>
      <c r="J298" t="str">
        <f>"29.1"</f>
        <v>29.1</v>
      </c>
      <c r="K298" t="s">
        <v>6017</v>
      </c>
      <c r="L298" t="s">
        <v>6001</v>
      </c>
      <c r="N298" t="s">
        <v>6002</v>
      </c>
      <c r="O298" t="s">
        <v>555</v>
      </c>
      <c r="T298" t="s">
        <v>373</v>
      </c>
      <c r="U298" t="s">
        <v>373</v>
      </c>
      <c r="V298" t="s">
        <v>6018</v>
      </c>
      <c r="W298" t="s">
        <v>6019</v>
      </c>
      <c r="X298" t="s">
        <v>6020</v>
      </c>
      <c r="Y298" t="s">
        <v>6021</v>
      </c>
      <c r="Z298" t="s">
        <v>6022</v>
      </c>
      <c r="AA298" t="s">
        <v>6023</v>
      </c>
      <c r="AB298" t="s">
        <v>6024</v>
      </c>
      <c r="AC298" t="s">
        <v>6025</v>
      </c>
      <c r="AD298" t="s">
        <v>6026</v>
      </c>
      <c r="BA298" t="str">
        <f>"399"</f>
        <v>399</v>
      </c>
      <c r="BB298" t="str">
        <f>"170"</f>
        <v>170</v>
      </c>
      <c r="BC298" t="s">
        <v>949</v>
      </c>
      <c r="BD298" t="str">
        <f>"1"</f>
        <v>1</v>
      </c>
      <c r="BE298" t="s">
        <v>389</v>
      </c>
      <c r="BF298" t="str">
        <f>"22.5"</f>
        <v>22.5</v>
      </c>
      <c r="BG298" t="str">
        <f>"16.5"</f>
        <v>16.5</v>
      </c>
      <c r="BH298" t="str">
        <f>"17.5"</f>
        <v>17.5</v>
      </c>
      <c r="BI298" t="str">
        <f>"40.01"</f>
        <v>40.01</v>
      </c>
      <c r="BY298" t="str">
        <f>"3.74"</f>
        <v>3.74</v>
      </c>
      <c r="BZ298" t="str">
        <f>"0.106"</f>
        <v>0.106</v>
      </c>
      <c r="CA298" t="s">
        <v>431</v>
      </c>
      <c r="CR298" t="s">
        <v>400</v>
      </c>
      <c r="CS298">
        <v>0</v>
      </c>
      <c r="CT298" t="s">
        <v>400</v>
      </c>
      <c r="CV298">
        <v>0</v>
      </c>
      <c r="CY298" t="s">
        <v>400</v>
      </c>
      <c r="DC298">
        <v>0</v>
      </c>
      <c r="DJ298" t="s">
        <v>471</v>
      </c>
      <c r="DK298" t="s">
        <v>6013</v>
      </c>
      <c r="DM298" t="s">
        <v>473</v>
      </c>
      <c r="DX298" t="s">
        <v>957</v>
      </c>
      <c r="EI298" t="s">
        <v>6014</v>
      </c>
      <c r="EJ298" t="s">
        <v>450</v>
      </c>
      <c r="EK298" t="s">
        <v>6014</v>
      </c>
      <c r="EL298" t="s">
        <v>956</v>
      </c>
      <c r="EN298">
        <v>0</v>
      </c>
      <c r="EO298">
        <v>0</v>
      </c>
      <c r="EX298" t="s">
        <v>799</v>
      </c>
    </row>
    <row r="299" spans="1:287" x14ac:dyDescent="0.25">
      <c r="A299" t="s">
        <v>6027</v>
      </c>
      <c r="B299" t="str">
        <f>"801542034795"</f>
        <v>801542034795</v>
      </c>
      <c r="C299" t="s">
        <v>6028</v>
      </c>
      <c r="D299" t="s">
        <v>5999</v>
      </c>
      <c r="E299" t="s">
        <v>459</v>
      </c>
      <c r="G299" t="str">
        <f t="shared" si="83"/>
        <v>10</v>
      </c>
      <c r="H299" t="str">
        <f t="shared" si="83"/>
        <v>10</v>
      </c>
      <c r="I299" t="str">
        <f>"18.75"</f>
        <v>18.75</v>
      </c>
      <c r="J299" t="str">
        <f>"29.1"</f>
        <v>29.1</v>
      </c>
      <c r="K299" t="s">
        <v>6029</v>
      </c>
      <c r="L299" t="s">
        <v>6001</v>
      </c>
      <c r="N299" t="s">
        <v>6002</v>
      </c>
      <c r="O299" t="s">
        <v>555</v>
      </c>
      <c r="T299" t="s">
        <v>373</v>
      </c>
      <c r="U299" t="s">
        <v>373</v>
      </c>
      <c r="W299" t="s">
        <v>6030</v>
      </c>
      <c r="X299" t="s">
        <v>6031</v>
      </c>
      <c r="Y299" t="s">
        <v>6032</v>
      </c>
      <c r="Z299" t="s">
        <v>6033</v>
      </c>
      <c r="AA299" t="s">
        <v>6034</v>
      </c>
      <c r="AB299" t="s">
        <v>6035</v>
      </c>
      <c r="AC299" t="s">
        <v>6036</v>
      </c>
      <c r="AD299" t="s">
        <v>6037</v>
      </c>
      <c r="AE299" t="s">
        <v>6038</v>
      </c>
      <c r="BA299" t="str">
        <f>"399"</f>
        <v>399</v>
      </c>
      <c r="BB299" t="str">
        <f>"170"</f>
        <v>170</v>
      </c>
      <c r="BC299" t="s">
        <v>949</v>
      </c>
      <c r="BD299" t="str">
        <f>"1"</f>
        <v>1</v>
      </c>
      <c r="BE299" t="s">
        <v>389</v>
      </c>
      <c r="BF299" t="str">
        <f>"22.5"</f>
        <v>22.5</v>
      </c>
      <c r="BG299" t="str">
        <f>"16.5"</f>
        <v>16.5</v>
      </c>
      <c r="BH299" t="str">
        <f>"17.5"</f>
        <v>17.5</v>
      </c>
      <c r="BI299" t="str">
        <f>"40.01"</f>
        <v>40.01</v>
      </c>
      <c r="BY299" t="str">
        <f>"3.74"</f>
        <v>3.74</v>
      </c>
      <c r="BZ299" t="str">
        <f>"0.106"</f>
        <v>0.106</v>
      </c>
      <c r="CA299" t="s">
        <v>495</v>
      </c>
      <c r="CR299" t="s">
        <v>400</v>
      </c>
      <c r="CS299">
        <v>0</v>
      </c>
      <c r="CT299" t="s">
        <v>400</v>
      </c>
      <c r="CV299">
        <v>0</v>
      </c>
      <c r="CY299" t="s">
        <v>400</v>
      </c>
      <c r="DC299">
        <v>0</v>
      </c>
      <c r="DJ299" t="s">
        <v>471</v>
      </c>
      <c r="DK299" t="s">
        <v>6013</v>
      </c>
      <c r="DM299" t="s">
        <v>473</v>
      </c>
      <c r="DX299" t="s">
        <v>957</v>
      </c>
      <c r="EI299" t="s">
        <v>6014</v>
      </c>
      <c r="EJ299" t="s">
        <v>450</v>
      </c>
      <c r="EK299" t="s">
        <v>6014</v>
      </c>
      <c r="EL299" t="s">
        <v>956</v>
      </c>
      <c r="EN299">
        <v>0</v>
      </c>
      <c r="EO299">
        <v>0</v>
      </c>
      <c r="EX299" t="s">
        <v>799</v>
      </c>
    </row>
    <row r="300" spans="1:287" x14ac:dyDescent="0.25">
      <c r="A300" t="s">
        <v>6039</v>
      </c>
      <c r="B300" t="str">
        <f>"801542049126"</f>
        <v>801542049126</v>
      </c>
      <c r="C300" t="s">
        <v>6040</v>
      </c>
      <c r="D300" t="s">
        <v>5999</v>
      </c>
      <c r="E300" t="s">
        <v>459</v>
      </c>
      <c r="G300" t="str">
        <f t="shared" si="83"/>
        <v>10</v>
      </c>
      <c r="H300" t="str">
        <f t="shared" si="83"/>
        <v>10</v>
      </c>
      <c r="I300" t="str">
        <f>"18.75"</f>
        <v>18.75</v>
      </c>
      <c r="J300" t="str">
        <f>"29.1"</f>
        <v>29.1</v>
      </c>
      <c r="K300" t="s">
        <v>6041</v>
      </c>
      <c r="L300" t="s">
        <v>6001</v>
      </c>
      <c r="N300" t="s">
        <v>6002</v>
      </c>
      <c r="O300" t="s">
        <v>555</v>
      </c>
      <c r="T300" t="s">
        <v>373</v>
      </c>
      <c r="U300" t="s">
        <v>373</v>
      </c>
      <c r="V300" t="s">
        <v>6042</v>
      </c>
      <c r="W300" t="s">
        <v>6043</v>
      </c>
      <c r="X300" t="s">
        <v>6044</v>
      </c>
      <c r="Y300" t="s">
        <v>6045</v>
      </c>
      <c r="Z300" t="s">
        <v>6046</v>
      </c>
      <c r="AA300" t="s">
        <v>6047</v>
      </c>
      <c r="AB300" t="s">
        <v>6048</v>
      </c>
      <c r="AC300" t="s">
        <v>6049</v>
      </c>
      <c r="AD300" t="s">
        <v>6050</v>
      </c>
      <c r="AE300" t="s">
        <v>6051</v>
      </c>
      <c r="BA300" t="str">
        <f>"399"</f>
        <v>399</v>
      </c>
      <c r="BB300" t="str">
        <f>"170"</f>
        <v>170</v>
      </c>
      <c r="BC300" t="s">
        <v>949</v>
      </c>
      <c r="BD300" t="str">
        <f>"1"</f>
        <v>1</v>
      </c>
      <c r="BE300" t="s">
        <v>389</v>
      </c>
      <c r="BF300" t="str">
        <f>"22.5"</f>
        <v>22.5</v>
      </c>
      <c r="BG300" t="str">
        <f>"16.5"</f>
        <v>16.5</v>
      </c>
      <c r="BH300" t="str">
        <f>"17.5"</f>
        <v>17.5</v>
      </c>
      <c r="BI300" t="str">
        <f>"40.01"</f>
        <v>40.01</v>
      </c>
      <c r="BY300" t="str">
        <f>"3.74"</f>
        <v>3.74</v>
      </c>
      <c r="BZ300" t="str">
        <f>"0.106"</f>
        <v>0.106</v>
      </c>
      <c r="CA300" t="s">
        <v>495</v>
      </c>
      <c r="CR300" t="s">
        <v>400</v>
      </c>
      <c r="CS300">
        <v>0</v>
      </c>
      <c r="CT300" t="s">
        <v>400</v>
      </c>
      <c r="CV300">
        <v>0</v>
      </c>
      <c r="CY300" t="s">
        <v>400</v>
      </c>
      <c r="DC300">
        <v>0</v>
      </c>
      <c r="DJ300" t="s">
        <v>471</v>
      </c>
      <c r="DK300" t="s">
        <v>6013</v>
      </c>
      <c r="DM300" t="s">
        <v>473</v>
      </c>
      <c r="DX300" t="s">
        <v>957</v>
      </c>
      <c r="EI300" t="s">
        <v>6014</v>
      </c>
      <c r="EJ300" t="s">
        <v>450</v>
      </c>
      <c r="EK300" t="s">
        <v>6014</v>
      </c>
      <c r="EL300" t="s">
        <v>956</v>
      </c>
      <c r="EN300">
        <v>0</v>
      </c>
      <c r="EO300">
        <v>0</v>
      </c>
      <c r="EX300" t="s">
        <v>799</v>
      </c>
    </row>
    <row r="301" spans="1:287" x14ac:dyDescent="0.25">
      <c r="A301" t="s">
        <v>6052</v>
      </c>
      <c r="B301" t="str">
        <f>"801542579388"</f>
        <v>801542579388</v>
      </c>
      <c r="C301" t="s">
        <v>6053</v>
      </c>
      <c r="D301" t="s">
        <v>1118</v>
      </c>
      <c r="E301" t="s">
        <v>1077</v>
      </c>
      <c r="G301" t="str">
        <f t="shared" ref="G301:H304" si="84">"35.25"</f>
        <v>35.25</v>
      </c>
      <c r="H301" t="str">
        <f t="shared" si="84"/>
        <v>35.25</v>
      </c>
      <c r="I301" t="str">
        <f>"15.75"</f>
        <v>15.75</v>
      </c>
      <c r="J301" t="str">
        <f>"110.23"</f>
        <v>110.23</v>
      </c>
      <c r="K301" t="s">
        <v>6054</v>
      </c>
      <c r="L301" t="s">
        <v>6055</v>
      </c>
      <c r="N301" t="s">
        <v>6002</v>
      </c>
      <c r="O301" t="s">
        <v>1121</v>
      </c>
      <c r="T301" t="s">
        <v>373</v>
      </c>
      <c r="U301" t="s">
        <v>373</v>
      </c>
      <c r="V301" t="s">
        <v>6056</v>
      </c>
      <c r="W301" t="s">
        <v>6057</v>
      </c>
      <c r="X301" t="s">
        <v>6058</v>
      </c>
      <c r="Y301" t="s">
        <v>6059</v>
      </c>
      <c r="Z301" t="s">
        <v>6060</v>
      </c>
      <c r="AA301" t="s">
        <v>6061</v>
      </c>
      <c r="AB301" t="s">
        <v>6062</v>
      </c>
      <c r="AC301" t="s">
        <v>6063</v>
      </c>
      <c r="AD301" t="s">
        <v>6064</v>
      </c>
      <c r="AE301" t="s">
        <v>6065</v>
      </c>
      <c r="AF301" t="s">
        <v>6066</v>
      </c>
      <c r="AG301" t="s">
        <v>6067</v>
      </c>
      <c r="BA301" t="str">
        <f>"1099"</f>
        <v>1099</v>
      </c>
      <c r="BB301" t="str">
        <f>"465"</f>
        <v>465</v>
      </c>
      <c r="BC301" t="s">
        <v>949</v>
      </c>
      <c r="BD301" t="str">
        <f>"2"</f>
        <v>2</v>
      </c>
      <c r="BE301" t="s">
        <v>1090</v>
      </c>
      <c r="BF301" t="str">
        <f t="shared" ref="BF301:BG304" si="85">"41"</f>
        <v>41</v>
      </c>
      <c r="BG301" t="str">
        <f t="shared" si="85"/>
        <v>41</v>
      </c>
      <c r="BH301" t="str">
        <f>"20.5"</f>
        <v>20.5</v>
      </c>
      <c r="BI301" t="str">
        <f>"67.24"</f>
        <v>67.24</v>
      </c>
      <c r="BJ301" t="s">
        <v>1089</v>
      </c>
      <c r="BK301" t="str">
        <f>"42.25"</f>
        <v>42.25</v>
      </c>
      <c r="BL301" t="str">
        <f>"6"</f>
        <v>6</v>
      </c>
      <c r="BM301" t="str">
        <f>"41.75"</f>
        <v>41.75</v>
      </c>
      <c r="BN301" t="str">
        <f>"97.66"</f>
        <v>97.66</v>
      </c>
      <c r="BY301" t="str">
        <f>"26.06"</f>
        <v>26.06</v>
      </c>
      <c r="BZ301" t="str">
        <f>"0.738"</f>
        <v>0.738</v>
      </c>
      <c r="CA301" t="s">
        <v>431</v>
      </c>
      <c r="CR301" t="s">
        <v>400</v>
      </c>
      <c r="CS301">
        <v>0</v>
      </c>
      <c r="CT301" t="s">
        <v>400</v>
      </c>
      <c r="CV301">
        <v>0</v>
      </c>
      <c r="CY301" t="s">
        <v>400</v>
      </c>
      <c r="DC301">
        <v>0</v>
      </c>
      <c r="DJ301" t="s">
        <v>471</v>
      </c>
      <c r="DK301" t="s">
        <v>6068</v>
      </c>
      <c r="DM301" t="s">
        <v>473</v>
      </c>
      <c r="DX301" t="s">
        <v>4976</v>
      </c>
      <c r="DY301" t="s">
        <v>2241</v>
      </c>
      <c r="DZ301" t="s">
        <v>2241</v>
      </c>
      <c r="EI301" t="s">
        <v>449</v>
      </c>
      <c r="EJ301" t="s">
        <v>1159</v>
      </c>
      <c r="EK301" t="s">
        <v>449</v>
      </c>
      <c r="EL301" t="s">
        <v>1040</v>
      </c>
      <c r="EM301" t="s">
        <v>402</v>
      </c>
      <c r="EN301">
        <v>0</v>
      </c>
      <c r="EO301">
        <v>0</v>
      </c>
      <c r="EX301" t="s">
        <v>2241</v>
      </c>
    </row>
    <row r="302" spans="1:287" x14ac:dyDescent="0.25">
      <c r="A302" t="s">
        <v>6069</v>
      </c>
      <c r="B302" t="str">
        <f>"801542048297"</f>
        <v>801542048297</v>
      </c>
      <c r="C302" t="s">
        <v>6053</v>
      </c>
      <c r="D302" t="s">
        <v>1118</v>
      </c>
      <c r="E302" t="s">
        <v>1077</v>
      </c>
      <c r="G302" t="str">
        <f t="shared" si="84"/>
        <v>35.25</v>
      </c>
      <c r="H302" t="str">
        <f t="shared" si="84"/>
        <v>35.25</v>
      </c>
      <c r="I302" t="str">
        <f>"15.75"</f>
        <v>15.75</v>
      </c>
      <c r="J302" t="str">
        <f>"110.23"</f>
        <v>110.23</v>
      </c>
      <c r="K302" t="s">
        <v>6054</v>
      </c>
      <c r="L302" t="s">
        <v>6070</v>
      </c>
      <c r="N302" t="s">
        <v>6002</v>
      </c>
      <c r="O302" t="s">
        <v>1121</v>
      </c>
      <c r="T302" t="s">
        <v>373</v>
      </c>
      <c r="U302" t="s">
        <v>373</v>
      </c>
      <c r="V302" t="s">
        <v>6071</v>
      </c>
      <c r="W302" t="s">
        <v>6072</v>
      </c>
      <c r="X302" t="s">
        <v>6073</v>
      </c>
      <c r="Y302" t="s">
        <v>6074</v>
      </c>
      <c r="Z302" t="s">
        <v>6075</v>
      </c>
      <c r="AA302" t="s">
        <v>6076</v>
      </c>
      <c r="AB302" t="s">
        <v>6077</v>
      </c>
      <c r="AC302" t="s">
        <v>6078</v>
      </c>
      <c r="AD302" t="s">
        <v>6079</v>
      </c>
      <c r="AE302" t="s">
        <v>6080</v>
      </c>
      <c r="BA302" t="str">
        <f>"1099"</f>
        <v>1099</v>
      </c>
      <c r="BB302" t="str">
        <f>"465"</f>
        <v>465</v>
      </c>
      <c r="BC302" t="s">
        <v>949</v>
      </c>
      <c r="BD302" t="str">
        <f>"2"</f>
        <v>2</v>
      </c>
      <c r="BE302" t="s">
        <v>1090</v>
      </c>
      <c r="BF302" t="str">
        <f t="shared" si="85"/>
        <v>41</v>
      </c>
      <c r="BG302" t="str">
        <f t="shared" si="85"/>
        <v>41</v>
      </c>
      <c r="BH302" t="str">
        <f>"20.5"</f>
        <v>20.5</v>
      </c>
      <c r="BI302" t="str">
        <f>"67.24"</f>
        <v>67.24</v>
      </c>
      <c r="BJ302" t="s">
        <v>1089</v>
      </c>
      <c r="BK302" t="str">
        <f>"42.25"</f>
        <v>42.25</v>
      </c>
      <c r="BL302" t="str">
        <f>"6"</f>
        <v>6</v>
      </c>
      <c r="BM302" t="str">
        <f>"41.75"</f>
        <v>41.75</v>
      </c>
      <c r="BN302" t="str">
        <f>"97.66"</f>
        <v>97.66</v>
      </c>
      <c r="BY302" t="str">
        <f>"26.06"</f>
        <v>26.06</v>
      </c>
      <c r="BZ302" t="str">
        <f>"0.738"</f>
        <v>0.738</v>
      </c>
      <c r="CA302" t="s">
        <v>431</v>
      </c>
      <c r="CR302" t="s">
        <v>400</v>
      </c>
      <c r="CS302">
        <v>0</v>
      </c>
      <c r="CT302" t="s">
        <v>400</v>
      </c>
      <c r="CV302">
        <v>0</v>
      </c>
      <c r="CY302" t="s">
        <v>400</v>
      </c>
      <c r="DC302">
        <v>0</v>
      </c>
      <c r="DJ302" t="s">
        <v>471</v>
      </c>
      <c r="DK302" t="s">
        <v>6068</v>
      </c>
      <c r="DM302" t="s">
        <v>473</v>
      </c>
      <c r="DX302" t="s">
        <v>4976</v>
      </c>
      <c r="DY302" t="s">
        <v>2241</v>
      </c>
      <c r="DZ302" t="s">
        <v>2241</v>
      </c>
      <c r="EI302" t="s">
        <v>449</v>
      </c>
      <c r="EJ302" t="s">
        <v>1159</v>
      </c>
      <c r="EK302" t="s">
        <v>449</v>
      </c>
      <c r="EL302" t="s">
        <v>1040</v>
      </c>
      <c r="EM302" t="s">
        <v>402</v>
      </c>
      <c r="EN302">
        <v>0</v>
      </c>
      <c r="EO302">
        <v>0</v>
      </c>
      <c r="EX302" t="s">
        <v>2241</v>
      </c>
    </row>
    <row r="303" spans="1:287" x14ac:dyDescent="0.25">
      <c r="A303" t="s">
        <v>6081</v>
      </c>
      <c r="B303" t="str">
        <f>"801542048303"</f>
        <v>801542048303</v>
      </c>
      <c r="C303" t="s">
        <v>6082</v>
      </c>
      <c r="D303" t="s">
        <v>1118</v>
      </c>
      <c r="E303" t="s">
        <v>1077</v>
      </c>
      <c r="G303" t="str">
        <f t="shared" si="84"/>
        <v>35.25</v>
      </c>
      <c r="H303" t="str">
        <f t="shared" si="84"/>
        <v>35.25</v>
      </c>
      <c r="I303" t="str">
        <f>"15.75"</f>
        <v>15.75</v>
      </c>
      <c r="J303" t="str">
        <f>"110.23"</f>
        <v>110.23</v>
      </c>
      <c r="K303" t="s">
        <v>6083</v>
      </c>
      <c r="L303" t="s">
        <v>6055</v>
      </c>
      <c r="N303" t="s">
        <v>6002</v>
      </c>
      <c r="O303" t="s">
        <v>1121</v>
      </c>
      <c r="T303" t="s">
        <v>373</v>
      </c>
      <c r="U303" t="s">
        <v>373</v>
      </c>
      <c r="V303" t="s">
        <v>6084</v>
      </c>
      <c r="W303" t="s">
        <v>6085</v>
      </c>
      <c r="X303" t="s">
        <v>6086</v>
      </c>
      <c r="Y303" t="s">
        <v>6087</v>
      </c>
      <c r="Z303" t="s">
        <v>6088</v>
      </c>
      <c r="AA303" t="s">
        <v>6089</v>
      </c>
      <c r="AB303" t="s">
        <v>6090</v>
      </c>
      <c r="AC303" t="s">
        <v>6091</v>
      </c>
      <c r="AD303" t="s">
        <v>6092</v>
      </c>
      <c r="AE303" t="s">
        <v>6093</v>
      </c>
      <c r="BA303" t="str">
        <f>"1099"</f>
        <v>1099</v>
      </c>
      <c r="BB303" t="str">
        <f>"465"</f>
        <v>465</v>
      </c>
      <c r="BC303" t="s">
        <v>949</v>
      </c>
      <c r="BD303" t="str">
        <f>"2"</f>
        <v>2</v>
      </c>
      <c r="BE303" t="s">
        <v>1090</v>
      </c>
      <c r="BF303" t="str">
        <f t="shared" si="85"/>
        <v>41</v>
      </c>
      <c r="BG303" t="str">
        <f t="shared" si="85"/>
        <v>41</v>
      </c>
      <c r="BH303" t="str">
        <f>"20.5"</f>
        <v>20.5</v>
      </c>
      <c r="BI303" t="str">
        <f>"67.24"</f>
        <v>67.24</v>
      </c>
      <c r="BJ303" t="s">
        <v>1089</v>
      </c>
      <c r="BK303" t="str">
        <f>"42.25"</f>
        <v>42.25</v>
      </c>
      <c r="BL303" t="str">
        <f>"6"</f>
        <v>6</v>
      </c>
      <c r="BM303" t="str">
        <f>"41.75"</f>
        <v>41.75</v>
      </c>
      <c r="BN303" t="str">
        <f>"97.66"</f>
        <v>97.66</v>
      </c>
      <c r="BY303" t="str">
        <f>"26.06"</f>
        <v>26.06</v>
      </c>
      <c r="BZ303" t="str">
        <f>"0.738"</f>
        <v>0.738</v>
      </c>
      <c r="CA303" t="s">
        <v>431</v>
      </c>
      <c r="CR303" t="s">
        <v>400</v>
      </c>
      <c r="CS303">
        <v>0</v>
      </c>
      <c r="CT303" t="s">
        <v>400</v>
      </c>
      <c r="CV303">
        <v>0</v>
      </c>
      <c r="CY303" t="s">
        <v>400</v>
      </c>
      <c r="DC303">
        <v>0</v>
      </c>
      <c r="DJ303" t="s">
        <v>471</v>
      </c>
      <c r="DK303" t="s">
        <v>6068</v>
      </c>
      <c r="DM303" t="s">
        <v>473</v>
      </c>
      <c r="DX303" t="s">
        <v>4976</v>
      </c>
      <c r="DY303" t="s">
        <v>2241</v>
      </c>
      <c r="DZ303" t="s">
        <v>2241</v>
      </c>
      <c r="EI303" t="s">
        <v>449</v>
      </c>
      <c r="EJ303" t="s">
        <v>1159</v>
      </c>
      <c r="EK303" t="s">
        <v>449</v>
      </c>
      <c r="EL303" t="s">
        <v>1040</v>
      </c>
      <c r="EM303" t="s">
        <v>402</v>
      </c>
      <c r="EN303">
        <v>0</v>
      </c>
      <c r="EO303">
        <v>0</v>
      </c>
      <c r="EX303" t="s">
        <v>2241</v>
      </c>
    </row>
    <row r="304" spans="1:287" x14ac:dyDescent="0.25">
      <c r="A304" t="s">
        <v>6094</v>
      </c>
      <c r="B304" t="str">
        <f>"198394055444"</f>
        <v>198394055444</v>
      </c>
      <c r="C304" t="s">
        <v>6095</v>
      </c>
      <c r="D304" t="s">
        <v>1118</v>
      </c>
      <c r="E304" t="s">
        <v>1077</v>
      </c>
      <c r="G304" t="str">
        <f t="shared" si="84"/>
        <v>35.25</v>
      </c>
      <c r="H304" t="str">
        <f t="shared" si="84"/>
        <v>35.25</v>
      </c>
      <c r="I304" t="str">
        <f>"15.75"</f>
        <v>15.75</v>
      </c>
      <c r="J304" t="str">
        <f>"110.23"</f>
        <v>110.23</v>
      </c>
      <c r="K304" t="s">
        <v>6096</v>
      </c>
      <c r="L304" t="s">
        <v>6055</v>
      </c>
      <c r="N304" t="s">
        <v>6002</v>
      </c>
      <c r="O304" t="s">
        <v>1121</v>
      </c>
      <c r="T304" t="s">
        <v>373</v>
      </c>
      <c r="U304" t="s">
        <v>373</v>
      </c>
      <c r="V304" t="s">
        <v>6097</v>
      </c>
      <c r="W304" t="s">
        <v>6098</v>
      </c>
      <c r="X304" t="s">
        <v>6099</v>
      </c>
      <c r="Y304" t="s">
        <v>6100</v>
      </c>
      <c r="Z304" t="s">
        <v>6101</v>
      </c>
      <c r="AA304" t="s">
        <v>6102</v>
      </c>
      <c r="AB304" t="s">
        <v>6103</v>
      </c>
      <c r="AC304" t="s">
        <v>6104</v>
      </c>
      <c r="AD304" t="s">
        <v>6105</v>
      </c>
      <c r="AE304" t="s">
        <v>6106</v>
      </c>
      <c r="BA304" t="str">
        <f>"1099"</f>
        <v>1099</v>
      </c>
      <c r="BB304" t="str">
        <f>"465"</f>
        <v>465</v>
      </c>
      <c r="BC304" t="s">
        <v>949</v>
      </c>
      <c r="BD304" t="str">
        <f>"2"</f>
        <v>2</v>
      </c>
      <c r="BE304" t="s">
        <v>1090</v>
      </c>
      <c r="BF304" t="str">
        <f t="shared" si="85"/>
        <v>41</v>
      </c>
      <c r="BG304" t="str">
        <f t="shared" si="85"/>
        <v>41</v>
      </c>
      <c r="BH304" t="str">
        <f>"20.5"</f>
        <v>20.5</v>
      </c>
      <c r="BI304" t="str">
        <f>"67.24"</f>
        <v>67.24</v>
      </c>
      <c r="BJ304" t="s">
        <v>1089</v>
      </c>
      <c r="BK304" t="str">
        <f>"42.25"</f>
        <v>42.25</v>
      </c>
      <c r="BL304" t="str">
        <f>"6"</f>
        <v>6</v>
      </c>
      <c r="BM304" t="str">
        <f>"41.75"</f>
        <v>41.75</v>
      </c>
      <c r="BN304" t="str">
        <f>"97.66"</f>
        <v>97.66</v>
      </c>
      <c r="BY304" t="str">
        <f>"26.06"</f>
        <v>26.06</v>
      </c>
      <c r="BZ304" t="str">
        <f>"0.738"</f>
        <v>0.738</v>
      </c>
      <c r="CA304" t="s">
        <v>431</v>
      </c>
      <c r="CR304" t="s">
        <v>400</v>
      </c>
      <c r="CS304">
        <v>0</v>
      </c>
      <c r="CT304" t="s">
        <v>400</v>
      </c>
      <c r="CV304">
        <v>0</v>
      </c>
      <c r="CY304" t="s">
        <v>400</v>
      </c>
      <c r="DC304">
        <v>0</v>
      </c>
      <c r="DJ304" t="s">
        <v>471</v>
      </c>
      <c r="DK304" t="s">
        <v>6068</v>
      </c>
      <c r="DM304" t="s">
        <v>473</v>
      </c>
      <c r="DX304" t="s">
        <v>4976</v>
      </c>
      <c r="DY304" t="s">
        <v>2241</v>
      </c>
      <c r="DZ304" t="s">
        <v>2241</v>
      </c>
      <c r="EI304" t="s">
        <v>449</v>
      </c>
      <c r="EJ304" t="s">
        <v>1159</v>
      </c>
      <c r="EK304" t="s">
        <v>449</v>
      </c>
      <c r="EL304" t="s">
        <v>1040</v>
      </c>
      <c r="EM304" t="s">
        <v>402</v>
      </c>
      <c r="EN304">
        <v>0</v>
      </c>
      <c r="EO304">
        <v>0</v>
      </c>
      <c r="EX304" t="s">
        <v>2241</v>
      </c>
    </row>
    <row r="305" spans="1:241" x14ac:dyDescent="0.25">
      <c r="A305" t="s">
        <v>6107</v>
      </c>
      <c r="B305" t="str">
        <f>"801542632397"</f>
        <v>801542632397</v>
      </c>
      <c r="C305" t="s">
        <v>6108</v>
      </c>
      <c r="D305" t="s">
        <v>5513</v>
      </c>
      <c r="E305" t="s">
        <v>2388</v>
      </c>
      <c r="G305" t="str">
        <f>"39"</f>
        <v>39</v>
      </c>
      <c r="H305" t="str">
        <f>"39"</f>
        <v>39</v>
      </c>
      <c r="I305" t="str">
        <f>"16.25"</f>
        <v>16.25</v>
      </c>
      <c r="J305" t="str">
        <f>"34.61"</f>
        <v>34.61</v>
      </c>
      <c r="K305" t="s">
        <v>6109</v>
      </c>
      <c r="L305" t="s">
        <v>837</v>
      </c>
      <c r="M305" t="s">
        <v>5531</v>
      </c>
      <c r="N305" t="s">
        <v>1916</v>
      </c>
      <c r="O305" t="s">
        <v>1917</v>
      </c>
      <c r="P305" t="s">
        <v>555</v>
      </c>
      <c r="Q305" t="s">
        <v>417</v>
      </c>
      <c r="T305" t="s">
        <v>373</v>
      </c>
      <c r="U305" t="s">
        <v>402</v>
      </c>
      <c r="V305" t="s">
        <v>6110</v>
      </c>
      <c r="W305" t="s">
        <v>6111</v>
      </c>
      <c r="X305" t="s">
        <v>6112</v>
      </c>
      <c r="Y305" t="s">
        <v>6113</v>
      </c>
      <c r="Z305" t="s">
        <v>6114</v>
      </c>
      <c r="AA305" t="s">
        <v>6115</v>
      </c>
      <c r="AB305" t="s">
        <v>6116</v>
      </c>
      <c r="AC305" t="s">
        <v>6117</v>
      </c>
      <c r="AD305" t="s">
        <v>6118</v>
      </c>
      <c r="AE305" t="s">
        <v>6119</v>
      </c>
      <c r="AF305" t="s">
        <v>6120</v>
      </c>
      <c r="AG305" t="s">
        <v>6121</v>
      </c>
      <c r="AH305" t="s">
        <v>6122</v>
      </c>
      <c r="AI305" t="s">
        <v>6123</v>
      </c>
      <c r="AJ305" t="s">
        <v>6124</v>
      </c>
      <c r="BA305" t="str">
        <f>"799"</f>
        <v>799</v>
      </c>
      <c r="BB305" t="str">
        <f>"340"</f>
        <v>340</v>
      </c>
      <c r="BC305" t="s">
        <v>388</v>
      </c>
      <c r="BD305" t="str">
        <f>"1"</f>
        <v>1</v>
      </c>
      <c r="BE305" t="s">
        <v>389</v>
      </c>
      <c r="BF305" t="str">
        <f>"38.19"</f>
        <v>38.19</v>
      </c>
      <c r="BG305" t="str">
        <f>"38.19"</f>
        <v>38.19</v>
      </c>
      <c r="BH305" t="str">
        <f>"18.5"</f>
        <v>18.5</v>
      </c>
      <c r="BI305" t="str">
        <f>"54.45"</f>
        <v>54.45</v>
      </c>
      <c r="BY305" t="str">
        <f>"15.61"</f>
        <v>15.61</v>
      </c>
      <c r="BZ305" t="str">
        <f>"0.442"</f>
        <v>0.442</v>
      </c>
      <c r="CA305" t="s">
        <v>431</v>
      </c>
      <c r="CK305" t="s">
        <v>3320</v>
      </c>
      <c r="CL305" t="s">
        <v>3804</v>
      </c>
      <c r="CM305" t="s">
        <v>3320</v>
      </c>
      <c r="CO305">
        <v>0</v>
      </c>
      <c r="CQ305" t="s">
        <v>631</v>
      </c>
      <c r="CX305" t="s">
        <v>403</v>
      </c>
      <c r="CY305" t="s">
        <v>400</v>
      </c>
      <c r="CZ305">
        <v>0</v>
      </c>
      <c r="DD305">
        <v>25000</v>
      </c>
      <c r="DE305" t="s">
        <v>405</v>
      </c>
      <c r="DF305" t="s">
        <v>632</v>
      </c>
      <c r="DG305" t="s">
        <v>2380</v>
      </c>
      <c r="DH305">
        <v>1</v>
      </c>
      <c r="DI305">
        <v>1</v>
      </c>
      <c r="DJ305" t="s">
        <v>471</v>
      </c>
      <c r="DK305" t="s">
        <v>6125</v>
      </c>
      <c r="DL305">
        <v>0</v>
      </c>
      <c r="DM305" t="s">
        <v>538</v>
      </c>
      <c r="DX305" t="s">
        <v>4208</v>
      </c>
      <c r="DY305" t="s">
        <v>6126</v>
      </c>
      <c r="DZ305" t="s">
        <v>6126</v>
      </c>
      <c r="EG305" t="s">
        <v>2029</v>
      </c>
      <c r="EP305" t="s">
        <v>540</v>
      </c>
      <c r="EQ305" t="s">
        <v>540</v>
      </c>
    </row>
    <row r="306" spans="1:241" x14ac:dyDescent="0.25">
      <c r="A306" t="s">
        <v>6127</v>
      </c>
      <c r="B306" t="str">
        <f>"801542719449"</f>
        <v>801542719449</v>
      </c>
      <c r="C306" t="s">
        <v>6128</v>
      </c>
      <c r="D306" t="s">
        <v>5513</v>
      </c>
      <c r="E306" t="s">
        <v>2388</v>
      </c>
      <c r="G306" t="str">
        <f>"39"</f>
        <v>39</v>
      </c>
      <c r="H306" t="str">
        <f>"39"</f>
        <v>39</v>
      </c>
      <c r="I306" t="str">
        <f>"16.25"</f>
        <v>16.25</v>
      </c>
      <c r="J306" t="str">
        <f>"34.61"</f>
        <v>34.61</v>
      </c>
      <c r="K306" t="s">
        <v>863</v>
      </c>
      <c r="L306" t="s">
        <v>837</v>
      </c>
      <c r="M306" t="s">
        <v>6129</v>
      </c>
      <c r="N306" t="s">
        <v>416</v>
      </c>
      <c r="O306" t="s">
        <v>555</v>
      </c>
      <c r="P306" t="s">
        <v>417</v>
      </c>
      <c r="T306" t="s">
        <v>373</v>
      </c>
      <c r="U306" t="s">
        <v>373</v>
      </c>
      <c r="V306" t="s">
        <v>6130</v>
      </c>
      <c r="W306" t="s">
        <v>6131</v>
      </c>
      <c r="X306" t="s">
        <v>6132</v>
      </c>
      <c r="Y306" t="s">
        <v>6133</v>
      </c>
      <c r="Z306" t="s">
        <v>6134</v>
      </c>
      <c r="AA306" t="s">
        <v>6135</v>
      </c>
      <c r="AB306" t="s">
        <v>6136</v>
      </c>
      <c r="AC306" t="s">
        <v>6137</v>
      </c>
      <c r="AD306" t="s">
        <v>6138</v>
      </c>
      <c r="BA306" t="str">
        <f>"1149"</f>
        <v>1149</v>
      </c>
      <c r="BB306" t="str">
        <f>"485"</f>
        <v>485</v>
      </c>
      <c r="BC306" t="s">
        <v>388</v>
      </c>
      <c r="BD306" t="str">
        <f>"1"</f>
        <v>1</v>
      </c>
      <c r="BE306" t="s">
        <v>389</v>
      </c>
      <c r="BF306" t="str">
        <f>"38.19"</f>
        <v>38.19</v>
      </c>
      <c r="BG306" t="str">
        <f>"38.19"</f>
        <v>38.19</v>
      </c>
      <c r="BH306" t="str">
        <f>"18.5"</f>
        <v>18.5</v>
      </c>
      <c r="BI306" t="str">
        <f>"54.45"</f>
        <v>54.45</v>
      </c>
      <c r="BY306" t="str">
        <f>"15.61"</f>
        <v>15.61</v>
      </c>
      <c r="BZ306" t="str">
        <f>"0.442"</f>
        <v>0.442</v>
      </c>
      <c r="CA306" t="s">
        <v>495</v>
      </c>
      <c r="CK306" t="s">
        <v>3320</v>
      </c>
      <c r="CL306" t="s">
        <v>3804</v>
      </c>
      <c r="CM306" t="s">
        <v>3320</v>
      </c>
      <c r="CO306">
        <v>0</v>
      </c>
      <c r="CQ306" t="s">
        <v>438</v>
      </c>
      <c r="CX306" t="s">
        <v>403</v>
      </c>
      <c r="CY306" t="s">
        <v>400</v>
      </c>
      <c r="CZ306">
        <v>0</v>
      </c>
      <c r="DD306">
        <v>0</v>
      </c>
      <c r="DE306" t="s">
        <v>405</v>
      </c>
      <c r="DF306" t="s">
        <v>632</v>
      </c>
      <c r="DG306" t="s">
        <v>2380</v>
      </c>
      <c r="DH306">
        <v>1</v>
      </c>
      <c r="DI306">
        <v>1</v>
      </c>
      <c r="DJ306" t="s">
        <v>471</v>
      </c>
      <c r="DK306" t="s">
        <v>6125</v>
      </c>
      <c r="DL306">
        <v>0</v>
      </c>
      <c r="DM306" t="s">
        <v>538</v>
      </c>
      <c r="DX306" t="s">
        <v>4208</v>
      </c>
      <c r="DY306" t="s">
        <v>6126</v>
      </c>
      <c r="DZ306" t="s">
        <v>6126</v>
      </c>
      <c r="EG306" t="s">
        <v>2029</v>
      </c>
      <c r="EP306" t="s">
        <v>540</v>
      </c>
      <c r="EQ306" t="s">
        <v>540</v>
      </c>
    </row>
    <row r="307" spans="1:241" x14ac:dyDescent="0.25">
      <c r="A307" t="s">
        <v>6139</v>
      </c>
      <c r="B307" t="str">
        <f>"801542623425"</f>
        <v>801542623425</v>
      </c>
      <c r="C307" t="s">
        <v>6140</v>
      </c>
      <c r="D307" t="s">
        <v>6141</v>
      </c>
      <c r="E307" t="s">
        <v>930</v>
      </c>
      <c r="G307" t="str">
        <f>"65"</f>
        <v>65</v>
      </c>
      <c r="H307" t="str">
        <f>"18"</f>
        <v>18</v>
      </c>
      <c r="I307" t="str">
        <f>"32"</f>
        <v>32</v>
      </c>
      <c r="J307" t="str">
        <f>"159.39"</f>
        <v>159.39</v>
      </c>
      <c r="K307" t="s">
        <v>6142</v>
      </c>
      <c r="N307" t="s">
        <v>6143</v>
      </c>
      <c r="O307" t="s">
        <v>6144</v>
      </c>
      <c r="T307" t="s">
        <v>373</v>
      </c>
      <c r="U307" t="s">
        <v>373</v>
      </c>
      <c r="V307" t="s">
        <v>6145</v>
      </c>
      <c r="W307" t="s">
        <v>6146</v>
      </c>
      <c r="X307" t="s">
        <v>6147</v>
      </c>
      <c r="Y307" t="s">
        <v>6148</v>
      </c>
      <c r="Z307" t="s">
        <v>6149</v>
      </c>
      <c r="AA307" t="s">
        <v>6150</v>
      </c>
      <c r="AB307" t="s">
        <v>6151</v>
      </c>
      <c r="AC307" t="s">
        <v>6152</v>
      </c>
      <c r="AD307" t="s">
        <v>6153</v>
      </c>
      <c r="AE307" t="s">
        <v>6154</v>
      </c>
      <c r="AF307" t="s">
        <v>6155</v>
      </c>
      <c r="AG307" t="s">
        <v>6156</v>
      </c>
      <c r="AH307" t="s">
        <v>6157</v>
      </c>
      <c r="BA307" t="str">
        <f>"2599"</f>
        <v>2599</v>
      </c>
      <c r="BB307" t="str">
        <f>"1095"</f>
        <v>1095</v>
      </c>
      <c r="BC307" t="s">
        <v>6158</v>
      </c>
      <c r="BD307" t="str">
        <f>"1"</f>
        <v>1</v>
      </c>
      <c r="BE307" t="s">
        <v>389</v>
      </c>
      <c r="BF307" t="str">
        <f>"70.08"</f>
        <v>70.08</v>
      </c>
      <c r="BG307" t="str">
        <f>"24.61"</f>
        <v>24.61</v>
      </c>
      <c r="BH307" t="str">
        <f>"40.55"</f>
        <v>40.55</v>
      </c>
      <c r="BI307" t="str">
        <f>"210.98"</f>
        <v>210.98</v>
      </c>
      <c r="BY307" t="str">
        <f>"40.47"</f>
        <v>40.47</v>
      </c>
      <c r="BZ307" t="str">
        <f>"1.146"</f>
        <v>1.146</v>
      </c>
      <c r="CA307" t="s">
        <v>495</v>
      </c>
      <c r="CE307" t="s">
        <v>4303</v>
      </c>
      <c r="CF307" t="s">
        <v>6159</v>
      </c>
      <c r="CG307" t="s">
        <v>3482</v>
      </c>
      <c r="CR307" t="s">
        <v>400</v>
      </c>
      <c r="CS307">
        <v>0</v>
      </c>
      <c r="CT307" t="s">
        <v>400</v>
      </c>
      <c r="CV307">
        <v>0</v>
      </c>
      <c r="CX307" t="s">
        <v>1980</v>
      </c>
      <c r="CY307" t="s">
        <v>954</v>
      </c>
      <c r="DA307">
        <v>18.14</v>
      </c>
      <c r="DB307">
        <v>40</v>
      </c>
      <c r="DC307">
        <v>2</v>
      </c>
      <c r="DK307" t="s">
        <v>6160</v>
      </c>
      <c r="DM307" t="s">
        <v>473</v>
      </c>
      <c r="DX307" t="s">
        <v>395</v>
      </c>
      <c r="EM307" t="s">
        <v>402</v>
      </c>
      <c r="EN307">
        <v>2</v>
      </c>
      <c r="EZ307" t="s">
        <v>1092</v>
      </c>
      <c r="FA307" t="s">
        <v>1348</v>
      </c>
      <c r="FB307" t="s">
        <v>6161</v>
      </c>
      <c r="FC307" t="s">
        <v>4303</v>
      </c>
      <c r="FD307" t="s">
        <v>1348</v>
      </c>
      <c r="FE307" t="s">
        <v>6162</v>
      </c>
      <c r="FF307">
        <v>0</v>
      </c>
      <c r="FG307" t="s">
        <v>402</v>
      </c>
      <c r="FI307">
        <v>4</v>
      </c>
      <c r="FJ307" t="s">
        <v>960</v>
      </c>
      <c r="FK307" t="s">
        <v>961</v>
      </c>
      <c r="FL307">
        <v>0</v>
      </c>
      <c r="FM307" t="s">
        <v>402</v>
      </c>
      <c r="FO307" t="s">
        <v>984</v>
      </c>
      <c r="GX307" t="s">
        <v>475</v>
      </c>
      <c r="HI307" t="s">
        <v>402</v>
      </c>
    </row>
    <row r="308" spans="1:241" x14ac:dyDescent="0.25">
      <c r="A308" t="s">
        <v>6163</v>
      </c>
      <c r="B308" t="str">
        <f>"801542644468"</f>
        <v>801542644468</v>
      </c>
      <c r="C308" t="s">
        <v>6164</v>
      </c>
      <c r="D308" t="s">
        <v>5999</v>
      </c>
      <c r="E308" t="s">
        <v>647</v>
      </c>
      <c r="F308" t="s">
        <v>648</v>
      </c>
      <c r="G308" t="str">
        <f>"94"</f>
        <v>94</v>
      </c>
      <c r="H308" t="str">
        <f>"39"</f>
        <v>39</v>
      </c>
      <c r="I308" t="str">
        <f>"30"</f>
        <v>30</v>
      </c>
      <c r="J308" t="str">
        <f>"306.22"</f>
        <v>306.22</v>
      </c>
      <c r="K308" t="s">
        <v>989</v>
      </c>
      <c r="L308" t="s">
        <v>6165</v>
      </c>
      <c r="N308" t="s">
        <v>372</v>
      </c>
      <c r="O308" t="s">
        <v>6166</v>
      </c>
      <c r="T308" t="s">
        <v>373</v>
      </c>
      <c r="U308" t="s">
        <v>373</v>
      </c>
      <c r="V308" t="s">
        <v>6167</v>
      </c>
      <c r="W308" t="s">
        <v>6168</v>
      </c>
      <c r="X308" t="s">
        <v>6169</v>
      </c>
      <c r="Y308" t="s">
        <v>6170</v>
      </c>
      <c r="Z308" t="s">
        <v>6171</v>
      </c>
      <c r="AA308" t="s">
        <v>6172</v>
      </c>
      <c r="AB308" t="s">
        <v>6173</v>
      </c>
      <c r="AC308" t="s">
        <v>6174</v>
      </c>
      <c r="AD308" t="s">
        <v>6175</v>
      </c>
      <c r="AE308" t="s">
        <v>6176</v>
      </c>
      <c r="AF308" t="s">
        <v>6177</v>
      </c>
      <c r="AG308" t="s">
        <v>6178</v>
      </c>
      <c r="AH308" t="s">
        <v>6179</v>
      </c>
      <c r="BA308" t="str">
        <f>"2399"</f>
        <v>2399</v>
      </c>
      <c r="BB308" t="str">
        <f>"1010"</f>
        <v>1010</v>
      </c>
      <c r="BC308" t="s">
        <v>949</v>
      </c>
      <c r="BD308" t="str">
        <f>"2"</f>
        <v>2</v>
      </c>
      <c r="BE308" t="s">
        <v>1089</v>
      </c>
      <c r="BF308" t="str">
        <f>"97.5"</f>
        <v>97.5</v>
      </c>
      <c r="BG308" t="str">
        <f>"5.75"</f>
        <v>5.75</v>
      </c>
      <c r="BH308" t="str">
        <f>"43.5"</f>
        <v>43.5</v>
      </c>
      <c r="BI308" t="str">
        <f>"171.29"</f>
        <v>171.29</v>
      </c>
      <c r="BJ308" t="s">
        <v>1090</v>
      </c>
      <c r="BK308" t="str">
        <f>"27.25"</f>
        <v>27.25</v>
      </c>
      <c r="BL308" t="str">
        <f>"27.25"</f>
        <v>27.25</v>
      </c>
      <c r="BM308" t="str">
        <f>"38.5"</f>
        <v>38.5</v>
      </c>
      <c r="BN308" t="str">
        <f>"145.26"</f>
        <v>145.26</v>
      </c>
      <c r="BY308" t="str">
        <f>"47.25"</f>
        <v>47.25</v>
      </c>
      <c r="BZ308" t="str">
        <f>"1.338"</f>
        <v>1.338</v>
      </c>
      <c r="CA308" t="s">
        <v>495</v>
      </c>
      <c r="CR308" t="s">
        <v>400</v>
      </c>
      <c r="CS308">
        <v>0</v>
      </c>
      <c r="CT308" t="s">
        <v>400</v>
      </c>
      <c r="CV308">
        <v>0</v>
      </c>
      <c r="CY308" t="s">
        <v>400</v>
      </c>
      <c r="DA308">
        <v>0</v>
      </c>
      <c r="DB308">
        <v>0</v>
      </c>
      <c r="DC308">
        <v>0</v>
      </c>
      <c r="DI308">
        <v>10</v>
      </c>
      <c r="DJ308" t="s">
        <v>408</v>
      </c>
      <c r="DK308" t="s">
        <v>6180</v>
      </c>
      <c r="DM308" t="s">
        <v>669</v>
      </c>
      <c r="DX308" t="s">
        <v>3019</v>
      </c>
      <c r="DZ308" t="s">
        <v>790</v>
      </c>
      <c r="EI308" t="s">
        <v>979</v>
      </c>
      <c r="EJ308" t="s">
        <v>3019</v>
      </c>
      <c r="EK308" t="s">
        <v>979</v>
      </c>
      <c r="EL308" t="s">
        <v>1094</v>
      </c>
      <c r="EN308">
        <v>0</v>
      </c>
      <c r="EO308">
        <v>0</v>
      </c>
      <c r="EW308" t="s">
        <v>3019</v>
      </c>
      <c r="EX308" t="s">
        <v>613</v>
      </c>
      <c r="EY308" t="s">
        <v>1443</v>
      </c>
    </row>
    <row r="309" spans="1:241" x14ac:dyDescent="0.25">
      <c r="A309" t="s">
        <v>6181</v>
      </c>
      <c r="B309" t="str">
        <f>"801542629335"</f>
        <v>801542629335</v>
      </c>
      <c r="C309" t="s">
        <v>6182</v>
      </c>
      <c r="D309" t="s">
        <v>1224</v>
      </c>
      <c r="E309" t="s">
        <v>1043</v>
      </c>
      <c r="G309" t="str">
        <f>"22"</f>
        <v>22</v>
      </c>
      <c r="H309" t="str">
        <f>"18"</f>
        <v>18</v>
      </c>
      <c r="I309" t="str">
        <f>"24"</f>
        <v>24</v>
      </c>
      <c r="J309" t="str">
        <f>"43.87"</f>
        <v>43.87</v>
      </c>
      <c r="K309" t="s">
        <v>6183</v>
      </c>
      <c r="L309" t="s">
        <v>6184</v>
      </c>
      <c r="N309" t="s">
        <v>6185</v>
      </c>
      <c r="O309" t="s">
        <v>6186</v>
      </c>
      <c r="T309" t="s">
        <v>373</v>
      </c>
      <c r="U309" t="s">
        <v>373</v>
      </c>
      <c r="V309" t="s">
        <v>6187</v>
      </c>
      <c r="W309" t="s">
        <v>6188</v>
      </c>
      <c r="X309" t="s">
        <v>6189</v>
      </c>
      <c r="Y309" t="s">
        <v>6190</v>
      </c>
      <c r="Z309" t="s">
        <v>6191</v>
      </c>
      <c r="AA309" t="s">
        <v>6192</v>
      </c>
      <c r="AB309" t="s">
        <v>6193</v>
      </c>
      <c r="AC309" t="s">
        <v>6194</v>
      </c>
      <c r="AD309" t="s">
        <v>6195</v>
      </c>
      <c r="AE309" t="s">
        <v>6196</v>
      </c>
      <c r="AF309" t="s">
        <v>6197</v>
      </c>
      <c r="AG309" t="s">
        <v>6198</v>
      </c>
      <c r="AH309" t="s">
        <v>6199</v>
      </c>
      <c r="AI309" t="s">
        <v>6200</v>
      </c>
      <c r="AJ309" t="s">
        <v>6201</v>
      </c>
      <c r="AK309" t="s">
        <v>6202</v>
      </c>
      <c r="AL309" t="s">
        <v>6203</v>
      </c>
      <c r="BA309" t="str">
        <f>"1399"</f>
        <v>1399</v>
      </c>
      <c r="BB309" t="str">
        <f>"590"</f>
        <v>590</v>
      </c>
      <c r="BC309" t="s">
        <v>1149</v>
      </c>
      <c r="BD309" t="str">
        <f>"1"</f>
        <v>1</v>
      </c>
      <c r="BE309" t="s">
        <v>389</v>
      </c>
      <c r="BF309" t="str">
        <f>"26.38"</f>
        <v>26.38</v>
      </c>
      <c r="BG309" t="str">
        <f>"22.44"</f>
        <v>22.44</v>
      </c>
      <c r="BH309" t="str">
        <f>"27.95"</f>
        <v>27.95</v>
      </c>
      <c r="BI309" t="str">
        <f>"61.73"</f>
        <v>61.73</v>
      </c>
      <c r="BY309" t="str">
        <f>"9.57"</f>
        <v>9.57</v>
      </c>
      <c r="BZ309" t="str">
        <f>"0.271"</f>
        <v>0.271</v>
      </c>
      <c r="CA309" t="s">
        <v>495</v>
      </c>
      <c r="CE309" t="s">
        <v>2261</v>
      </c>
      <c r="CF309" t="s">
        <v>4395</v>
      </c>
      <c r="CG309" t="s">
        <v>6204</v>
      </c>
      <c r="CR309" t="s">
        <v>5068</v>
      </c>
      <c r="CS309">
        <v>1</v>
      </c>
      <c r="CT309" t="s">
        <v>1344</v>
      </c>
      <c r="CV309">
        <v>0</v>
      </c>
      <c r="CX309" t="s">
        <v>953</v>
      </c>
      <c r="CY309" t="s">
        <v>1009</v>
      </c>
      <c r="DC309">
        <v>0</v>
      </c>
      <c r="DJ309" t="s">
        <v>408</v>
      </c>
      <c r="DK309" t="s">
        <v>6205</v>
      </c>
      <c r="DM309" t="s">
        <v>473</v>
      </c>
      <c r="DX309" t="s">
        <v>637</v>
      </c>
      <c r="EM309" t="s">
        <v>402</v>
      </c>
      <c r="EN309">
        <v>1</v>
      </c>
      <c r="FI309">
        <v>0</v>
      </c>
      <c r="FJ309" t="s">
        <v>1012</v>
      </c>
      <c r="FR309" t="s">
        <v>6206</v>
      </c>
      <c r="FT309" t="s">
        <v>2510</v>
      </c>
      <c r="FV309" t="s">
        <v>6207</v>
      </c>
      <c r="FX309" t="s">
        <v>4210</v>
      </c>
      <c r="FZ309" t="s">
        <v>953</v>
      </c>
      <c r="GA309" t="s">
        <v>402</v>
      </c>
    </row>
    <row r="310" spans="1:241" x14ac:dyDescent="0.25">
      <c r="A310" t="s">
        <v>6208</v>
      </c>
      <c r="B310" t="str">
        <f>"801542618728"</f>
        <v>801542618728</v>
      </c>
      <c r="C310" t="s">
        <v>6209</v>
      </c>
      <c r="D310" t="s">
        <v>571</v>
      </c>
      <c r="E310" t="s">
        <v>515</v>
      </c>
      <c r="F310" t="s">
        <v>516</v>
      </c>
      <c r="G310" t="str">
        <f>"28"</f>
        <v>28</v>
      </c>
      <c r="H310" t="str">
        <f>"32.25"</f>
        <v>32.25</v>
      </c>
      <c r="I310" t="str">
        <f>"33"</f>
        <v>33</v>
      </c>
      <c r="J310" t="str">
        <f>"32.4"</f>
        <v>32.4</v>
      </c>
      <c r="K310" t="s">
        <v>6210</v>
      </c>
      <c r="L310" t="s">
        <v>6211</v>
      </c>
      <c r="M310" t="s">
        <v>2646</v>
      </c>
      <c r="N310" t="s">
        <v>6212</v>
      </c>
      <c r="O310" t="s">
        <v>6213</v>
      </c>
      <c r="P310" t="s">
        <v>372</v>
      </c>
      <c r="Q310" t="s">
        <v>416</v>
      </c>
      <c r="T310" t="s">
        <v>373</v>
      </c>
      <c r="U310" t="s">
        <v>373</v>
      </c>
      <c r="V310" t="s">
        <v>6214</v>
      </c>
      <c r="W310" t="s">
        <v>6215</v>
      </c>
      <c r="X310" t="s">
        <v>6216</v>
      </c>
      <c r="Y310" t="s">
        <v>6217</v>
      </c>
      <c r="Z310" t="s">
        <v>6218</v>
      </c>
      <c r="AA310" t="s">
        <v>6219</v>
      </c>
      <c r="AB310" t="s">
        <v>6220</v>
      </c>
      <c r="AC310" t="s">
        <v>6221</v>
      </c>
      <c r="AD310" t="s">
        <v>6222</v>
      </c>
      <c r="AE310" t="s">
        <v>6223</v>
      </c>
      <c r="AF310" t="s">
        <v>6224</v>
      </c>
      <c r="AG310" t="s">
        <v>6225</v>
      </c>
      <c r="AH310" t="s">
        <v>6226</v>
      </c>
      <c r="BA310" t="str">
        <f>"999"</f>
        <v>999</v>
      </c>
      <c r="BB310" t="str">
        <f>"420"</f>
        <v>420</v>
      </c>
      <c r="BC310" t="s">
        <v>388</v>
      </c>
      <c r="BD310" t="str">
        <f>"1"</f>
        <v>1</v>
      </c>
      <c r="BE310" t="s">
        <v>1849</v>
      </c>
      <c r="BF310" t="str">
        <f>"29.13"</f>
        <v>29.13</v>
      </c>
      <c r="BG310" t="str">
        <f>"33.07"</f>
        <v>33.07</v>
      </c>
      <c r="BH310" t="str">
        <f>"34.65"</f>
        <v>34.65</v>
      </c>
      <c r="BI310" t="str">
        <f>"44.73"</f>
        <v>44.73</v>
      </c>
      <c r="BY310" t="str">
        <f>"16.95"</f>
        <v>16.95</v>
      </c>
      <c r="BZ310" t="str">
        <f>"0.48"</f>
        <v>0.48</v>
      </c>
      <c r="CA310" t="s">
        <v>390</v>
      </c>
      <c r="CK310" t="s">
        <v>1291</v>
      </c>
      <c r="CL310" t="s">
        <v>6227</v>
      </c>
      <c r="CM310" t="s">
        <v>548</v>
      </c>
      <c r="CN310">
        <v>0</v>
      </c>
      <c r="CO310">
        <v>0</v>
      </c>
      <c r="CP310" t="s">
        <v>437</v>
      </c>
      <c r="CQ310" t="s">
        <v>631</v>
      </c>
      <c r="CX310" t="s">
        <v>403</v>
      </c>
      <c r="CY310" t="s">
        <v>400</v>
      </c>
      <c r="CZ310">
        <v>0</v>
      </c>
      <c r="DD310">
        <v>25000</v>
      </c>
      <c r="DE310" t="s">
        <v>439</v>
      </c>
      <c r="DH310">
        <v>0</v>
      </c>
      <c r="DI310">
        <v>1</v>
      </c>
      <c r="DK310" t="s">
        <v>6228</v>
      </c>
      <c r="DL310">
        <v>0</v>
      </c>
      <c r="DM310" t="s">
        <v>538</v>
      </c>
      <c r="DN310" t="s">
        <v>3058</v>
      </c>
      <c r="DO310" t="s">
        <v>543</v>
      </c>
      <c r="DP310" t="s">
        <v>5547</v>
      </c>
      <c r="DT310" t="s">
        <v>3638</v>
      </c>
      <c r="DX310" t="s">
        <v>2034</v>
      </c>
      <c r="DY310" t="s">
        <v>5831</v>
      </c>
      <c r="DZ310" t="s">
        <v>1412</v>
      </c>
      <c r="EA310" t="s">
        <v>4675</v>
      </c>
      <c r="EG310" t="s">
        <v>401</v>
      </c>
      <c r="EP310" t="s">
        <v>3832</v>
      </c>
      <c r="EQ310" t="s">
        <v>6229</v>
      </c>
      <c r="ER310">
        <v>0</v>
      </c>
      <c r="ES310">
        <v>0</v>
      </c>
      <c r="EU310">
        <v>0</v>
      </c>
    </row>
    <row r="311" spans="1:241" x14ac:dyDescent="0.25">
      <c r="A311" t="s">
        <v>6230</v>
      </c>
      <c r="B311" t="str">
        <f>"801542619992"</f>
        <v>801542619992</v>
      </c>
      <c r="C311" t="s">
        <v>6231</v>
      </c>
      <c r="D311" t="s">
        <v>2106</v>
      </c>
      <c r="E311" t="s">
        <v>515</v>
      </c>
      <c r="F311" t="s">
        <v>516</v>
      </c>
      <c r="G311" t="str">
        <f>"32.25"</f>
        <v>32.25</v>
      </c>
      <c r="H311" t="str">
        <f>"34.75"</f>
        <v>34.75</v>
      </c>
      <c r="I311" t="str">
        <f>"31.75"</f>
        <v>31.75</v>
      </c>
      <c r="J311" t="str">
        <f>"37.48"</f>
        <v>37.48</v>
      </c>
      <c r="K311" t="s">
        <v>6232</v>
      </c>
      <c r="L311" t="s">
        <v>6233</v>
      </c>
      <c r="M311" t="s">
        <v>6234</v>
      </c>
      <c r="N311" t="s">
        <v>6235</v>
      </c>
      <c r="O311" t="s">
        <v>3065</v>
      </c>
      <c r="P311" t="s">
        <v>6236</v>
      </c>
      <c r="Q311" t="s">
        <v>775</v>
      </c>
      <c r="R311" t="s">
        <v>1876</v>
      </c>
      <c r="T311" t="s">
        <v>373</v>
      </c>
      <c r="U311" t="s">
        <v>373</v>
      </c>
      <c r="V311" t="s">
        <v>6237</v>
      </c>
      <c r="W311" t="s">
        <v>6238</v>
      </c>
      <c r="X311" t="s">
        <v>6239</v>
      </c>
      <c r="Y311" t="s">
        <v>6240</v>
      </c>
      <c r="Z311" t="s">
        <v>6241</v>
      </c>
      <c r="AA311" t="s">
        <v>6242</v>
      </c>
      <c r="AB311" t="s">
        <v>6243</v>
      </c>
      <c r="AC311" t="s">
        <v>6244</v>
      </c>
      <c r="AD311" t="s">
        <v>6245</v>
      </c>
      <c r="AE311" t="s">
        <v>6246</v>
      </c>
      <c r="AF311" t="s">
        <v>6247</v>
      </c>
      <c r="AG311" t="s">
        <v>6248</v>
      </c>
      <c r="AH311" t="s">
        <v>6249</v>
      </c>
      <c r="AI311" t="s">
        <v>6250</v>
      </c>
      <c r="AJ311" t="s">
        <v>6251</v>
      </c>
      <c r="BA311" t="str">
        <f>"1299"</f>
        <v>1299</v>
      </c>
      <c r="BB311" t="str">
        <f>"550"</f>
        <v>550</v>
      </c>
      <c r="BC311" t="s">
        <v>665</v>
      </c>
      <c r="BD311" t="str">
        <f>"1"</f>
        <v>1</v>
      </c>
      <c r="BE311" t="s">
        <v>4669</v>
      </c>
      <c r="BF311" t="str">
        <f>"37.6"</f>
        <v>37.6</v>
      </c>
      <c r="BG311" t="str">
        <f>"33.27"</f>
        <v>33.27</v>
      </c>
      <c r="BH311" t="str">
        <f>"27.36"</f>
        <v>27.36</v>
      </c>
      <c r="BI311" t="str">
        <f>"52.25"</f>
        <v>52.25</v>
      </c>
      <c r="BY311" t="str">
        <f>"19.81"</f>
        <v>19.81</v>
      </c>
      <c r="BZ311" t="str">
        <f>"0.561"</f>
        <v>0.561</v>
      </c>
      <c r="CA311" t="s">
        <v>495</v>
      </c>
      <c r="CH311" t="s">
        <v>1016</v>
      </c>
      <c r="CI311" t="s">
        <v>6252</v>
      </c>
      <c r="CJ311" t="s">
        <v>6253</v>
      </c>
      <c r="CK311" t="s">
        <v>1291</v>
      </c>
      <c r="CL311" t="s">
        <v>5544</v>
      </c>
      <c r="CM311" t="s">
        <v>3058</v>
      </c>
      <c r="CN311">
        <v>0</v>
      </c>
      <c r="CO311">
        <v>1</v>
      </c>
      <c r="CP311" t="s">
        <v>437</v>
      </c>
      <c r="CQ311" t="s">
        <v>2743</v>
      </c>
      <c r="CU311" t="s">
        <v>6254</v>
      </c>
      <c r="CV311" t="s">
        <v>6255</v>
      </c>
      <c r="CW311" t="s">
        <v>6256</v>
      </c>
      <c r="CZ311" t="s">
        <v>403</v>
      </c>
      <c r="DA311" t="s">
        <v>400</v>
      </c>
      <c r="DB311">
        <v>0</v>
      </c>
      <c r="DF311">
        <v>89000</v>
      </c>
      <c r="DG311" t="s">
        <v>1892</v>
      </c>
      <c r="DH311" t="s">
        <v>2640</v>
      </c>
      <c r="DI311" t="s">
        <v>407</v>
      </c>
      <c r="DJ311">
        <v>1</v>
      </c>
      <c r="DK311">
        <v>1</v>
      </c>
      <c r="DM311" t="s">
        <v>6257</v>
      </c>
      <c r="DN311">
        <v>0</v>
      </c>
      <c r="DO311" t="s">
        <v>538</v>
      </c>
      <c r="DP311" t="s">
        <v>536</v>
      </c>
      <c r="DQ311" t="s">
        <v>3511</v>
      </c>
      <c r="DR311" t="s">
        <v>6258</v>
      </c>
      <c r="DV311" t="s">
        <v>1290</v>
      </c>
      <c r="DW311" t="s">
        <v>3256</v>
      </c>
      <c r="DX311" t="s">
        <v>1055</v>
      </c>
      <c r="DY311" t="s">
        <v>5831</v>
      </c>
      <c r="DZ311" t="s">
        <v>6259</v>
      </c>
      <c r="EA311" t="s">
        <v>6253</v>
      </c>
      <c r="EB311" t="s">
        <v>5831</v>
      </c>
      <c r="EC311" t="s">
        <v>1055</v>
      </c>
      <c r="EF311" t="s">
        <v>406</v>
      </c>
      <c r="EG311" t="s">
        <v>407</v>
      </c>
      <c r="EH311" t="s">
        <v>6260</v>
      </c>
      <c r="EI311" t="s">
        <v>1513</v>
      </c>
      <c r="ER311" t="s">
        <v>3058</v>
      </c>
      <c r="ES311" t="s">
        <v>6253</v>
      </c>
      <c r="ET311">
        <v>0</v>
      </c>
      <c r="EU311">
        <v>0</v>
      </c>
      <c r="EW311">
        <v>0</v>
      </c>
    </row>
    <row r="312" spans="1:241" x14ac:dyDescent="0.25">
      <c r="A312" t="s">
        <v>6261</v>
      </c>
      <c r="B312" t="str">
        <f>"801542724269"</f>
        <v>801542724269</v>
      </c>
      <c r="C312" t="s">
        <v>6262</v>
      </c>
      <c r="D312" t="s">
        <v>2106</v>
      </c>
      <c r="E312" t="s">
        <v>515</v>
      </c>
      <c r="F312" t="s">
        <v>516</v>
      </c>
      <c r="G312" t="str">
        <f>"32.25"</f>
        <v>32.25</v>
      </c>
      <c r="H312" t="str">
        <f>"34.75"</f>
        <v>34.75</v>
      </c>
      <c r="I312" t="str">
        <f>"31.75"</f>
        <v>31.75</v>
      </c>
      <c r="J312" t="str">
        <f>"37.48"</f>
        <v>37.48</v>
      </c>
      <c r="K312" t="s">
        <v>6263</v>
      </c>
      <c r="L312" t="s">
        <v>6264</v>
      </c>
      <c r="M312" t="s">
        <v>6234</v>
      </c>
      <c r="N312" t="s">
        <v>1949</v>
      </c>
      <c r="O312" t="s">
        <v>1950</v>
      </c>
      <c r="P312" t="s">
        <v>1535</v>
      </c>
      <c r="Q312" t="s">
        <v>775</v>
      </c>
      <c r="R312" t="s">
        <v>1876</v>
      </c>
      <c r="T312" t="s">
        <v>373</v>
      </c>
      <c r="U312" t="s">
        <v>402</v>
      </c>
      <c r="V312" t="s">
        <v>6265</v>
      </c>
      <c r="W312" t="s">
        <v>6266</v>
      </c>
      <c r="X312" t="s">
        <v>6267</v>
      </c>
      <c r="Y312" t="s">
        <v>6268</v>
      </c>
      <c r="Z312" t="s">
        <v>6269</v>
      </c>
      <c r="AA312" t="s">
        <v>6270</v>
      </c>
      <c r="AB312" t="s">
        <v>6271</v>
      </c>
      <c r="AC312" t="s">
        <v>6272</v>
      </c>
      <c r="AD312" t="s">
        <v>6273</v>
      </c>
      <c r="AE312" t="s">
        <v>6274</v>
      </c>
      <c r="AF312" t="s">
        <v>6275</v>
      </c>
      <c r="AG312" t="s">
        <v>6276</v>
      </c>
      <c r="AH312" t="s">
        <v>6277</v>
      </c>
      <c r="BA312" t="str">
        <f>"1299"</f>
        <v>1299</v>
      </c>
      <c r="BB312" t="str">
        <f>"550"</f>
        <v>550</v>
      </c>
      <c r="BC312" t="s">
        <v>665</v>
      </c>
      <c r="BD312" t="str">
        <f>"1"</f>
        <v>1</v>
      </c>
      <c r="BE312" t="s">
        <v>389</v>
      </c>
      <c r="BF312" t="str">
        <f>"37.6"</f>
        <v>37.6</v>
      </c>
      <c r="BG312" t="str">
        <f>"33.27"</f>
        <v>33.27</v>
      </c>
      <c r="BH312" t="str">
        <f>"27.36"</f>
        <v>27.36</v>
      </c>
      <c r="BI312" t="str">
        <f>"52.25"</f>
        <v>52.25</v>
      </c>
      <c r="BY312" t="str">
        <f>"19.81"</f>
        <v>19.81</v>
      </c>
      <c r="BZ312" t="str">
        <f>"0.561"</f>
        <v>0.561</v>
      </c>
      <c r="CA312" t="s">
        <v>495</v>
      </c>
      <c r="CH312" t="s">
        <v>1016</v>
      </c>
      <c r="CI312" t="s">
        <v>6252</v>
      </c>
      <c r="CJ312" t="s">
        <v>6253</v>
      </c>
      <c r="CK312" t="s">
        <v>1291</v>
      </c>
      <c r="CL312" t="s">
        <v>5544</v>
      </c>
      <c r="CM312" t="s">
        <v>3058</v>
      </c>
      <c r="CN312">
        <v>0</v>
      </c>
      <c r="CO312">
        <v>1</v>
      </c>
      <c r="CP312" t="s">
        <v>437</v>
      </c>
      <c r="CQ312" t="s">
        <v>631</v>
      </c>
      <c r="CU312" t="s">
        <v>6254</v>
      </c>
      <c r="CV312" t="s">
        <v>6255</v>
      </c>
      <c r="CW312" t="s">
        <v>6256</v>
      </c>
      <c r="CZ312" t="s">
        <v>403</v>
      </c>
      <c r="DA312" t="s">
        <v>400</v>
      </c>
      <c r="DB312">
        <v>0</v>
      </c>
      <c r="DF312">
        <v>25000</v>
      </c>
      <c r="DG312" t="s">
        <v>1892</v>
      </c>
      <c r="DH312" t="s">
        <v>2640</v>
      </c>
      <c r="DI312" t="s">
        <v>407</v>
      </c>
      <c r="DJ312">
        <v>1</v>
      </c>
      <c r="DK312">
        <v>1</v>
      </c>
      <c r="DM312" t="s">
        <v>6257</v>
      </c>
      <c r="DN312">
        <v>0</v>
      </c>
      <c r="DO312" t="s">
        <v>538</v>
      </c>
      <c r="DP312" t="s">
        <v>536</v>
      </c>
      <c r="DQ312" t="s">
        <v>3511</v>
      </c>
      <c r="DR312" t="s">
        <v>6258</v>
      </c>
      <c r="DV312" t="s">
        <v>1290</v>
      </c>
      <c r="DW312" t="s">
        <v>3256</v>
      </c>
      <c r="DX312" t="s">
        <v>1055</v>
      </c>
      <c r="DY312" t="s">
        <v>5831</v>
      </c>
      <c r="DZ312" t="s">
        <v>6259</v>
      </c>
      <c r="EA312" t="s">
        <v>6253</v>
      </c>
      <c r="EB312" t="s">
        <v>5831</v>
      </c>
      <c r="EC312" t="s">
        <v>1055</v>
      </c>
      <c r="EF312" t="s">
        <v>406</v>
      </c>
      <c r="EG312" t="s">
        <v>407</v>
      </c>
      <c r="EH312" t="s">
        <v>6260</v>
      </c>
      <c r="EI312" t="s">
        <v>1513</v>
      </c>
      <c r="ER312" t="s">
        <v>3058</v>
      </c>
      <c r="ES312" t="s">
        <v>6253</v>
      </c>
      <c r="ET312">
        <v>0</v>
      </c>
      <c r="EU312">
        <v>0</v>
      </c>
      <c r="EW312">
        <v>0</v>
      </c>
    </row>
    <row r="313" spans="1:241" x14ac:dyDescent="0.25">
      <c r="A313" t="s">
        <v>6278</v>
      </c>
      <c r="B313" t="str">
        <f>"801542761899"</f>
        <v>801542761899</v>
      </c>
      <c r="C313" t="s">
        <v>6279</v>
      </c>
      <c r="D313" t="s">
        <v>2106</v>
      </c>
      <c r="E313" t="s">
        <v>515</v>
      </c>
      <c r="F313" t="s">
        <v>516</v>
      </c>
      <c r="G313" t="str">
        <f>"32.25"</f>
        <v>32.25</v>
      </c>
      <c r="H313" t="str">
        <f>"34.75"</f>
        <v>34.75</v>
      </c>
      <c r="I313" t="str">
        <f>"31.75"</f>
        <v>31.75</v>
      </c>
      <c r="J313" t="str">
        <f>"37.48"</f>
        <v>37.48</v>
      </c>
      <c r="K313" t="s">
        <v>2341</v>
      </c>
      <c r="L313" t="s">
        <v>4654</v>
      </c>
      <c r="M313" t="s">
        <v>6234</v>
      </c>
      <c r="N313" t="s">
        <v>416</v>
      </c>
      <c r="O313" t="s">
        <v>775</v>
      </c>
      <c r="P313" t="s">
        <v>1876</v>
      </c>
      <c r="T313" t="s">
        <v>373</v>
      </c>
      <c r="U313" t="s">
        <v>373</v>
      </c>
      <c r="V313" t="s">
        <v>6280</v>
      </c>
      <c r="W313" t="s">
        <v>6281</v>
      </c>
      <c r="X313" t="s">
        <v>6282</v>
      </c>
      <c r="Y313" t="s">
        <v>6283</v>
      </c>
      <c r="Z313" t="s">
        <v>6284</v>
      </c>
      <c r="AA313" t="s">
        <v>6285</v>
      </c>
      <c r="AB313" t="s">
        <v>6286</v>
      </c>
      <c r="AC313" t="s">
        <v>6287</v>
      </c>
      <c r="AD313" t="s">
        <v>6288</v>
      </c>
      <c r="AE313" t="s">
        <v>6289</v>
      </c>
      <c r="AF313" t="s">
        <v>6290</v>
      </c>
      <c r="AG313" t="s">
        <v>6291</v>
      </c>
      <c r="AH313" t="s">
        <v>6292</v>
      </c>
      <c r="BA313" t="str">
        <f>"2199"</f>
        <v>2199</v>
      </c>
      <c r="BB313" t="str">
        <f>"925"</f>
        <v>925</v>
      </c>
      <c r="BC313" t="s">
        <v>665</v>
      </c>
      <c r="BD313" t="str">
        <f>"1"</f>
        <v>1</v>
      </c>
      <c r="BE313" t="s">
        <v>4669</v>
      </c>
      <c r="BF313" t="str">
        <f>"37.6"</f>
        <v>37.6</v>
      </c>
      <c r="BG313" t="str">
        <f>"33.27"</f>
        <v>33.27</v>
      </c>
      <c r="BH313" t="str">
        <f>"27.36"</f>
        <v>27.36</v>
      </c>
      <c r="BI313" t="str">
        <f>"52.25"</f>
        <v>52.25</v>
      </c>
      <c r="BY313" t="str">
        <f>"19.81"</f>
        <v>19.81</v>
      </c>
      <c r="BZ313" t="str">
        <f>"0.561"</f>
        <v>0.561</v>
      </c>
      <c r="CA313" t="s">
        <v>431</v>
      </c>
      <c r="CH313" t="s">
        <v>1016</v>
      </c>
      <c r="CI313" t="s">
        <v>6252</v>
      </c>
      <c r="CJ313" t="s">
        <v>6253</v>
      </c>
      <c r="CK313" t="s">
        <v>1291</v>
      </c>
      <c r="CL313" t="s">
        <v>5544</v>
      </c>
      <c r="CM313" t="s">
        <v>3058</v>
      </c>
      <c r="CN313">
        <v>0</v>
      </c>
      <c r="CO313">
        <v>1</v>
      </c>
      <c r="CP313" t="s">
        <v>437</v>
      </c>
      <c r="CQ313" t="s">
        <v>438</v>
      </c>
      <c r="CU313" t="s">
        <v>6254</v>
      </c>
      <c r="CV313" t="s">
        <v>6255</v>
      </c>
      <c r="CW313" t="s">
        <v>6256</v>
      </c>
      <c r="CZ313" t="s">
        <v>403</v>
      </c>
      <c r="DA313" t="s">
        <v>400</v>
      </c>
      <c r="DB313">
        <v>0</v>
      </c>
      <c r="DF313">
        <v>0</v>
      </c>
      <c r="DG313" t="s">
        <v>1892</v>
      </c>
      <c r="DH313" t="s">
        <v>2640</v>
      </c>
      <c r="DI313" t="s">
        <v>407</v>
      </c>
      <c r="DJ313">
        <v>1</v>
      </c>
      <c r="DK313">
        <v>1</v>
      </c>
      <c r="DM313" t="s">
        <v>6257</v>
      </c>
      <c r="DN313">
        <v>0</v>
      </c>
      <c r="DO313" t="s">
        <v>538</v>
      </c>
      <c r="DP313" t="s">
        <v>536</v>
      </c>
      <c r="DQ313" t="s">
        <v>3511</v>
      </c>
      <c r="DR313" t="s">
        <v>6258</v>
      </c>
      <c r="DV313" t="s">
        <v>1290</v>
      </c>
      <c r="DW313" t="s">
        <v>3256</v>
      </c>
      <c r="DX313" t="s">
        <v>1055</v>
      </c>
      <c r="DY313" t="s">
        <v>5831</v>
      </c>
      <c r="DZ313" t="s">
        <v>6259</v>
      </c>
      <c r="EA313" t="s">
        <v>6253</v>
      </c>
      <c r="EB313" t="s">
        <v>5831</v>
      </c>
      <c r="EC313" t="s">
        <v>1055</v>
      </c>
      <c r="EF313" t="s">
        <v>406</v>
      </c>
      <c r="EG313" t="s">
        <v>407</v>
      </c>
      <c r="EH313" t="s">
        <v>6260</v>
      </c>
      <c r="EI313" t="s">
        <v>1513</v>
      </c>
      <c r="ER313" t="s">
        <v>3058</v>
      </c>
      <c r="ES313" t="s">
        <v>6253</v>
      </c>
      <c r="ET313">
        <v>0</v>
      </c>
      <c r="EU313">
        <v>0</v>
      </c>
      <c r="EW313">
        <v>0</v>
      </c>
    </row>
    <row r="314" spans="1:241" x14ac:dyDescent="0.25">
      <c r="A314" t="s">
        <v>6293</v>
      </c>
      <c r="B314" t="str">
        <f>"801542689865"</f>
        <v>801542689865</v>
      </c>
      <c r="C314" t="s">
        <v>6294</v>
      </c>
      <c r="D314" t="s">
        <v>4843</v>
      </c>
      <c r="E314" t="s">
        <v>647</v>
      </c>
      <c r="F314" t="s">
        <v>648</v>
      </c>
      <c r="G314" t="str">
        <f t="shared" ref="G314:H316" si="86">"60"</f>
        <v>60</v>
      </c>
      <c r="H314" t="str">
        <f t="shared" si="86"/>
        <v>60</v>
      </c>
      <c r="I314" t="str">
        <f>"30.5"</f>
        <v>30.5</v>
      </c>
      <c r="J314" t="str">
        <f>"285.81"</f>
        <v>285.81</v>
      </c>
      <c r="K314" t="s">
        <v>4844</v>
      </c>
      <c r="L314" t="s">
        <v>6295</v>
      </c>
      <c r="N314" t="s">
        <v>775</v>
      </c>
      <c r="O314" t="s">
        <v>6002</v>
      </c>
      <c r="T314" t="s">
        <v>373</v>
      </c>
      <c r="U314" t="s">
        <v>373</v>
      </c>
      <c r="V314" t="s">
        <v>6296</v>
      </c>
      <c r="W314" t="s">
        <v>6297</v>
      </c>
      <c r="X314" t="s">
        <v>6298</v>
      </c>
      <c r="Y314" t="s">
        <v>6299</v>
      </c>
      <c r="Z314" t="s">
        <v>6300</v>
      </c>
      <c r="AA314" t="s">
        <v>6301</v>
      </c>
      <c r="AB314" t="s">
        <v>6302</v>
      </c>
      <c r="AC314" t="s">
        <v>6303</v>
      </c>
      <c r="AD314" t="s">
        <v>6304</v>
      </c>
      <c r="AE314" t="s">
        <v>6305</v>
      </c>
      <c r="AF314" t="s">
        <v>6306</v>
      </c>
      <c r="AG314" t="s">
        <v>6307</v>
      </c>
      <c r="AH314" t="s">
        <v>6308</v>
      </c>
      <c r="AI314" t="s">
        <v>6309</v>
      </c>
      <c r="AJ314" t="s">
        <v>6310</v>
      </c>
      <c r="AK314" t="s">
        <v>6311</v>
      </c>
      <c r="BA314" t="str">
        <f>"2299"</f>
        <v>2299</v>
      </c>
      <c r="BB314" t="str">
        <f>"970"</f>
        <v>970</v>
      </c>
      <c r="BC314" t="s">
        <v>949</v>
      </c>
      <c r="BD314" t="str">
        <f>"3"</f>
        <v>3</v>
      </c>
      <c r="BE314" t="s">
        <v>1089</v>
      </c>
      <c r="BF314" t="str">
        <f>"63.5"</f>
        <v>63.5</v>
      </c>
      <c r="BG314" t="str">
        <f>"64"</f>
        <v>64</v>
      </c>
      <c r="BH314" t="str">
        <f>"5"</f>
        <v>5</v>
      </c>
      <c r="BI314" t="str">
        <f>"135.36"</f>
        <v>135.36</v>
      </c>
      <c r="BJ314" t="s">
        <v>1090</v>
      </c>
      <c r="BK314" t="str">
        <f>"34"</f>
        <v>34</v>
      </c>
      <c r="BL314" t="str">
        <f>"35.25"</f>
        <v>35.25</v>
      </c>
      <c r="BM314" t="str">
        <f>"34.5"</f>
        <v>34.5</v>
      </c>
      <c r="BN314" t="str">
        <f>"134.48"</f>
        <v>134.48</v>
      </c>
      <c r="BO314" t="s">
        <v>6312</v>
      </c>
      <c r="BP314" t="str">
        <f t="shared" ref="BP314:BQ316" si="87">"17.25"</f>
        <v>17.25</v>
      </c>
      <c r="BQ314" t="str">
        <f t="shared" si="87"/>
        <v>17.25</v>
      </c>
      <c r="BR314" t="str">
        <f>"15"</f>
        <v>15</v>
      </c>
      <c r="BS314" t="str">
        <f>"66.13"</f>
        <v>66.13</v>
      </c>
      <c r="BY314" t="str">
        <f>"38.28"</f>
        <v>38.28</v>
      </c>
      <c r="BZ314" t="str">
        <f>"1.084"</f>
        <v>1.084</v>
      </c>
      <c r="CA314" t="s">
        <v>431</v>
      </c>
      <c r="CR314" t="s">
        <v>400</v>
      </c>
      <c r="CS314">
        <v>0</v>
      </c>
      <c r="CT314" t="s">
        <v>400</v>
      </c>
      <c r="CV314">
        <v>0</v>
      </c>
      <c r="CY314" t="s">
        <v>400</v>
      </c>
      <c r="DA314">
        <v>0</v>
      </c>
      <c r="DB314">
        <v>0</v>
      </c>
      <c r="DC314">
        <v>0</v>
      </c>
      <c r="DI314">
        <v>6</v>
      </c>
      <c r="DJ314" t="s">
        <v>471</v>
      </c>
      <c r="DK314" t="s">
        <v>6313</v>
      </c>
      <c r="DM314" t="s">
        <v>473</v>
      </c>
      <c r="DX314" t="s">
        <v>609</v>
      </c>
      <c r="EI314" t="s">
        <v>1853</v>
      </c>
      <c r="EJ314" t="s">
        <v>609</v>
      </c>
      <c r="EK314" t="s">
        <v>1853</v>
      </c>
      <c r="EL314" t="s">
        <v>475</v>
      </c>
      <c r="EM314" t="s">
        <v>402</v>
      </c>
      <c r="EN314">
        <v>0</v>
      </c>
      <c r="EO314">
        <v>0</v>
      </c>
      <c r="EW314" t="s">
        <v>609</v>
      </c>
      <c r="EX314" t="s">
        <v>979</v>
      </c>
      <c r="EY314" t="s">
        <v>1115</v>
      </c>
    </row>
    <row r="315" spans="1:241" x14ac:dyDescent="0.25">
      <c r="A315" t="s">
        <v>6314</v>
      </c>
      <c r="B315" t="str">
        <f>"801542753528"</f>
        <v>801542753528</v>
      </c>
      <c r="C315" t="s">
        <v>6294</v>
      </c>
      <c r="D315" t="s">
        <v>4843</v>
      </c>
      <c r="E315" t="s">
        <v>647</v>
      </c>
      <c r="F315" t="s">
        <v>648</v>
      </c>
      <c r="G315" t="str">
        <f t="shared" si="86"/>
        <v>60</v>
      </c>
      <c r="H315" t="str">
        <f t="shared" si="86"/>
        <v>60</v>
      </c>
      <c r="I315" t="str">
        <f>"30.5"</f>
        <v>30.5</v>
      </c>
      <c r="J315" t="str">
        <f>"285.81"</f>
        <v>285.81</v>
      </c>
      <c r="K315" t="s">
        <v>4844</v>
      </c>
      <c r="L315" t="s">
        <v>6315</v>
      </c>
      <c r="N315" t="s">
        <v>775</v>
      </c>
      <c r="O315" t="s">
        <v>6002</v>
      </c>
      <c r="T315" t="s">
        <v>373</v>
      </c>
      <c r="U315" t="s">
        <v>373</v>
      </c>
      <c r="V315" t="s">
        <v>6316</v>
      </c>
      <c r="W315" t="s">
        <v>6317</v>
      </c>
      <c r="X315" t="s">
        <v>6318</v>
      </c>
      <c r="Y315" t="s">
        <v>6319</v>
      </c>
      <c r="Z315" t="s">
        <v>6320</v>
      </c>
      <c r="AA315" t="s">
        <v>6321</v>
      </c>
      <c r="AB315" t="s">
        <v>6322</v>
      </c>
      <c r="BA315" t="str">
        <f>"2299"</f>
        <v>2299</v>
      </c>
      <c r="BB315" t="str">
        <f>"970"</f>
        <v>970</v>
      </c>
      <c r="BC315" t="s">
        <v>949</v>
      </c>
      <c r="BD315" t="str">
        <f>"3"</f>
        <v>3</v>
      </c>
      <c r="BE315" t="s">
        <v>1089</v>
      </c>
      <c r="BF315" t="str">
        <f>"63.5"</f>
        <v>63.5</v>
      </c>
      <c r="BG315" t="str">
        <f>"64"</f>
        <v>64</v>
      </c>
      <c r="BH315" t="str">
        <f>"5"</f>
        <v>5</v>
      </c>
      <c r="BI315" t="str">
        <f>"135.36"</f>
        <v>135.36</v>
      </c>
      <c r="BJ315" t="s">
        <v>1090</v>
      </c>
      <c r="BK315" t="str">
        <f>"34"</f>
        <v>34</v>
      </c>
      <c r="BL315" t="str">
        <f>"35.25"</f>
        <v>35.25</v>
      </c>
      <c r="BM315" t="str">
        <f>"34.5"</f>
        <v>34.5</v>
      </c>
      <c r="BN315" t="str">
        <f>"134.48"</f>
        <v>134.48</v>
      </c>
      <c r="BO315" t="s">
        <v>6312</v>
      </c>
      <c r="BP315" t="str">
        <f t="shared" si="87"/>
        <v>17.25</v>
      </c>
      <c r="BQ315" t="str">
        <f t="shared" si="87"/>
        <v>17.25</v>
      </c>
      <c r="BR315" t="str">
        <f>"15"</f>
        <v>15</v>
      </c>
      <c r="BS315" t="str">
        <f>"66.13"</f>
        <v>66.13</v>
      </c>
      <c r="BY315" t="str">
        <f>"38.28"</f>
        <v>38.28</v>
      </c>
      <c r="BZ315" t="str">
        <f>"1.084"</f>
        <v>1.084</v>
      </c>
      <c r="CA315" t="s">
        <v>431</v>
      </c>
      <c r="CR315" t="s">
        <v>400</v>
      </c>
      <c r="CS315">
        <v>0</v>
      </c>
      <c r="CT315" t="s">
        <v>400</v>
      </c>
      <c r="CV315">
        <v>0</v>
      </c>
      <c r="CY315" t="s">
        <v>400</v>
      </c>
      <c r="DA315">
        <v>0</v>
      </c>
      <c r="DB315">
        <v>0</v>
      </c>
      <c r="DC315">
        <v>0</v>
      </c>
      <c r="DI315">
        <v>6</v>
      </c>
      <c r="DJ315" t="s">
        <v>471</v>
      </c>
      <c r="DK315" t="s">
        <v>6313</v>
      </c>
      <c r="DM315" t="s">
        <v>473</v>
      </c>
      <c r="DX315" t="s">
        <v>609</v>
      </c>
      <c r="EI315" t="s">
        <v>1853</v>
      </c>
      <c r="EJ315" t="s">
        <v>609</v>
      </c>
      <c r="EK315" t="s">
        <v>1853</v>
      </c>
      <c r="EL315" t="s">
        <v>475</v>
      </c>
      <c r="EM315" t="s">
        <v>402</v>
      </c>
      <c r="EN315">
        <v>0</v>
      </c>
      <c r="EO315">
        <v>0</v>
      </c>
      <c r="EW315" t="s">
        <v>609</v>
      </c>
      <c r="EX315" t="s">
        <v>979</v>
      </c>
      <c r="EY315" t="s">
        <v>1115</v>
      </c>
    </row>
    <row r="316" spans="1:241" x14ac:dyDescent="0.25">
      <c r="A316" t="s">
        <v>6323</v>
      </c>
      <c r="B316" t="str">
        <f>"801542165475"</f>
        <v>801542165475</v>
      </c>
      <c r="C316" t="s">
        <v>6324</v>
      </c>
      <c r="D316" t="s">
        <v>4843</v>
      </c>
      <c r="E316" t="s">
        <v>647</v>
      </c>
      <c r="F316" t="s">
        <v>648</v>
      </c>
      <c r="G316" t="str">
        <f t="shared" si="86"/>
        <v>60</v>
      </c>
      <c r="H316" t="str">
        <f t="shared" si="86"/>
        <v>60</v>
      </c>
      <c r="I316" t="str">
        <f>"30.5"</f>
        <v>30.5</v>
      </c>
      <c r="J316" t="str">
        <f>"285.81"</f>
        <v>285.81</v>
      </c>
      <c r="K316" t="s">
        <v>4868</v>
      </c>
      <c r="L316" t="s">
        <v>6017</v>
      </c>
      <c r="N316" t="s">
        <v>775</v>
      </c>
      <c r="O316" t="s">
        <v>6002</v>
      </c>
      <c r="T316" t="s">
        <v>373</v>
      </c>
      <c r="U316" t="s">
        <v>373</v>
      </c>
      <c r="V316" t="s">
        <v>6325</v>
      </c>
      <c r="W316" t="s">
        <v>6326</v>
      </c>
      <c r="X316" t="s">
        <v>6327</v>
      </c>
      <c r="Y316" t="s">
        <v>6328</v>
      </c>
      <c r="Z316" t="s">
        <v>6329</v>
      </c>
      <c r="AA316" t="s">
        <v>6330</v>
      </c>
      <c r="AB316" t="s">
        <v>6331</v>
      </c>
      <c r="AC316" t="s">
        <v>6332</v>
      </c>
      <c r="AD316" t="s">
        <v>6333</v>
      </c>
      <c r="AE316" t="s">
        <v>6334</v>
      </c>
      <c r="AF316" t="s">
        <v>6335</v>
      </c>
      <c r="BA316" t="str">
        <f>"2299"</f>
        <v>2299</v>
      </c>
      <c r="BB316" t="str">
        <f>"970"</f>
        <v>970</v>
      </c>
      <c r="BC316" t="s">
        <v>949</v>
      </c>
      <c r="BD316" t="str">
        <f>"3"</f>
        <v>3</v>
      </c>
      <c r="BE316" t="s">
        <v>1089</v>
      </c>
      <c r="BF316" t="str">
        <f>"63.5"</f>
        <v>63.5</v>
      </c>
      <c r="BG316" t="str">
        <f>"64"</f>
        <v>64</v>
      </c>
      <c r="BH316" t="str">
        <f>"5"</f>
        <v>5</v>
      </c>
      <c r="BI316" t="str">
        <f>"135.47"</f>
        <v>135.47</v>
      </c>
      <c r="BJ316" t="s">
        <v>1090</v>
      </c>
      <c r="BK316" t="str">
        <f>"34"</f>
        <v>34</v>
      </c>
      <c r="BL316" t="str">
        <f>"35.25"</f>
        <v>35.25</v>
      </c>
      <c r="BM316" t="str">
        <f>"34.5"</f>
        <v>34.5</v>
      </c>
      <c r="BN316" t="str">
        <f>"134.48"</f>
        <v>134.48</v>
      </c>
      <c r="BO316" t="s">
        <v>6312</v>
      </c>
      <c r="BP316" t="str">
        <f t="shared" si="87"/>
        <v>17.25</v>
      </c>
      <c r="BQ316" t="str">
        <f t="shared" si="87"/>
        <v>17.25</v>
      </c>
      <c r="BR316" t="str">
        <f>"15"</f>
        <v>15</v>
      </c>
      <c r="BS316" t="str">
        <f>"66.13"</f>
        <v>66.13</v>
      </c>
      <c r="BY316" t="str">
        <f>"38.28"</f>
        <v>38.28</v>
      </c>
      <c r="BZ316" t="str">
        <f>"1.084"</f>
        <v>1.084</v>
      </c>
      <c r="CA316" t="s">
        <v>431</v>
      </c>
      <c r="CR316" t="s">
        <v>400</v>
      </c>
      <c r="CS316">
        <v>0</v>
      </c>
      <c r="CT316" t="s">
        <v>400</v>
      </c>
      <c r="CV316">
        <v>0</v>
      </c>
      <c r="CY316" t="s">
        <v>400</v>
      </c>
      <c r="DA316">
        <v>0</v>
      </c>
      <c r="DB316">
        <v>0</v>
      </c>
      <c r="DC316">
        <v>0</v>
      </c>
      <c r="DI316">
        <v>6</v>
      </c>
      <c r="DJ316" t="s">
        <v>471</v>
      </c>
      <c r="DK316" t="s">
        <v>6313</v>
      </c>
      <c r="DM316" t="s">
        <v>473</v>
      </c>
      <c r="DX316" t="s">
        <v>609</v>
      </c>
      <c r="EI316" t="s">
        <v>1853</v>
      </c>
      <c r="EJ316" t="s">
        <v>609</v>
      </c>
      <c r="EK316" t="s">
        <v>1853</v>
      </c>
      <c r="EL316" t="s">
        <v>475</v>
      </c>
      <c r="EM316" t="s">
        <v>402</v>
      </c>
      <c r="EN316">
        <v>0</v>
      </c>
      <c r="EO316">
        <v>0</v>
      </c>
      <c r="EW316" t="s">
        <v>609</v>
      </c>
      <c r="EX316" t="s">
        <v>979</v>
      </c>
      <c r="EY316" t="s">
        <v>1115</v>
      </c>
    </row>
    <row r="317" spans="1:241" x14ac:dyDescent="0.25">
      <c r="A317" t="s">
        <v>6336</v>
      </c>
      <c r="B317" t="str">
        <f>"801542642471"</f>
        <v>801542642471</v>
      </c>
      <c r="C317" t="s">
        <v>6337</v>
      </c>
      <c r="D317" t="s">
        <v>4843</v>
      </c>
      <c r="E317" t="s">
        <v>647</v>
      </c>
      <c r="F317" t="s">
        <v>3367</v>
      </c>
      <c r="G317" t="str">
        <f>"70"</f>
        <v>70</v>
      </c>
      <c r="H317" t="str">
        <f>"28"</f>
        <v>28</v>
      </c>
      <c r="I317" t="str">
        <f>"42"</f>
        <v>42</v>
      </c>
      <c r="J317" t="str">
        <f>"189.48"</f>
        <v>189.48</v>
      </c>
      <c r="K317" t="s">
        <v>6315</v>
      </c>
      <c r="L317" t="s">
        <v>6338</v>
      </c>
      <c r="N317" t="s">
        <v>6002</v>
      </c>
      <c r="O317" t="s">
        <v>933</v>
      </c>
      <c r="T317" t="s">
        <v>373</v>
      </c>
      <c r="U317" t="s">
        <v>373</v>
      </c>
      <c r="V317" t="s">
        <v>6339</v>
      </c>
      <c r="W317" t="s">
        <v>6340</v>
      </c>
      <c r="X317" t="s">
        <v>6341</v>
      </c>
      <c r="Y317" t="s">
        <v>6342</v>
      </c>
      <c r="Z317" t="s">
        <v>6343</v>
      </c>
      <c r="AA317" t="s">
        <v>6344</v>
      </c>
      <c r="AB317" t="s">
        <v>6345</v>
      </c>
      <c r="AC317" t="s">
        <v>6346</v>
      </c>
      <c r="AD317" t="s">
        <v>6347</v>
      </c>
      <c r="AE317" t="s">
        <v>6348</v>
      </c>
      <c r="AF317" t="s">
        <v>6349</v>
      </c>
      <c r="AG317" t="s">
        <v>6350</v>
      </c>
      <c r="BA317" t="str">
        <f>"1199"</f>
        <v>1199</v>
      </c>
      <c r="BB317" t="str">
        <f>"505"</f>
        <v>505</v>
      </c>
      <c r="BC317" t="s">
        <v>949</v>
      </c>
      <c r="BD317" t="str">
        <f>"2"</f>
        <v>2</v>
      </c>
      <c r="BE317" t="s">
        <v>1089</v>
      </c>
      <c r="BF317" t="str">
        <f>"77.25"</f>
        <v>77.25</v>
      </c>
      <c r="BG317" t="str">
        <f>"7.5"</f>
        <v>7.5</v>
      </c>
      <c r="BH317" t="str">
        <f>"30.75"</f>
        <v>30.75</v>
      </c>
      <c r="BI317" t="str">
        <f>"195.77"</f>
        <v>195.77</v>
      </c>
      <c r="BJ317" t="s">
        <v>6351</v>
      </c>
      <c r="BK317" t="str">
        <f>"69"</f>
        <v>69</v>
      </c>
      <c r="BL317" t="str">
        <f>"10.25"</f>
        <v>10.25</v>
      </c>
      <c r="BM317" t="str">
        <f>"46.5"</f>
        <v>46.5</v>
      </c>
      <c r="BN317" t="str">
        <f>"110.56"</f>
        <v>110.56</v>
      </c>
      <c r="BY317" t="str">
        <f>"29.35"</f>
        <v>29.35</v>
      </c>
      <c r="BZ317" t="str">
        <f>"0.831"</f>
        <v>0.831</v>
      </c>
      <c r="CA317" t="s">
        <v>390</v>
      </c>
      <c r="CR317" t="s">
        <v>400</v>
      </c>
      <c r="CS317">
        <v>0</v>
      </c>
      <c r="CT317" t="s">
        <v>400</v>
      </c>
      <c r="CV317">
        <v>0</v>
      </c>
      <c r="CX317" t="s">
        <v>667</v>
      </c>
      <c r="CY317" t="s">
        <v>400</v>
      </c>
      <c r="DA317">
        <v>0</v>
      </c>
      <c r="DB317">
        <v>0</v>
      </c>
      <c r="DC317">
        <v>0</v>
      </c>
      <c r="DI317">
        <v>6</v>
      </c>
      <c r="DJ317" t="s">
        <v>408</v>
      </c>
      <c r="DK317" t="s">
        <v>6352</v>
      </c>
      <c r="DM317" t="s">
        <v>473</v>
      </c>
      <c r="DX317" t="s">
        <v>1852</v>
      </c>
      <c r="DY317" t="s">
        <v>6353</v>
      </c>
      <c r="DZ317" t="s">
        <v>6354</v>
      </c>
      <c r="EI317" t="s">
        <v>609</v>
      </c>
      <c r="EJ317" t="s">
        <v>1150</v>
      </c>
      <c r="EK317" t="s">
        <v>6355</v>
      </c>
      <c r="EL317" t="s">
        <v>3599</v>
      </c>
      <c r="EM317" t="s">
        <v>402</v>
      </c>
      <c r="EN317">
        <v>0</v>
      </c>
      <c r="EO317">
        <v>0</v>
      </c>
      <c r="EV317" t="s">
        <v>1852</v>
      </c>
      <c r="IG317" t="s">
        <v>3387</v>
      </c>
    </row>
    <row r="318" spans="1:241" x14ac:dyDescent="0.25">
      <c r="A318" t="s">
        <v>6356</v>
      </c>
      <c r="B318" t="str">
        <f>"801542642488"</f>
        <v>801542642488</v>
      </c>
      <c r="C318" t="s">
        <v>6337</v>
      </c>
      <c r="D318" t="s">
        <v>4843</v>
      </c>
      <c r="E318" t="s">
        <v>647</v>
      </c>
      <c r="F318" t="s">
        <v>3367</v>
      </c>
      <c r="G318" t="str">
        <f>"70"</f>
        <v>70</v>
      </c>
      <c r="H318" t="str">
        <f>"26"</f>
        <v>26</v>
      </c>
      <c r="I318" t="str">
        <f>"36"</f>
        <v>36</v>
      </c>
      <c r="J318" t="str">
        <f>"182.18"</f>
        <v>182.18</v>
      </c>
      <c r="K318" t="s">
        <v>6315</v>
      </c>
      <c r="L318" t="s">
        <v>6338</v>
      </c>
      <c r="N318" t="s">
        <v>6002</v>
      </c>
      <c r="O318" t="s">
        <v>933</v>
      </c>
      <c r="T318" t="s">
        <v>373</v>
      </c>
      <c r="U318" t="s">
        <v>373</v>
      </c>
      <c r="V318" t="s">
        <v>6357</v>
      </c>
      <c r="W318" t="s">
        <v>6358</v>
      </c>
      <c r="X318" t="s">
        <v>6359</v>
      </c>
      <c r="Y318" t="s">
        <v>6360</v>
      </c>
      <c r="Z318" t="s">
        <v>6361</v>
      </c>
      <c r="AA318" t="s">
        <v>6362</v>
      </c>
      <c r="AB318" t="s">
        <v>6363</v>
      </c>
      <c r="AC318" t="s">
        <v>6364</v>
      </c>
      <c r="AD318" t="s">
        <v>6365</v>
      </c>
      <c r="AE318" t="s">
        <v>6366</v>
      </c>
      <c r="AF318" t="s">
        <v>6367</v>
      </c>
      <c r="AG318" t="s">
        <v>6368</v>
      </c>
      <c r="BA318" t="str">
        <f>"1099"</f>
        <v>1099</v>
      </c>
      <c r="BB318" t="str">
        <f>"465"</f>
        <v>465</v>
      </c>
      <c r="BC318" t="s">
        <v>949</v>
      </c>
      <c r="BD318" t="str">
        <f>"2"</f>
        <v>2</v>
      </c>
      <c r="BE318" t="s">
        <v>1089</v>
      </c>
      <c r="BF318" t="str">
        <f>"77.25"</f>
        <v>77.25</v>
      </c>
      <c r="BG318" t="str">
        <f>"7.5"</f>
        <v>7.5</v>
      </c>
      <c r="BH318" t="str">
        <f>"30"</f>
        <v>30</v>
      </c>
      <c r="BI318" t="str">
        <f>"186.29"</f>
        <v>186.29</v>
      </c>
      <c r="BJ318" t="s">
        <v>6351</v>
      </c>
      <c r="BK318" t="str">
        <f>"67"</f>
        <v>67</v>
      </c>
      <c r="BL318" t="str">
        <f>"10.25"</f>
        <v>10.25</v>
      </c>
      <c r="BM318" t="str">
        <f>"44"</f>
        <v>44</v>
      </c>
      <c r="BN318" t="str">
        <f>"94.58"</f>
        <v>94.58</v>
      </c>
      <c r="BY318" t="str">
        <f>"27.55"</f>
        <v>27.55</v>
      </c>
      <c r="BZ318" t="str">
        <f>"0.78"</f>
        <v>0.78</v>
      </c>
      <c r="CA318" t="s">
        <v>390</v>
      </c>
      <c r="CR318" t="s">
        <v>400</v>
      </c>
      <c r="CS318">
        <v>0</v>
      </c>
      <c r="CT318" t="s">
        <v>400</v>
      </c>
      <c r="CV318">
        <v>0</v>
      </c>
      <c r="CX318" t="s">
        <v>667</v>
      </c>
      <c r="CY318" t="s">
        <v>400</v>
      </c>
      <c r="DA318">
        <v>0</v>
      </c>
      <c r="DB318">
        <v>0</v>
      </c>
      <c r="DC318">
        <v>0</v>
      </c>
      <c r="DI318">
        <v>6</v>
      </c>
      <c r="DJ318" t="s">
        <v>408</v>
      </c>
      <c r="DK318" t="s">
        <v>6352</v>
      </c>
      <c r="DM318" t="s">
        <v>473</v>
      </c>
      <c r="DX318" t="s">
        <v>1852</v>
      </c>
      <c r="DY318" t="s">
        <v>6369</v>
      </c>
      <c r="DZ318" t="s">
        <v>6370</v>
      </c>
      <c r="EI318" t="s">
        <v>796</v>
      </c>
      <c r="EJ318" t="s">
        <v>859</v>
      </c>
      <c r="EK318" t="s">
        <v>2926</v>
      </c>
      <c r="EL318" t="s">
        <v>3599</v>
      </c>
      <c r="EM318" t="s">
        <v>402</v>
      </c>
      <c r="EN318">
        <v>0</v>
      </c>
      <c r="EO318">
        <v>0</v>
      </c>
      <c r="EV318" t="s">
        <v>1852</v>
      </c>
      <c r="IG318" t="s">
        <v>6371</v>
      </c>
    </row>
    <row r="319" spans="1:241" x14ac:dyDescent="0.25">
      <c r="A319" t="s">
        <v>6372</v>
      </c>
      <c r="B319" t="str">
        <f>"801542067656"</f>
        <v>801542067656</v>
      </c>
      <c r="C319" t="s">
        <v>6373</v>
      </c>
      <c r="D319" t="s">
        <v>4843</v>
      </c>
      <c r="E319" t="s">
        <v>647</v>
      </c>
      <c r="F319" t="s">
        <v>3367</v>
      </c>
      <c r="G319" t="str">
        <f>"70"</f>
        <v>70</v>
      </c>
      <c r="H319" t="str">
        <f>"26"</f>
        <v>26</v>
      </c>
      <c r="I319" t="str">
        <f>"36"</f>
        <v>36</v>
      </c>
      <c r="J319" t="str">
        <f>"182.18"</f>
        <v>182.18</v>
      </c>
      <c r="K319" t="s">
        <v>6096</v>
      </c>
      <c r="L319" t="s">
        <v>6374</v>
      </c>
      <c r="N319" t="s">
        <v>6002</v>
      </c>
      <c r="O319" t="s">
        <v>933</v>
      </c>
      <c r="T319" t="s">
        <v>373</v>
      </c>
      <c r="U319" t="s">
        <v>373</v>
      </c>
      <c r="V319" t="s">
        <v>6375</v>
      </c>
      <c r="W319" t="s">
        <v>6376</v>
      </c>
      <c r="X319" t="s">
        <v>6377</v>
      </c>
      <c r="Y319" t="s">
        <v>6378</v>
      </c>
      <c r="Z319" t="s">
        <v>6379</v>
      </c>
      <c r="AA319" t="s">
        <v>6380</v>
      </c>
      <c r="AB319" t="s">
        <v>6381</v>
      </c>
      <c r="AC319" t="s">
        <v>6382</v>
      </c>
      <c r="AD319" t="s">
        <v>6383</v>
      </c>
      <c r="AE319" t="s">
        <v>6384</v>
      </c>
      <c r="AF319" t="s">
        <v>6385</v>
      </c>
      <c r="BA319" t="str">
        <f>"1099"</f>
        <v>1099</v>
      </c>
      <c r="BB319" t="str">
        <f>"465"</f>
        <v>465</v>
      </c>
      <c r="BC319" t="s">
        <v>949</v>
      </c>
      <c r="BD319" t="str">
        <f>"2"</f>
        <v>2</v>
      </c>
      <c r="BE319" t="s">
        <v>1089</v>
      </c>
      <c r="BF319" t="str">
        <f>"77.25"</f>
        <v>77.25</v>
      </c>
      <c r="BG319" t="str">
        <f>"7.5"</f>
        <v>7.5</v>
      </c>
      <c r="BH319" t="str">
        <f>"30"</f>
        <v>30</v>
      </c>
      <c r="BI319" t="str">
        <f>"186.29"</f>
        <v>186.29</v>
      </c>
      <c r="BJ319" t="s">
        <v>6351</v>
      </c>
      <c r="BK319" t="str">
        <f>"67"</f>
        <v>67</v>
      </c>
      <c r="BL319" t="str">
        <f>"10.25"</f>
        <v>10.25</v>
      </c>
      <c r="BM319" t="str">
        <f>"44"</f>
        <v>44</v>
      </c>
      <c r="BN319" t="str">
        <f>"94.58"</f>
        <v>94.58</v>
      </c>
      <c r="BY319" t="str">
        <f>"27.55"</f>
        <v>27.55</v>
      </c>
      <c r="BZ319" t="str">
        <f>"0.78"</f>
        <v>0.78</v>
      </c>
      <c r="CA319" t="s">
        <v>431</v>
      </c>
      <c r="CR319" t="s">
        <v>400</v>
      </c>
      <c r="CS319">
        <v>0</v>
      </c>
      <c r="CT319" t="s">
        <v>400</v>
      </c>
      <c r="CV319">
        <v>0</v>
      </c>
      <c r="CX319" t="s">
        <v>667</v>
      </c>
      <c r="CY319" t="s">
        <v>400</v>
      </c>
      <c r="DA319">
        <v>0</v>
      </c>
      <c r="DB319">
        <v>0</v>
      </c>
      <c r="DC319">
        <v>0</v>
      </c>
      <c r="DI319">
        <v>6</v>
      </c>
      <c r="DJ319" t="s">
        <v>408</v>
      </c>
      <c r="DK319" t="s">
        <v>6352</v>
      </c>
      <c r="DM319" t="s">
        <v>473</v>
      </c>
      <c r="DX319" t="s">
        <v>1852</v>
      </c>
      <c r="DY319" t="s">
        <v>6369</v>
      </c>
      <c r="DZ319" t="s">
        <v>6370</v>
      </c>
      <c r="EI319" t="s">
        <v>796</v>
      </c>
      <c r="EJ319" t="s">
        <v>859</v>
      </c>
      <c r="EK319" t="s">
        <v>2926</v>
      </c>
      <c r="EL319" t="s">
        <v>3599</v>
      </c>
      <c r="EM319" t="s">
        <v>402</v>
      </c>
      <c r="EN319">
        <v>0</v>
      </c>
      <c r="EO319">
        <v>0</v>
      </c>
      <c r="EV319" t="s">
        <v>1852</v>
      </c>
      <c r="IG319" t="s">
        <v>6371</v>
      </c>
    </row>
    <row r="320" spans="1:241" x14ac:dyDescent="0.25">
      <c r="A320" t="s">
        <v>6386</v>
      </c>
      <c r="B320" t="str">
        <f>"801542044749"</f>
        <v>801542044749</v>
      </c>
      <c r="C320" t="s">
        <v>6387</v>
      </c>
      <c r="D320" t="s">
        <v>5513</v>
      </c>
      <c r="E320" t="s">
        <v>515</v>
      </c>
      <c r="F320" t="s">
        <v>516</v>
      </c>
      <c r="G320" t="str">
        <f>"29.25"</f>
        <v>29.25</v>
      </c>
      <c r="H320" t="str">
        <f>"30.75"</f>
        <v>30.75</v>
      </c>
      <c r="I320" t="str">
        <f>"28.75"</f>
        <v>28.75</v>
      </c>
      <c r="J320" t="str">
        <f>"36.6"</f>
        <v>36.6</v>
      </c>
      <c r="K320" t="s">
        <v>2714</v>
      </c>
      <c r="L320" t="s">
        <v>6388</v>
      </c>
      <c r="N320" t="s">
        <v>1916</v>
      </c>
      <c r="O320" t="s">
        <v>1917</v>
      </c>
      <c r="P320" t="s">
        <v>6389</v>
      </c>
      <c r="T320" t="s">
        <v>373</v>
      </c>
      <c r="U320" t="s">
        <v>402</v>
      </c>
      <c r="W320" t="s">
        <v>6390</v>
      </c>
      <c r="X320" t="s">
        <v>6391</v>
      </c>
      <c r="Y320" t="s">
        <v>6392</v>
      </c>
      <c r="Z320" t="s">
        <v>6393</v>
      </c>
      <c r="AA320" t="s">
        <v>6394</v>
      </c>
      <c r="AB320" t="s">
        <v>6395</v>
      </c>
      <c r="AC320" t="s">
        <v>6396</v>
      </c>
      <c r="AD320" t="s">
        <v>6397</v>
      </c>
      <c r="AE320" t="s">
        <v>6398</v>
      </c>
      <c r="AF320" t="s">
        <v>6399</v>
      </c>
      <c r="AG320" t="s">
        <v>6400</v>
      </c>
      <c r="AH320" t="s">
        <v>6401</v>
      </c>
      <c r="AI320" t="s">
        <v>6402</v>
      </c>
      <c r="AJ320" t="s">
        <v>6403</v>
      </c>
      <c r="AK320" t="s">
        <v>6404</v>
      </c>
      <c r="AL320" t="s">
        <v>6405</v>
      </c>
      <c r="AM320" t="s">
        <v>6406</v>
      </c>
      <c r="AN320" t="s">
        <v>6407</v>
      </c>
      <c r="AO320" t="s">
        <v>6408</v>
      </c>
      <c r="AP320" t="s">
        <v>6409</v>
      </c>
      <c r="AQ320" t="s">
        <v>6410</v>
      </c>
      <c r="AR320" t="s">
        <v>6411</v>
      </c>
      <c r="AS320" t="s">
        <v>6412</v>
      </c>
      <c r="AT320" t="s">
        <v>6413</v>
      </c>
      <c r="AU320" t="s">
        <v>6414</v>
      </c>
      <c r="BA320" t="str">
        <f>"899"</f>
        <v>899</v>
      </c>
      <c r="BB320" t="str">
        <f>"380"</f>
        <v>380</v>
      </c>
      <c r="BC320" t="s">
        <v>388</v>
      </c>
      <c r="BD320" t="str">
        <f t="shared" ref="BD320:BD339" si="88">"1"</f>
        <v>1</v>
      </c>
      <c r="BE320" t="s">
        <v>389</v>
      </c>
      <c r="BF320" t="str">
        <f>"31.89"</f>
        <v>31.89</v>
      </c>
      <c r="BG320" t="str">
        <f>"30.71"</f>
        <v>30.71</v>
      </c>
      <c r="BH320" t="str">
        <f>"31.5"</f>
        <v>31.5</v>
      </c>
      <c r="BI320" t="str">
        <f>"52.69"</f>
        <v>52.69</v>
      </c>
      <c r="BY320" t="str">
        <f>"17.83"</f>
        <v>17.83</v>
      </c>
      <c r="BZ320" t="str">
        <f>"0.505"</f>
        <v>0.505</v>
      </c>
      <c r="CA320" t="s">
        <v>495</v>
      </c>
      <c r="CK320" t="s">
        <v>3058</v>
      </c>
      <c r="CL320" t="s">
        <v>568</v>
      </c>
      <c r="CN320">
        <v>0</v>
      </c>
      <c r="CO320">
        <v>1</v>
      </c>
      <c r="CP320" t="s">
        <v>437</v>
      </c>
      <c r="CQ320" t="s">
        <v>631</v>
      </c>
      <c r="CX320" t="s">
        <v>403</v>
      </c>
      <c r="CY320" t="s">
        <v>400</v>
      </c>
      <c r="CZ320">
        <v>0</v>
      </c>
      <c r="DD320">
        <v>25000</v>
      </c>
      <c r="DE320" t="s">
        <v>439</v>
      </c>
      <c r="DF320" t="s">
        <v>632</v>
      </c>
      <c r="DG320" t="s">
        <v>407</v>
      </c>
      <c r="DH320">
        <v>1</v>
      </c>
      <c r="DI320">
        <v>1</v>
      </c>
      <c r="DK320" t="s">
        <v>6415</v>
      </c>
      <c r="DL320">
        <v>0</v>
      </c>
      <c r="DM320" t="s">
        <v>538</v>
      </c>
      <c r="DN320" t="s">
        <v>3058</v>
      </c>
      <c r="DO320" t="s">
        <v>2170</v>
      </c>
      <c r="DP320" t="s">
        <v>1412</v>
      </c>
      <c r="DT320" t="s">
        <v>395</v>
      </c>
      <c r="DX320" t="s">
        <v>3947</v>
      </c>
      <c r="DY320" t="s">
        <v>1491</v>
      </c>
      <c r="DZ320" t="s">
        <v>5831</v>
      </c>
      <c r="EA320" t="s">
        <v>745</v>
      </c>
      <c r="ED320" t="s">
        <v>632</v>
      </c>
      <c r="EE320" t="s">
        <v>454</v>
      </c>
      <c r="EG320" t="s">
        <v>749</v>
      </c>
      <c r="EP320" t="s">
        <v>2124</v>
      </c>
      <c r="EQ320" t="s">
        <v>5547</v>
      </c>
      <c r="ER320">
        <v>0</v>
      </c>
      <c r="ES320">
        <v>0</v>
      </c>
      <c r="EU320">
        <v>0</v>
      </c>
    </row>
    <row r="321" spans="1:291" x14ac:dyDescent="0.25">
      <c r="A321" t="s">
        <v>6416</v>
      </c>
      <c r="B321" t="str">
        <f>"801542044756"</f>
        <v>801542044756</v>
      </c>
      <c r="C321" t="s">
        <v>6417</v>
      </c>
      <c r="D321" t="s">
        <v>5513</v>
      </c>
      <c r="E321" t="s">
        <v>515</v>
      </c>
      <c r="F321" t="s">
        <v>516</v>
      </c>
      <c r="G321" t="str">
        <f>"29.25"</f>
        <v>29.25</v>
      </c>
      <c r="H321" t="str">
        <f>"30.75"</f>
        <v>30.75</v>
      </c>
      <c r="I321" t="str">
        <f>"28.75"</f>
        <v>28.75</v>
      </c>
      <c r="J321" t="str">
        <f>"36.6"</f>
        <v>36.6</v>
      </c>
      <c r="K321" t="s">
        <v>6418</v>
      </c>
      <c r="L321" t="s">
        <v>6419</v>
      </c>
      <c r="N321" t="s">
        <v>1916</v>
      </c>
      <c r="O321" t="s">
        <v>1917</v>
      </c>
      <c r="P321" t="s">
        <v>6389</v>
      </c>
      <c r="T321" t="s">
        <v>402</v>
      </c>
      <c r="U321" t="s">
        <v>402</v>
      </c>
      <c r="V321" t="s">
        <v>6420</v>
      </c>
      <c r="W321" t="s">
        <v>6421</v>
      </c>
      <c r="X321" t="s">
        <v>6422</v>
      </c>
      <c r="Y321" t="s">
        <v>6423</v>
      </c>
      <c r="Z321" t="s">
        <v>6424</v>
      </c>
      <c r="AA321" t="s">
        <v>6425</v>
      </c>
      <c r="AB321" t="s">
        <v>6426</v>
      </c>
      <c r="AC321" t="s">
        <v>6427</v>
      </c>
      <c r="AD321" t="s">
        <v>6428</v>
      </c>
      <c r="AE321" t="s">
        <v>6429</v>
      </c>
      <c r="AF321" t="s">
        <v>6430</v>
      </c>
      <c r="AG321" t="s">
        <v>6431</v>
      </c>
      <c r="AH321" t="s">
        <v>6432</v>
      </c>
      <c r="AI321" t="s">
        <v>6433</v>
      </c>
      <c r="AJ321" t="s">
        <v>6434</v>
      </c>
      <c r="AK321" t="s">
        <v>6435</v>
      </c>
      <c r="BA321" t="str">
        <f>"899"</f>
        <v>899</v>
      </c>
      <c r="BB321" t="str">
        <f>"380"</f>
        <v>380</v>
      </c>
      <c r="BC321" t="s">
        <v>388</v>
      </c>
      <c r="BD321" t="str">
        <f t="shared" si="88"/>
        <v>1</v>
      </c>
      <c r="BE321" t="s">
        <v>389</v>
      </c>
      <c r="BF321" t="str">
        <f>"31.89"</f>
        <v>31.89</v>
      </c>
      <c r="BG321" t="str">
        <f>"30.71"</f>
        <v>30.71</v>
      </c>
      <c r="BH321" t="str">
        <f>"31.5"</f>
        <v>31.5</v>
      </c>
      <c r="BI321" t="str">
        <f>"52.69"</f>
        <v>52.69</v>
      </c>
      <c r="BY321" t="str">
        <f>"17.83"</f>
        <v>17.83</v>
      </c>
      <c r="BZ321" t="str">
        <f>"0.505"</f>
        <v>0.505</v>
      </c>
      <c r="CA321" t="s">
        <v>431</v>
      </c>
      <c r="CK321" t="s">
        <v>3058</v>
      </c>
      <c r="CL321" t="s">
        <v>568</v>
      </c>
      <c r="CN321">
        <v>0</v>
      </c>
      <c r="CO321">
        <v>1</v>
      </c>
      <c r="CP321" t="s">
        <v>437</v>
      </c>
      <c r="CQ321" t="s">
        <v>631</v>
      </c>
      <c r="CX321" t="s">
        <v>403</v>
      </c>
      <c r="CY321" t="s">
        <v>400</v>
      </c>
      <c r="CZ321">
        <v>0</v>
      </c>
      <c r="DD321">
        <v>25000</v>
      </c>
      <c r="DE321" t="s">
        <v>439</v>
      </c>
      <c r="DF321" t="s">
        <v>632</v>
      </c>
      <c r="DG321" t="s">
        <v>407</v>
      </c>
      <c r="DH321">
        <v>1</v>
      </c>
      <c r="DI321">
        <v>1</v>
      </c>
      <c r="DK321" t="s">
        <v>6415</v>
      </c>
      <c r="DL321">
        <v>0</v>
      </c>
      <c r="DM321" t="s">
        <v>538</v>
      </c>
      <c r="DN321" t="s">
        <v>3058</v>
      </c>
      <c r="DO321" t="s">
        <v>2170</v>
      </c>
      <c r="DP321" t="s">
        <v>1412</v>
      </c>
      <c r="DT321" t="s">
        <v>395</v>
      </c>
      <c r="DX321" t="s">
        <v>3947</v>
      </c>
      <c r="DY321" t="s">
        <v>1491</v>
      </c>
      <c r="DZ321" t="s">
        <v>5831</v>
      </c>
      <c r="EA321" t="s">
        <v>745</v>
      </c>
      <c r="ED321" t="s">
        <v>632</v>
      </c>
      <c r="EE321" t="s">
        <v>454</v>
      </c>
      <c r="EG321" t="s">
        <v>749</v>
      </c>
      <c r="EP321" t="s">
        <v>2124</v>
      </c>
      <c r="EQ321" t="s">
        <v>5547</v>
      </c>
      <c r="ER321">
        <v>0</v>
      </c>
      <c r="ES321">
        <v>0</v>
      </c>
      <c r="EU321">
        <v>0</v>
      </c>
    </row>
    <row r="322" spans="1:291" x14ac:dyDescent="0.25">
      <c r="A322" t="s">
        <v>6436</v>
      </c>
      <c r="B322" t="str">
        <f>"801542921187"</f>
        <v>801542921187</v>
      </c>
      <c r="C322" t="s">
        <v>6437</v>
      </c>
      <c r="D322" t="s">
        <v>3487</v>
      </c>
      <c r="E322" t="s">
        <v>988</v>
      </c>
      <c r="G322" t="str">
        <f>"58"</f>
        <v>58</v>
      </c>
      <c r="H322" t="str">
        <f t="shared" ref="H322:H327" si="89">"18"</f>
        <v>18</v>
      </c>
      <c r="I322" t="str">
        <f>"31.5"</f>
        <v>31.5</v>
      </c>
      <c r="J322" t="str">
        <f>"164.68"</f>
        <v>164.68</v>
      </c>
      <c r="K322" t="s">
        <v>6438</v>
      </c>
      <c r="L322" t="s">
        <v>6439</v>
      </c>
      <c r="N322" t="s">
        <v>3490</v>
      </c>
      <c r="O322" t="s">
        <v>933</v>
      </c>
      <c r="T322" t="s">
        <v>402</v>
      </c>
      <c r="U322" t="s">
        <v>373</v>
      </c>
      <c r="V322" t="s">
        <v>6440</v>
      </c>
      <c r="W322" t="s">
        <v>6441</v>
      </c>
      <c r="X322" t="s">
        <v>6442</v>
      </c>
      <c r="Y322" t="s">
        <v>6443</v>
      </c>
      <c r="Z322" t="s">
        <v>6444</v>
      </c>
      <c r="AA322" t="s">
        <v>6445</v>
      </c>
      <c r="AB322" t="s">
        <v>6446</v>
      </c>
      <c r="AC322" t="s">
        <v>6447</v>
      </c>
      <c r="AD322" t="s">
        <v>6448</v>
      </c>
      <c r="AE322" t="s">
        <v>6449</v>
      </c>
      <c r="AF322" t="s">
        <v>6450</v>
      </c>
      <c r="AG322" t="s">
        <v>6451</v>
      </c>
      <c r="AH322" t="s">
        <v>6452</v>
      </c>
      <c r="AI322" t="s">
        <v>6453</v>
      </c>
      <c r="BA322" t="str">
        <f>"1799"</f>
        <v>1799</v>
      </c>
      <c r="BB322" t="str">
        <f>"760"</f>
        <v>760</v>
      </c>
      <c r="BC322" t="s">
        <v>949</v>
      </c>
      <c r="BD322" t="str">
        <f t="shared" si="88"/>
        <v>1</v>
      </c>
      <c r="BE322" t="s">
        <v>389</v>
      </c>
      <c r="BF322" t="str">
        <f>"63"</f>
        <v>63</v>
      </c>
      <c r="BG322" t="str">
        <f>"21.75"</f>
        <v>21.75</v>
      </c>
      <c r="BH322" t="str">
        <f>"36.5"</f>
        <v>36.5</v>
      </c>
      <c r="BI322" t="str">
        <f>"206.17"</f>
        <v>206.17</v>
      </c>
      <c r="BY322" t="str">
        <f>"28.96"</f>
        <v>28.96</v>
      </c>
      <c r="BZ322" t="str">
        <f>"0.82"</f>
        <v>0.82</v>
      </c>
      <c r="CA322" t="s">
        <v>431</v>
      </c>
      <c r="CR322" t="s">
        <v>1007</v>
      </c>
      <c r="CS322">
        <v>6</v>
      </c>
      <c r="CT322" t="s">
        <v>1008</v>
      </c>
      <c r="CV322">
        <v>0</v>
      </c>
      <c r="CX322" t="s">
        <v>667</v>
      </c>
      <c r="CY322" t="s">
        <v>1009</v>
      </c>
      <c r="DC322">
        <v>0</v>
      </c>
      <c r="DJ322" t="s">
        <v>1010</v>
      </c>
      <c r="DK322" t="s">
        <v>3510</v>
      </c>
      <c r="DM322" t="s">
        <v>473</v>
      </c>
      <c r="DX322" t="s">
        <v>5881</v>
      </c>
      <c r="EM322" t="s">
        <v>402</v>
      </c>
      <c r="EN322">
        <v>0</v>
      </c>
      <c r="FI322">
        <v>0</v>
      </c>
      <c r="FJ322" t="s">
        <v>1012</v>
      </c>
      <c r="FR322" t="s">
        <v>6159</v>
      </c>
      <c r="FT322" t="s">
        <v>6454</v>
      </c>
      <c r="FV322" t="s">
        <v>2382</v>
      </c>
      <c r="FX322" t="s">
        <v>4210</v>
      </c>
      <c r="FZ322" t="s">
        <v>6455</v>
      </c>
      <c r="GA322" t="s">
        <v>402</v>
      </c>
    </row>
    <row r="323" spans="1:291" x14ac:dyDescent="0.25">
      <c r="A323" t="s">
        <v>6456</v>
      </c>
      <c r="B323" t="str">
        <f>"801542921156"</f>
        <v>801542921156</v>
      </c>
      <c r="C323" t="s">
        <v>6437</v>
      </c>
      <c r="D323" t="s">
        <v>3487</v>
      </c>
      <c r="E323" t="s">
        <v>988</v>
      </c>
      <c r="G323" t="str">
        <f>"58"</f>
        <v>58</v>
      </c>
      <c r="H323" t="str">
        <f t="shared" si="89"/>
        <v>18</v>
      </c>
      <c r="I323" t="str">
        <f>"31.5"</f>
        <v>31.5</v>
      </c>
      <c r="J323" t="str">
        <f>"164.68"</f>
        <v>164.68</v>
      </c>
      <c r="K323" t="s">
        <v>6438</v>
      </c>
      <c r="L323" t="s">
        <v>2053</v>
      </c>
      <c r="N323" t="s">
        <v>3490</v>
      </c>
      <c r="O323" t="s">
        <v>933</v>
      </c>
      <c r="T323" t="s">
        <v>373</v>
      </c>
      <c r="U323" t="s">
        <v>373</v>
      </c>
      <c r="V323" t="s">
        <v>6457</v>
      </c>
      <c r="W323" t="s">
        <v>6458</v>
      </c>
      <c r="X323" t="s">
        <v>6459</v>
      </c>
      <c r="Y323" t="s">
        <v>6460</v>
      </c>
      <c r="Z323" t="s">
        <v>6461</v>
      </c>
      <c r="AA323" t="s">
        <v>6462</v>
      </c>
      <c r="AB323" t="s">
        <v>6463</v>
      </c>
      <c r="AC323" t="s">
        <v>6464</v>
      </c>
      <c r="AD323" t="s">
        <v>6465</v>
      </c>
      <c r="AE323" t="s">
        <v>6466</v>
      </c>
      <c r="AF323" t="s">
        <v>6467</v>
      </c>
      <c r="AG323" t="s">
        <v>6468</v>
      </c>
      <c r="AH323" t="s">
        <v>6469</v>
      </c>
      <c r="AI323" t="s">
        <v>6470</v>
      </c>
      <c r="AJ323" t="s">
        <v>6471</v>
      </c>
      <c r="AK323" t="s">
        <v>6472</v>
      </c>
      <c r="BA323" t="str">
        <f>"1799"</f>
        <v>1799</v>
      </c>
      <c r="BB323" t="str">
        <f>"760"</f>
        <v>760</v>
      </c>
      <c r="BC323" t="s">
        <v>949</v>
      </c>
      <c r="BD323" t="str">
        <f t="shared" si="88"/>
        <v>1</v>
      </c>
      <c r="BE323" t="s">
        <v>389</v>
      </c>
      <c r="BF323" t="str">
        <f>"63"</f>
        <v>63</v>
      </c>
      <c r="BG323" t="str">
        <f>"21.75"</f>
        <v>21.75</v>
      </c>
      <c r="BH323" t="str">
        <f>"36.5"</f>
        <v>36.5</v>
      </c>
      <c r="BI323" t="str">
        <f>"206.17"</f>
        <v>206.17</v>
      </c>
      <c r="BY323" t="str">
        <f>"28.96"</f>
        <v>28.96</v>
      </c>
      <c r="BZ323" t="str">
        <f>"0.82"</f>
        <v>0.82</v>
      </c>
      <c r="CA323" t="s">
        <v>390</v>
      </c>
      <c r="CR323" t="s">
        <v>1007</v>
      </c>
      <c r="CS323">
        <v>6</v>
      </c>
      <c r="CT323" t="s">
        <v>1008</v>
      </c>
      <c r="CV323">
        <v>0</v>
      </c>
      <c r="CX323" t="s">
        <v>667</v>
      </c>
      <c r="CY323" t="s">
        <v>1009</v>
      </c>
      <c r="DC323">
        <v>0</v>
      </c>
      <c r="DJ323" t="s">
        <v>1010</v>
      </c>
      <c r="DK323" t="s">
        <v>3510</v>
      </c>
      <c r="DM323" t="s">
        <v>473</v>
      </c>
      <c r="DX323" t="s">
        <v>5881</v>
      </c>
      <c r="EM323" t="s">
        <v>402</v>
      </c>
      <c r="EN323">
        <v>0</v>
      </c>
      <c r="FI323">
        <v>0</v>
      </c>
      <c r="FJ323" t="s">
        <v>1012</v>
      </c>
      <c r="FR323" t="s">
        <v>6159</v>
      </c>
      <c r="FT323" t="s">
        <v>6454</v>
      </c>
      <c r="FV323" t="s">
        <v>2382</v>
      </c>
      <c r="FX323" t="s">
        <v>4210</v>
      </c>
      <c r="FZ323" t="s">
        <v>6455</v>
      </c>
      <c r="GA323" t="s">
        <v>402</v>
      </c>
    </row>
    <row r="324" spans="1:291" x14ac:dyDescent="0.25">
      <c r="A324" t="s">
        <v>6473</v>
      </c>
      <c r="B324" t="str">
        <f>"801542921170"</f>
        <v>801542921170</v>
      </c>
      <c r="C324" t="s">
        <v>6474</v>
      </c>
      <c r="D324" t="s">
        <v>3487</v>
      </c>
      <c r="E324" t="s">
        <v>988</v>
      </c>
      <c r="G324" t="str">
        <f>"58"</f>
        <v>58</v>
      </c>
      <c r="H324" t="str">
        <f t="shared" si="89"/>
        <v>18</v>
      </c>
      <c r="I324" t="str">
        <f>"31.5"</f>
        <v>31.5</v>
      </c>
      <c r="J324" t="str">
        <f>"164.68"</f>
        <v>164.68</v>
      </c>
      <c r="K324" t="s">
        <v>3489</v>
      </c>
      <c r="L324" t="s">
        <v>3488</v>
      </c>
      <c r="N324" t="s">
        <v>3490</v>
      </c>
      <c r="O324" t="s">
        <v>933</v>
      </c>
      <c r="T324" t="s">
        <v>373</v>
      </c>
      <c r="U324" t="s">
        <v>373</v>
      </c>
      <c r="V324" t="s">
        <v>6475</v>
      </c>
      <c r="W324" t="s">
        <v>6476</v>
      </c>
      <c r="X324" t="s">
        <v>6477</v>
      </c>
      <c r="Y324" t="s">
        <v>6478</v>
      </c>
      <c r="Z324" t="s">
        <v>6479</v>
      </c>
      <c r="AA324" t="s">
        <v>6480</v>
      </c>
      <c r="AB324" t="s">
        <v>6481</v>
      </c>
      <c r="AC324" t="s">
        <v>6482</v>
      </c>
      <c r="AD324" t="s">
        <v>6483</v>
      </c>
      <c r="AE324" t="s">
        <v>6484</v>
      </c>
      <c r="AF324" t="s">
        <v>6485</v>
      </c>
      <c r="AG324" t="s">
        <v>6486</v>
      </c>
      <c r="AH324" t="s">
        <v>6487</v>
      </c>
      <c r="AI324" t="s">
        <v>6488</v>
      </c>
      <c r="AJ324" t="s">
        <v>6489</v>
      </c>
      <c r="BA324" t="str">
        <f>"1799"</f>
        <v>1799</v>
      </c>
      <c r="BB324" t="str">
        <f>"760"</f>
        <v>760</v>
      </c>
      <c r="BC324" t="s">
        <v>949</v>
      </c>
      <c r="BD324" t="str">
        <f t="shared" si="88"/>
        <v>1</v>
      </c>
      <c r="BE324" t="s">
        <v>389</v>
      </c>
      <c r="BF324" t="str">
        <f>"63"</f>
        <v>63</v>
      </c>
      <c r="BG324" t="str">
        <f>"21.75"</f>
        <v>21.75</v>
      </c>
      <c r="BH324" t="str">
        <f>"36.5"</f>
        <v>36.5</v>
      </c>
      <c r="BI324" t="str">
        <f>"206.17"</f>
        <v>206.17</v>
      </c>
      <c r="BY324" t="str">
        <f>"28.96"</f>
        <v>28.96</v>
      </c>
      <c r="BZ324" t="str">
        <f>"0.82"</f>
        <v>0.82</v>
      </c>
      <c r="CA324" t="s">
        <v>431</v>
      </c>
      <c r="CR324" t="s">
        <v>1007</v>
      </c>
      <c r="CS324">
        <v>6</v>
      </c>
      <c r="CT324" t="s">
        <v>1008</v>
      </c>
      <c r="CV324">
        <v>0</v>
      </c>
      <c r="CX324" t="s">
        <v>667</v>
      </c>
      <c r="CY324" t="s">
        <v>1009</v>
      </c>
      <c r="DC324">
        <v>0</v>
      </c>
      <c r="DJ324" t="s">
        <v>1010</v>
      </c>
      <c r="DK324" t="s">
        <v>3510</v>
      </c>
      <c r="DM324" t="s">
        <v>473</v>
      </c>
      <c r="DX324" t="s">
        <v>5881</v>
      </c>
      <c r="EM324" t="s">
        <v>402</v>
      </c>
      <c r="EN324">
        <v>0</v>
      </c>
      <c r="FI324">
        <v>0</v>
      </c>
      <c r="FJ324" t="s">
        <v>1012</v>
      </c>
      <c r="FR324" t="s">
        <v>6159</v>
      </c>
      <c r="FT324" t="s">
        <v>6454</v>
      </c>
      <c r="FV324" t="s">
        <v>2382</v>
      </c>
      <c r="FX324" t="s">
        <v>4210</v>
      </c>
      <c r="FZ324" t="s">
        <v>6455</v>
      </c>
      <c r="GA324" t="s">
        <v>402</v>
      </c>
    </row>
    <row r="325" spans="1:291" x14ac:dyDescent="0.25">
      <c r="A325" t="s">
        <v>6490</v>
      </c>
      <c r="B325" t="str">
        <f>"801542921163"</f>
        <v>801542921163</v>
      </c>
      <c r="C325" t="s">
        <v>6491</v>
      </c>
      <c r="D325" t="s">
        <v>3487</v>
      </c>
      <c r="E325" t="s">
        <v>988</v>
      </c>
      <c r="G325" t="str">
        <f>"58"</f>
        <v>58</v>
      </c>
      <c r="H325" t="str">
        <f t="shared" si="89"/>
        <v>18</v>
      </c>
      <c r="I325" t="str">
        <f>"31.5"</f>
        <v>31.5</v>
      </c>
      <c r="J325" t="str">
        <f>"164.68"</f>
        <v>164.68</v>
      </c>
      <c r="K325" t="s">
        <v>3525</v>
      </c>
      <c r="L325" t="s">
        <v>2053</v>
      </c>
      <c r="N325" t="s">
        <v>3490</v>
      </c>
      <c r="O325" t="s">
        <v>933</v>
      </c>
      <c r="T325" t="s">
        <v>373</v>
      </c>
      <c r="U325" t="s">
        <v>373</v>
      </c>
      <c r="W325" t="s">
        <v>6492</v>
      </c>
      <c r="X325" t="s">
        <v>6493</v>
      </c>
      <c r="Y325" t="s">
        <v>6494</v>
      </c>
      <c r="Z325" t="s">
        <v>6495</v>
      </c>
      <c r="AA325" t="s">
        <v>6496</v>
      </c>
      <c r="AB325" t="s">
        <v>6497</v>
      </c>
      <c r="AC325" t="s">
        <v>6498</v>
      </c>
      <c r="AD325" t="s">
        <v>6499</v>
      </c>
      <c r="AE325" t="s">
        <v>6500</v>
      </c>
      <c r="AF325" t="s">
        <v>6501</v>
      </c>
      <c r="AG325" t="s">
        <v>6502</v>
      </c>
      <c r="AH325" t="s">
        <v>6503</v>
      </c>
      <c r="AI325" t="s">
        <v>6504</v>
      </c>
      <c r="BA325" t="str">
        <f>"1799"</f>
        <v>1799</v>
      </c>
      <c r="BB325" t="str">
        <f>"760"</f>
        <v>760</v>
      </c>
      <c r="BC325" t="s">
        <v>949</v>
      </c>
      <c r="BD325" t="str">
        <f t="shared" si="88"/>
        <v>1</v>
      </c>
      <c r="BE325" t="s">
        <v>389</v>
      </c>
      <c r="BF325" t="str">
        <f>"63"</f>
        <v>63</v>
      </c>
      <c r="BG325" t="str">
        <f>"21.75"</f>
        <v>21.75</v>
      </c>
      <c r="BH325" t="str">
        <f>"36.5"</f>
        <v>36.5</v>
      </c>
      <c r="BI325" t="str">
        <f>"206.17"</f>
        <v>206.17</v>
      </c>
      <c r="BY325" t="str">
        <f>"28.96"</f>
        <v>28.96</v>
      </c>
      <c r="BZ325" t="str">
        <f>"0.82"</f>
        <v>0.82</v>
      </c>
      <c r="CA325" t="s">
        <v>495</v>
      </c>
      <c r="CR325" t="s">
        <v>1007</v>
      </c>
      <c r="CS325">
        <v>6</v>
      </c>
      <c r="CT325" t="s">
        <v>1008</v>
      </c>
      <c r="CV325">
        <v>0</v>
      </c>
      <c r="CX325" t="s">
        <v>667</v>
      </c>
      <c r="CY325" t="s">
        <v>1009</v>
      </c>
      <c r="DC325">
        <v>0</v>
      </c>
      <c r="DJ325" t="s">
        <v>1010</v>
      </c>
      <c r="DK325" t="s">
        <v>3510</v>
      </c>
      <c r="DM325" t="s">
        <v>473</v>
      </c>
      <c r="DX325" t="s">
        <v>5881</v>
      </c>
      <c r="EM325" t="s">
        <v>402</v>
      </c>
      <c r="EN325">
        <v>0</v>
      </c>
      <c r="FI325">
        <v>0</v>
      </c>
      <c r="FJ325" t="s">
        <v>1012</v>
      </c>
      <c r="FR325" t="s">
        <v>6159</v>
      </c>
      <c r="FT325" t="s">
        <v>6454</v>
      </c>
      <c r="FV325" t="s">
        <v>2382</v>
      </c>
      <c r="FX325" t="s">
        <v>4210</v>
      </c>
      <c r="FZ325" t="s">
        <v>6455</v>
      </c>
      <c r="GA325" t="s">
        <v>402</v>
      </c>
    </row>
    <row r="326" spans="1:291" x14ac:dyDescent="0.25">
      <c r="A326" t="s">
        <v>6505</v>
      </c>
      <c r="B326" t="str">
        <f>"801542624392"</f>
        <v>801542624392</v>
      </c>
      <c r="C326" t="s">
        <v>6506</v>
      </c>
      <c r="D326" t="s">
        <v>4184</v>
      </c>
      <c r="E326" t="s">
        <v>3813</v>
      </c>
      <c r="G326" t="str">
        <f>"34.5"</f>
        <v>34.5</v>
      </c>
      <c r="H326" t="str">
        <f t="shared" si="89"/>
        <v>18</v>
      </c>
      <c r="I326" t="str">
        <f>"84"</f>
        <v>84</v>
      </c>
      <c r="J326" t="str">
        <f>"194"</f>
        <v>194</v>
      </c>
      <c r="K326" t="s">
        <v>6507</v>
      </c>
      <c r="N326" t="s">
        <v>1970</v>
      </c>
      <c r="O326" t="s">
        <v>372</v>
      </c>
      <c r="T326" t="s">
        <v>373</v>
      </c>
      <c r="U326" t="s">
        <v>373</v>
      </c>
      <c r="V326" t="s">
        <v>6508</v>
      </c>
      <c r="W326" t="s">
        <v>6509</v>
      </c>
      <c r="X326" t="s">
        <v>6510</v>
      </c>
      <c r="Y326" t="s">
        <v>6511</v>
      </c>
      <c r="Z326" t="s">
        <v>6512</v>
      </c>
      <c r="AA326" t="s">
        <v>6513</v>
      </c>
      <c r="AB326" t="s">
        <v>6514</v>
      </c>
      <c r="AC326" t="s">
        <v>6515</v>
      </c>
      <c r="AD326" t="s">
        <v>6516</v>
      </c>
      <c r="AE326" t="s">
        <v>6517</v>
      </c>
      <c r="AF326" t="s">
        <v>6518</v>
      </c>
      <c r="AG326" t="s">
        <v>6519</v>
      </c>
      <c r="AH326" t="s">
        <v>6520</v>
      </c>
      <c r="AI326" t="s">
        <v>6521</v>
      </c>
      <c r="BA326" t="str">
        <f>"1899"</f>
        <v>1899</v>
      </c>
      <c r="BB326" t="str">
        <f>"800"</f>
        <v>800</v>
      </c>
      <c r="BC326" t="s">
        <v>665</v>
      </c>
      <c r="BD326" t="str">
        <f t="shared" si="88"/>
        <v>1</v>
      </c>
      <c r="BE326" t="s">
        <v>6522</v>
      </c>
      <c r="BF326" t="str">
        <f>"39.17"</f>
        <v>39.17</v>
      </c>
      <c r="BG326" t="str">
        <f>"22.05"</f>
        <v>22.05</v>
      </c>
      <c r="BH326" t="str">
        <f>"90.94"</f>
        <v>90.94</v>
      </c>
      <c r="BI326" t="str">
        <f>"235.89"</f>
        <v>235.89</v>
      </c>
      <c r="BY326" t="str">
        <f>"45.45"</f>
        <v>45.45</v>
      </c>
      <c r="BZ326" t="str">
        <f>"1.287"</f>
        <v>1.287</v>
      </c>
      <c r="CA326" t="s">
        <v>431</v>
      </c>
      <c r="CB326" t="s">
        <v>5877</v>
      </c>
      <c r="CC326" t="s">
        <v>3518</v>
      </c>
      <c r="CD326" t="s">
        <v>6523</v>
      </c>
      <c r="CE326" t="s">
        <v>5877</v>
      </c>
      <c r="CF326" t="s">
        <v>6524</v>
      </c>
      <c r="CG326" t="s">
        <v>6523</v>
      </c>
      <c r="CR326" t="s">
        <v>400</v>
      </c>
      <c r="CS326">
        <v>0</v>
      </c>
      <c r="CT326" t="s">
        <v>400</v>
      </c>
      <c r="CV326">
        <v>2</v>
      </c>
      <c r="CW326" t="s">
        <v>402</v>
      </c>
      <c r="CX326" t="s">
        <v>4903</v>
      </c>
      <c r="CY326" t="s">
        <v>404</v>
      </c>
      <c r="DA326">
        <v>18.14</v>
      </c>
      <c r="DB326">
        <v>40</v>
      </c>
      <c r="DC326">
        <v>2</v>
      </c>
      <c r="DJ326" t="s">
        <v>982</v>
      </c>
      <c r="DK326" t="s">
        <v>6525</v>
      </c>
      <c r="EM326" t="s">
        <v>402</v>
      </c>
      <c r="EN326">
        <v>3</v>
      </c>
      <c r="FC326" t="s">
        <v>5877</v>
      </c>
      <c r="FD326" t="s">
        <v>3518</v>
      </c>
      <c r="FE326" t="s">
        <v>6523</v>
      </c>
      <c r="FI326">
        <v>0</v>
      </c>
      <c r="FJ326" t="s">
        <v>1012</v>
      </c>
      <c r="FM326" t="s">
        <v>402</v>
      </c>
      <c r="GB326" t="s">
        <v>5877</v>
      </c>
      <c r="GC326" t="s">
        <v>6524</v>
      </c>
      <c r="GD326" t="s">
        <v>6523</v>
      </c>
      <c r="GR326" t="s">
        <v>5877</v>
      </c>
      <c r="GT326" t="s">
        <v>4303</v>
      </c>
      <c r="GV326" t="s">
        <v>6523</v>
      </c>
      <c r="HI326" t="s">
        <v>402</v>
      </c>
      <c r="JJ326" t="s">
        <v>392</v>
      </c>
    </row>
    <row r="327" spans="1:291" x14ac:dyDescent="0.25">
      <c r="A327" t="s">
        <v>6526</v>
      </c>
      <c r="B327" t="str">
        <f>"801542013622"</f>
        <v>801542013622</v>
      </c>
      <c r="C327" t="s">
        <v>6527</v>
      </c>
      <c r="D327" t="s">
        <v>4184</v>
      </c>
      <c r="E327" t="s">
        <v>3813</v>
      </c>
      <c r="G327" t="str">
        <f>"34.5"</f>
        <v>34.5</v>
      </c>
      <c r="H327" t="str">
        <f t="shared" si="89"/>
        <v>18</v>
      </c>
      <c r="I327" t="str">
        <f>"84"</f>
        <v>84</v>
      </c>
      <c r="J327" t="str">
        <f>"194"</f>
        <v>194</v>
      </c>
      <c r="K327" t="s">
        <v>6528</v>
      </c>
      <c r="N327" t="s">
        <v>1970</v>
      </c>
      <c r="O327" t="s">
        <v>372</v>
      </c>
      <c r="T327" t="s">
        <v>373</v>
      </c>
      <c r="U327" t="s">
        <v>373</v>
      </c>
      <c r="V327" t="s">
        <v>6529</v>
      </c>
      <c r="W327" t="s">
        <v>6530</v>
      </c>
      <c r="X327" t="s">
        <v>6531</v>
      </c>
      <c r="Y327" t="s">
        <v>6532</v>
      </c>
      <c r="Z327" t="s">
        <v>6533</v>
      </c>
      <c r="AA327" t="s">
        <v>6534</v>
      </c>
      <c r="AB327" t="s">
        <v>6535</v>
      </c>
      <c r="AC327" t="s">
        <v>6536</v>
      </c>
      <c r="AD327" t="s">
        <v>6537</v>
      </c>
      <c r="AE327" t="s">
        <v>6538</v>
      </c>
      <c r="AF327" t="s">
        <v>6539</v>
      </c>
      <c r="AG327" t="s">
        <v>6540</v>
      </c>
      <c r="AH327" t="s">
        <v>6541</v>
      </c>
      <c r="BA327" t="str">
        <f>"1899"</f>
        <v>1899</v>
      </c>
      <c r="BB327" t="str">
        <f>"800"</f>
        <v>800</v>
      </c>
      <c r="BC327" t="s">
        <v>665</v>
      </c>
      <c r="BD327" t="str">
        <f t="shared" si="88"/>
        <v>1</v>
      </c>
      <c r="BE327" t="s">
        <v>6522</v>
      </c>
      <c r="BF327" t="str">
        <f>"39.17"</f>
        <v>39.17</v>
      </c>
      <c r="BG327" t="str">
        <f>"22.05"</f>
        <v>22.05</v>
      </c>
      <c r="BH327" t="str">
        <f>"90.94"</f>
        <v>90.94</v>
      </c>
      <c r="BI327" t="str">
        <f>"235.89"</f>
        <v>235.89</v>
      </c>
      <c r="BY327" t="str">
        <f>"45.45"</f>
        <v>45.45</v>
      </c>
      <c r="BZ327" t="str">
        <f>"1.287"</f>
        <v>1.287</v>
      </c>
      <c r="CA327" t="s">
        <v>495</v>
      </c>
      <c r="CB327" t="s">
        <v>5877</v>
      </c>
      <c r="CC327" t="s">
        <v>3518</v>
      </c>
      <c r="CD327" t="s">
        <v>6523</v>
      </c>
      <c r="CE327" t="s">
        <v>5877</v>
      </c>
      <c r="CF327" t="s">
        <v>6524</v>
      </c>
      <c r="CG327" t="s">
        <v>6523</v>
      </c>
      <c r="CR327" t="s">
        <v>400</v>
      </c>
      <c r="CS327">
        <v>0</v>
      </c>
      <c r="CT327" t="s">
        <v>400</v>
      </c>
      <c r="CV327">
        <v>2</v>
      </c>
      <c r="CW327" t="s">
        <v>402</v>
      </c>
      <c r="CX327" t="s">
        <v>4903</v>
      </c>
      <c r="CY327" t="s">
        <v>404</v>
      </c>
      <c r="DA327">
        <v>18.14</v>
      </c>
      <c r="DB327">
        <v>40</v>
      </c>
      <c r="DC327">
        <v>2</v>
      </c>
      <c r="DJ327" t="s">
        <v>982</v>
      </c>
      <c r="DK327" t="s">
        <v>6525</v>
      </c>
      <c r="EM327" t="s">
        <v>402</v>
      </c>
      <c r="EN327">
        <v>3</v>
      </c>
      <c r="FC327" t="s">
        <v>5877</v>
      </c>
      <c r="FD327" t="s">
        <v>3518</v>
      </c>
      <c r="FE327" t="s">
        <v>6523</v>
      </c>
      <c r="FI327">
        <v>0</v>
      </c>
      <c r="FJ327" t="s">
        <v>1012</v>
      </c>
      <c r="FM327" t="s">
        <v>402</v>
      </c>
      <c r="GB327" t="s">
        <v>5877</v>
      </c>
      <c r="GC327" t="s">
        <v>6524</v>
      </c>
      <c r="GD327" t="s">
        <v>6523</v>
      </c>
      <c r="GR327" t="s">
        <v>5877</v>
      </c>
      <c r="GT327" t="s">
        <v>4303</v>
      </c>
      <c r="GV327" t="s">
        <v>6523</v>
      </c>
      <c r="HI327" t="s">
        <v>402</v>
      </c>
      <c r="JJ327" t="s">
        <v>392</v>
      </c>
    </row>
    <row r="328" spans="1:291" x14ac:dyDescent="0.25">
      <c r="A328" t="s">
        <v>6542</v>
      </c>
      <c r="B328" t="str">
        <f>"801542629229"</f>
        <v>801542629229</v>
      </c>
      <c r="C328" t="s">
        <v>6543</v>
      </c>
      <c r="D328" t="s">
        <v>1249</v>
      </c>
      <c r="E328" t="s">
        <v>1043</v>
      </c>
      <c r="G328" t="str">
        <f>"28"</f>
        <v>28</v>
      </c>
      <c r="H328" t="str">
        <f>"17.75"</f>
        <v>17.75</v>
      </c>
      <c r="I328" t="str">
        <f>"30"</f>
        <v>30</v>
      </c>
      <c r="J328" t="str">
        <f>"111.55"</f>
        <v>111.55</v>
      </c>
      <c r="K328" t="s">
        <v>1017</v>
      </c>
      <c r="L328" t="s">
        <v>1277</v>
      </c>
      <c r="N328" t="s">
        <v>555</v>
      </c>
      <c r="T328" t="s">
        <v>373</v>
      </c>
      <c r="U328" t="s">
        <v>373</v>
      </c>
      <c r="V328" t="s">
        <v>6544</v>
      </c>
      <c r="W328" t="s">
        <v>6545</v>
      </c>
      <c r="X328" t="s">
        <v>6546</v>
      </c>
      <c r="Y328" t="s">
        <v>6547</v>
      </c>
      <c r="Z328" t="s">
        <v>6548</v>
      </c>
      <c r="AA328" t="s">
        <v>6549</v>
      </c>
      <c r="AB328" t="s">
        <v>6550</v>
      </c>
      <c r="AC328" t="s">
        <v>6551</v>
      </c>
      <c r="AD328" t="s">
        <v>6552</v>
      </c>
      <c r="AE328" t="s">
        <v>6553</v>
      </c>
      <c r="AF328" t="s">
        <v>6554</v>
      </c>
      <c r="AG328" t="s">
        <v>6555</v>
      </c>
      <c r="AH328" t="s">
        <v>6556</v>
      </c>
      <c r="AI328" t="s">
        <v>6557</v>
      </c>
      <c r="AJ328" t="s">
        <v>6558</v>
      </c>
      <c r="AK328" t="s">
        <v>6559</v>
      </c>
      <c r="BA328" t="str">
        <f>"1199"</f>
        <v>1199</v>
      </c>
      <c r="BB328" t="str">
        <f>"505"</f>
        <v>505</v>
      </c>
      <c r="BC328" t="s">
        <v>665</v>
      </c>
      <c r="BD328" t="str">
        <f t="shared" si="88"/>
        <v>1</v>
      </c>
      <c r="BE328" t="s">
        <v>389</v>
      </c>
      <c r="BF328" t="str">
        <f>"33"</f>
        <v>33</v>
      </c>
      <c r="BG328" t="str">
        <f>"22"</f>
        <v>22</v>
      </c>
      <c r="BH328" t="str">
        <f>"40.5"</f>
        <v>40.5</v>
      </c>
      <c r="BI328" t="str">
        <f>"146.61"</f>
        <v>146.61</v>
      </c>
      <c r="BY328" t="str">
        <f>"17.02"</f>
        <v>17.02</v>
      </c>
      <c r="BZ328" t="str">
        <f>"0.482"</f>
        <v>0.482</v>
      </c>
      <c r="CA328" t="s">
        <v>495</v>
      </c>
      <c r="CE328" t="s">
        <v>511</v>
      </c>
      <c r="CF328" t="s">
        <v>1489</v>
      </c>
      <c r="CG328" t="s">
        <v>6560</v>
      </c>
      <c r="CR328" t="s">
        <v>1007</v>
      </c>
      <c r="CS328">
        <v>2</v>
      </c>
      <c r="CT328" t="s">
        <v>400</v>
      </c>
      <c r="CV328">
        <v>0</v>
      </c>
      <c r="CY328" t="s">
        <v>1009</v>
      </c>
      <c r="DC328">
        <v>0</v>
      </c>
      <c r="DJ328" t="s">
        <v>408</v>
      </c>
      <c r="DK328" t="s">
        <v>6561</v>
      </c>
      <c r="DM328" t="s">
        <v>473</v>
      </c>
      <c r="DX328" t="s">
        <v>1292</v>
      </c>
      <c r="EM328" t="s">
        <v>402</v>
      </c>
      <c r="EN328">
        <v>1</v>
      </c>
      <c r="EZ328" t="s">
        <v>6259</v>
      </c>
      <c r="FA328" t="s">
        <v>3483</v>
      </c>
      <c r="FB328" t="s">
        <v>6560</v>
      </c>
      <c r="FH328" t="s">
        <v>959</v>
      </c>
      <c r="FI328">
        <v>1</v>
      </c>
      <c r="FJ328" t="s">
        <v>6562</v>
      </c>
      <c r="FK328" t="s">
        <v>1611</v>
      </c>
      <c r="FO328" t="s">
        <v>5044</v>
      </c>
      <c r="FR328" t="s">
        <v>1293</v>
      </c>
      <c r="FS328" t="s">
        <v>1293</v>
      </c>
      <c r="FT328" t="s">
        <v>543</v>
      </c>
      <c r="FU328" t="s">
        <v>676</v>
      </c>
      <c r="FV328" t="s">
        <v>6563</v>
      </c>
      <c r="FW328" t="s">
        <v>6563</v>
      </c>
      <c r="FX328" t="s">
        <v>1017</v>
      </c>
    </row>
    <row r="329" spans="1:291" x14ac:dyDescent="0.25">
      <c r="A329" t="s">
        <v>6564</v>
      </c>
      <c r="B329" t="str">
        <f>"801542639143"</f>
        <v>801542639143</v>
      </c>
      <c r="C329" t="s">
        <v>6565</v>
      </c>
      <c r="D329" t="s">
        <v>5999</v>
      </c>
      <c r="E329" t="s">
        <v>404</v>
      </c>
      <c r="G329" t="str">
        <f>"37"</f>
        <v>37</v>
      </c>
      <c r="H329" t="str">
        <f>"6.5"</f>
        <v>6.5</v>
      </c>
      <c r="I329" t="str">
        <f>"72"</f>
        <v>72</v>
      </c>
      <c r="J329" t="str">
        <f>"88.31"</f>
        <v>88.31</v>
      </c>
      <c r="K329" t="s">
        <v>6566</v>
      </c>
      <c r="L329" t="s">
        <v>837</v>
      </c>
      <c r="N329" t="s">
        <v>933</v>
      </c>
      <c r="O329" t="s">
        <v>555</v>
      </c>
      <c r="T329" t="s">
        <v>373</v>
      </c>
      <c r="U329" t="s">
        <v>373</v>
      </c>
      <c r="V329" t="s">
        <v>6567</v>
      </c>
      <c r="W329" t="s">
        <v>6568</v>
      </c>
      <c r="X329" t="s">
        <v>6569</v>
      </c>
      <c r="Y329" t="s">
        <v>6570</v>
      </c>
      <c r="Z329" t="s">
        <v>6571</v>
      </c>
      <c r="AA329" t="s">
        <v>6572</v>
      </c>
      <c r="AB329" t="s">
        <v>6573</v>
      </c>
      <c r="AC329" t="s">
        <v>6574</v>
      </c>
      <c r="AD329" t="s">
        <v>6575</v>
      </c>
      <c r="AE329" t="s">
        <v>6576</v>
      </c>
      <c r="AF329" t="s">
        <v>6577</v>
      </c>
      <c r="AG329" t="s">
        <v>6578</v>
      </c>
      <c r="AH329" t="s">
        <v>6579</v>
      </c>
      <c r="AI329" t="s">
        <v>6580</v>
      </c>
      <c r="BA329" t="str">
        <f>"949"</f>
        <v>949</v>
      </c>
      <c r="BB329" t="str">
        <f>"400"</f>
        <v>400</v>
      </c>
      <c r="BC329" t="s">
        <v>949</v>
      </c>
      <c r="BD329" t="str">
        <f t="shared" si="88"/>
        <v>1</v>
      </c>
      <c r="BE329" t="s">
        <v>389</v>
      </c>
      <c r="BF329" t="str">
        <f>"75.5"</f>
        <v>75.5</v>
      </c>
      <c r="BG329" t="str">
        <f>"11"</f>
        <v>11</v>
      </c>
      <c r="BH329" t="str">
        <f>"41"</f>
        <v>41</v>
      </c>
      <c r="BI329" t="str">
        <f>"115"</f>
        <v>115</v>
      </c>
      <c r="BY329" t="str">
        <f>"19.71"</f>
        <v>19.71</v>
      </c>
      <c r="BZ329" t="str">
        <f>"0.558"</f>
        <v>0.558</v>
      </c>
      <c r="CA329" t="s">
        <v>431</v>
      </c>
      <c r="DK329" t="s">
        <v>6581</v>
      </c>
      <c r="KB329" t="s">
        <v>2599</v>
      </c>
      <c r="KC329" t="s">
        <v>6582</v>
      </c>
      <c r="KD329" t="s">
        <v>2146</v>
      </c>
      <c r="KE329">
        <v>1</v>
      </c>
    </row>
    <row r="330" spans="1:291" x14ac:dyDescent="0.25">
      <c r="A330" t="s">
        <v>6583</v>
      </c>
      <c r="B330" t="str">
        <f>"801542094034"</f>
        <v>801542094034</v>
      </c>
      <c r="C330" t="s">
        <v>6584</v>
      </c>
      <c r="D330" t="s">
        <v>835</v>
      </c>
      <c r="E330" t="s">
        <v>515</v>
      </c>
      <c r="F330" t="s">
        <v>516</v>
      </c>
      <c r="G330" t="str">
        <f>"25.5"</f>
        <v>25.5</v>
      </c>
      <c r="H330" t="str">
        <f>"30"</f>
        <v>30</v>
      </c>
      <c r="I330" t="str">
        <f>"31"</f>
        <v>31</v>
      </c>
      <c r="J330" t="str">
        <f>"26.46"</f>
        <v>26.46</v>
      </c>
      <c r="K330" t="s">
        <v>1576</v>
      </c>
      <c r="L330" t="s">
        <v>2550</v>
      </c>
      <c r="M330" t="s">
        <v>2623</v>
      </c>
      <c r="N330" t="s">
        <v>416</v>
      </c>
      <c r="O330" t="s">
        <v>775</v>
      </c>
      <c r="P330" t="s">
        <v>555</v>
      </c>
      <c r="T330" t="s">
        <v>373</v>
      </c>
      <c r="U330" t="s">
        <v>373</v>
      </c>
      <c r="V330" t="s">
        <v>6585</v>
      </c>
      <c r="W330" t="s">
        <v>6586</v>
      </c>
      <c r="X330" t="s">
        <v>6587</v>
      </c>
      <c r="Y330" t="s">
        <v>6588</v>
      </c>
      <c r="Z330" t="s">
        <v>6589</v>
      </c>
      <c r="AA330" t="s">
        <v>6590</v>
      </c>
      <c r="AB330" t="s">
        <v>6591</v>
      </c>
      <c r="AC330" t="s">
        <v>6592</v>
      </c>
      <c r="AD330" t="s">
        <v>6593</v>
      </c>
      <c r="AE330" t="s">
        <v>6594</v>
      </c>
      <c r="AF330" t="s">
        <v>6595</v>
      </c>
      <c r="AG330" t="s">
        <v>6596</v>
      </c>
      <c r="AH330" t="s">
        <v>6597</v>
      </c>
      <c r="BA330" t="str">
        <f>"849"</f>
        <v>849</v>
      </c>
      <c r="BB330" t="str">
        <f>"360"</f>
        <v>360</v>
      </c>
      <c r="BC330" t="s">
        <v>388</v>
      </c>
      <c r="BD330" t="str">
        <f t="shared" si="88"/>
        <v>1</v>
      </c>
      <c r="BE330" t="s">
        <v>1662</v>
      </c>
      <c r="BF330" t="str">
        <f>"30.71"</f>
        <v>30.71</v>
      </c>
      <c r="BG330" t="str">
        <f>"34.65"</f>
        <v>34.65</v>
      </c>
      <c r="BH330" t="str">
        <f>"36.61"</f>
        <v>36.61</v>
      </c>
      <c r="BI330" t="str">
        <f>"46.08"</f>
        <v>46.08</v>
      </c>
      <c r="BY330" t="str">
        <f>"19.63"</f>
        <v>19.63</v>
      </c>
      <c r="BZ330" t="str">
        <f>"0.556"</f>
        <v>0.556</v>
      </c>
      <c r="CA330" t="s">
        <v>495</v>
      </c>
      <c r="CK330" t="s">
        <v>1151</v>
      </c>
      <c r="CL330" t="s">
        <v>511</v>
      </c>
      <c r="CM330" t="s">
        <v>601</v>
      </c>
      <c r="CN330">
        <v>0</v>
      </c>
      <c r="CO330">
        <v>1</v>
      </c>
      <c r="CP330" t="s">
        <v>437</v>
      </c>
      <c r="CQ330" t="s">
        <v>438</v>
      </c>
      <c r="CX330" t="s">
        <v>667</v>
      </c>
      <c r="CY330" t="s">
        <v>400</v>
      </c>
      <c r="CZ330">
        <v>0</v>
      </c>
      <c r="DD330">
        <v>0</v>
      </c>
      <c r="DE330" t="s">
        <v>405</v>
      </c>
      <c r="DF330" t="s">
        <v>632</v>
      </c>
      <c r="DG330" t="s">
        <v>1808</v>
      </c>
      <c r="DH330">
        <v>1</v>
      </c>
      <c r="DI330">
        <v>1</v>
      </c>
      <c r="DK330" t="s">
        <v>6598</v>
      </c>
      <c r="DL330">
        <v>0</v>
      </c>
      <c r="DM330" t="s">
        <v>538</v>
      </c>
      <c r="DN330" t="s">
        <v>600</v>
      </c>
      <c r="DO330" t="s">
        <v>797</v>
      </c>
      <c r="DP330" t="s">
        <v>600</v>
      </c>
      <c r="DT330" t="s">
        <v>827</v>
      </c>
      <c r="DX330" t="s">
        <v>2240</v>
      </c>
      <c r="DY330" t="s">
        <v>2083</v>
      </c>
      <c r="DZ330" t="s">
        <v>1491</v>
      </c>
      <c r="EA330" t="s">
        <v>1039</v>
      </c>
      <c r="ED330" t="s">
        <v>632</v>
      </c>
      <c r="EE330" t="s">
        <v>1808</v>
      </c>
      <c r="EG330" t="s">
        <v>2029</v>
      </c>
      <c r="ER330">
        <v>0</v>
      </c>
      <c r="ES330">
        <v>0</v>
      </c>
      <c r="EU330">
        <v>0</v>
      </c>
    </row>
    <row r="331" spans="1:291" x14ac:dyDescent="0.25">
      <c r="A331" t="s">
        <v>6599</v>
      </c>
      <c r="B331" t="str">
        <f>"801542094041"</f>
        <v>801542094041</v>
      </c>
      <c r="C331" t="s">
        <v>6600</v>
      </c>
      <c r="D331" t="s">
        <v>835</v>
      </c>
      <c r="E331" t="s">
        <v>515</v>
      </c>
      <c r="F331" t="s">
        <v>516</v>
      </c>
      <c r="G331" t="str">
        <f>"25.5"</f>
        <v>25.5</v>
      </c>
      <c r="H331" t="str">
        <f>"30"</f>
        <v>30</v>
      </c>
      <c r="I331" t="str">
        <f>"31"</f>
        <v>31</v>
      </c>
      <c r="J331" t="str">
        <f>"26.46"</f>
        <v>26.46</v>
      </c>
      <c r="K331" t="s">
        <v>2833</v>
      </c>
      <c r="L331" t="s">
        <v>2550</v>
      </c>
      <c r="M331" t="s">
        <v>2623</v>
      </c>
      <c r="N331" t="s">
        <v>1793</v>
      </c>
      <c r="O331" t="s">
        <v>1794</v>
      </c>
      <c r="P331" t="s">
        <v>775</v>
      </c>
      <c r="Q331" t="s">
        <v>555</v>
      </c>
      <c r="T331" t="s">
        <v>373</v>
      </c>
      <c r="U331" t="s">
        <v>373</v>
      </c>
      <c r="V331" t="s">
        <v>6601</v>
      </c>
      <c r="W331" t="s">
        <v>6602</v>
      </c>
      <c r="X331" t="s">
        <v>6603</v>
      </c>
      <c r="Y331" t="s">
        <v>6604</v>
      </c>
      <c r="Z331" t="s">
        <v>6605</v>
      </c>
      <c r="AA331" t="s">
        <v>6606</v>
      </c>
      <c r="AB331" t="s">
        <v>6607</v>
      </c>
      <c r="AC331" t="s">
        <v>6608</v>
      </c>
      <c r="AD331" t="s">
        <v>6609</v>
      </c>
      <c r="AE331" t="s">
        <v>6610</v>
      </c>
      <c r="AF331" t="s">
        <v>6611</v>
      </c>
      <c r="AG331" t="s">
        <v>6612</v>
      </c>
      <c r="AH331" t="s">
        <v>6613</v>
      </c>
      <c r="BA331" t="str">
        <f>"749"</f>
        <v>749</v>
      </c>
      <c r="BB331" t="str">
        <f>"315"</f>
        <v>315</v>
      </c>
      <c r="BC331" t="s">
        <v>388</v>
      </c>
      <c r="BD331" t="str">
        <f t="shared" si="88"/>
        <v>1</v>
      </c>
      <c r="BE331" t="s">
        <v>1662</v>
      </c>
      <c r="BF331" t="str">
        <f>"30.71"</f>
        <v>30.71</v>
      </c>
      <c r="BG331" t="str">
        <f>"34.65"</f>
        <v>34.65</v>
      </c>
      <c r="BH331" t="str">
        <f>"36.61"</f>
        <v>36.61</v>
      </c>
      <c r="BI331" t="str">
        <f>"46.08"</f>
        <v>46.08</v>
      </c>
      <c r="BY331" t="str">
        <f>"19.63"</f>
        <v>19.63</v>
      </c>
      <c r="BZ331" t="str">
        <f>"0.556"</f>
        <v>0.556</v>
      </c>
      <c r="CA331" t="s">
        <v>431</v>
      </c>
      <c r="CK331" t="s">
        <v>1151</v>
      </c>
      <c r="CL331" t="s">
        <v>511</v>
      </c>
      <c r="CM331" t="s">
        <v>601</v>
      </c>
      <c r="CN331">
        <v>0</v>
      </c>
      <c r="CO331">
        <v>1</v>
      </c>
      <c r="CP331" t="s">
        <v>437</v>
      </c>
      <c r="CQ331" t="s">
        <v>438</v>
      </c>
      <c r="CX331" t="s">
        <v>667</v>
      </c>
      <c r="CY331" t="s">
        <v>400</v>
      </c>
      <c r="CZ331">
        <v>0</v>
      </c>
      <c r="DD331">
        <v>30000</v>
      </c>
      <c r="DE331" t="s">
        <v>405</v>
      </c>
      <c r="DF331" t="s">
        <v>632</v>
      </c>
      <c r="DG331" t="s">
        <v>1808</v>
      </c>
      <c r="DH331">
        <v>1</v>
      </c>
      <c r="DI331">
        <v>1</v>
      </c>
      <c r="DK331" t="s">
        <v>6598</v>
      </c>
      <c r="DL331">
        <v>0</v>
      </c>
      <c r="DM331" t="s">
        <v>538</v>
      </c>
      <c r="DN331" t="s">
        <v>600</v>
      </c>
      <c r="DO331" t="s">
        <v>797</v>
      </c>
      <c r="DP331" t="s">
        <v>600</v>
      </c>
      <c r="DT331" t="s">
        <v>827</v>
      </c>
      <c r="DX331" t="s">
        <v>2240</v>
      </c>
      <c r="DY331" t="s">
        <v>2083</v>
      </c>
      <c r="DZ331" t="s">
        <v>1491</v>
      </c>
      <c r="EA331" t="s">
        <v>1039</v>
      </c>
      <c r="ED331" t="s">
        <v>632</v>
      </c>
      <c r="EE331" t="s">
        <v>1808</v>
      </c>
      <c r="EG331" t="s">
        <v>2029</v>
      </c>
      <c r="ER331">
        <v>0</v>
      </c>
      <c r="ES331">
        <v>0</v>
      </c>
      <c r="EU331">
        <v>0</v>
      </c>
    </row>
    <row r="332" spans="1:291" x14ac:dyDescent="0.25">
      <c r="A332" t="s">
        <v>6614</v>
      </c>
      <c r="B332" t="str">
        <f>"801542136994"</f>
        <v>801542136994</v>
      </c>
      <c r="C332" t="s">
        <v>6615</v>
      </c>
      <c r="D332" t="s">
        <v>722</v>
      </c>
      <c r="E332" t="s">
        <v>367</v>
      </c>
      <c r="F332" t="s">
        <v>368</v>
      </c>
      <c r="G332" t="str">
        <f>"65.5"</f>
        <v>65.5</v>
      </c>
      <c r="H332" t="str">
        <f>"21.25"</f>
        <v>21.25</v>
      </c>
      <c r="I332" t="str">
        <f>"25.75"</f>
        <v>25.75</v>
      </c>
      <c r="J332" t="str">
        <f>"61.95"</f>
        <v>61.95</v>
      </c>
      <c r="K332" t="s">
        <v>1986</v>
      </c>
      <c r="L332" t="s">
        <v>6616</v>
      </c>
      <c r="M332" t="s">
        <v>6617</v>
      </c>
      <c r="N332" t="s">
        <v>416</v>
      </c>
      <c r="O332" t="s">
        <v>555</v>
      </c>
      <c r="T332" t="s">
        <v>373</v>
      </c>
      <c r="U332" t="s">
        <v>373</v>
      </c>
      <c r="V332" t="s">
        <v>6618</v>
      </c>
      <c r="W332" t="s">
        <v>6619</v>
      </c>
      <c r="X332" t="s">
        <v>6620</v>
      </c>
      <c r="Y332" t="s">
        <v>6621</v>
      </c>
      <c r="Z332" t="s">
        <v>6622</v>
      </c>
      <c r="AA332" t="s">
        <v>6623</v>
      </c>
      <c r="AB332" t="s">
        <v>6624</v>
      </c>
      <c r="AC332" t="s">
        <v>6625</v>
      </c>
      <c r="AD332" t="s">
        <v>6626</v>
      </c>
      <c r="AE332" t="s">
        <v>6627</v>
      </c>
      <c r="AF332" t="s">
        <v>6628</v>
      </c>
      <c r="AG332" t="s">
        <v>6629</v>
      </c>
      <c r="AH332" t="s">
        <v>6630</v>
      </c>
      <c r="AI332" t="s">
        <v>6631</v>
      </c>
      <c r="BA332" t="str">
        <f>"2899"</f>
        <v>2899</v>
      </c>
      <c r="BB332" t="str">
        <f>"1220"</f>
        <v>1220</v>
      </c>
      <c r="BC332" t="s">
        <v>388</v>
      </c>
      <c r="BD332" t="str">
        <f t="shared" si="88"/>
        <v>1</v>
      </c>
      <c r="BE332" t="s">
        <v>739</v>
      </c>
      <c r="BF332" t="str">
        <f>"21.46"</f>
        <v>21.46</v>
      </c>
      <c r="BG332" t="str">
        <f>"69.29"</f>
        <v>69.29</v>
      </c>
      <c r="BH332" t="str">
        <f>"20.47"</f>
        <v>20.47</v>
      </c>
      <c r="BI332" t="str">
        <f>"80.47"</f>
        <v>80.47</v>
      </c>
      <c r="BY332" t="str">
        <f>"14.55"</f>
        <v>14.55</v>
      </c>
      <c r="BZ332" t="str">
        <f>"0.412"</f>
        <v>0.412</v>
      </c>
      <c r="CA332" t="s">
        <v>495</v>
      </c>
      <c r="CK332" t="s">
        <v>602</v>
      </c>
      <c r="CL332" t="s">
        <v>3313</v>
      </c>
      <c r="CM332" t="s">
        <v>6632</v>
      </c>
      <c r="CN332">
        <v>0</v>
      </c>
      <c r="CO332">
        <v>0</v>
      </c>
      <c r="CP332" t="s">
        <v>398</v>
      </c>
      <c r="CQ332" t="s">
        <v>438</v>
      </c>
      <c r="CR332" t="s">
        <v>400</v>
      </c>
      <c r="CS332">
        <v>0</v>
      </c>
      <c r="CT332" t="s">
        <v>400</v>
      </c>
      <c r="CU332" t="s">
        <v>749</v>
      </c>
      <c r="CV332">
        <v>0</v>
      </c>
      <c r="CX332" t="s">
        <v>403</v>
      </c>
      <c r="CY332" t="s">
        <v>400</v>
      </c>
      <c r="CZ332">
        <v>1</v>
      </c>
      <c r="DA332">
        <v>0</v>
      </c>
      <c r="DB332">
        <v>0</v>
      </c>
      <c r="DC332">
        <v>0</v>
      </c>
      <c r="DD332">
        <v>0</v>
      </c>
      <c r="DE332" t="s">
        <v>2001</v>
      </c>
      <c r="DF332" t="s">
        <v>632</v>
      </c>
      <c r="DG332" t="s">
        <v>407</v>
      </c>
      <c r="DH332">
        <v>1</v>
      </c>
      <c r="DI332">
        <v>2</v>
      </c>
      <c r="DJ332" t="s">
        <v>408</v>
      </c>
      <c r="DK332" t="s">
        <v>6633</v>
      </c>
      <c r="DL332">
        <v>0</v>
      </c>
      <c r="DM332" t="s">
        <v>1736</v>
      </c>
      <c r="DX332" t="s">
        <v>6634</v>
      </c>
      <c r="DY332" t="s">
        <v>6635</v>
      </c>
      <c r="DZ332" t="s">
        <v>6636</v>
      </c>
      <c r="EM332" t="s">
        <v>402</v>
      </c>
      <c r="IH332" t="s">
        <v>2383</v>
      </c>
      <c r="II332" t="s">
        <v>2383</v>
      </c>
      <c r="IJ332" t="s">
        <v>6637</v>
      </c>
      <c r="IK332" t="s">
        <v>5549</v>
      </c>
      <c r="IL332" t="s">
        <v>402</v>
      </c>
    </row>
    <row r="333" spans="1:291" x14ac:dyDescent="0.25">
      <c r="A333" t="s">
        <v>6638</v>
      </c>
      <c r="B333" t="str">
        <f>"801542631161"</f>
        <v>801542631161</v>
      </c>
      <c r="C333" t="s">
        <v>6639</v>
      </c>
      <c r="D333" t="s">
        <v>722</v>
      </c>
      <c r="E333" t="s">
        <v>964</v>
      </c>
      <c r="F333" t="s">
        <v>6640</v>
      </c>
      <c r="G333" t="str">
        <f>"38"</f>
        <v>38</v>
      </c>
      <c r="H333" t="str">
        <f>"19"</f>
        <v>19</v>
      </c>
      <c r="I333" t="str">
        <f>"84"</f>
        <v>84</v>
      </c>
      <c r="J333" t="str">
        <f>"187.39"</f>
        <v>187.39</v>
      </c>
      <c r="K333" t="s">
        <v>752</v>
      </c>
      <c r="L333" t="s">
        <v>724</v>
      </c>
      <c r="N333" t="s">
        <v>372</v>
      </c>
      <c r="T333" t="s">
        <v>402</v>
      </c>
      <c r="U333" t="s">
        <v>373</v>
      </c>
      <c r="V333" t="s">
        <v>6641</v>
      </c>
      <c r="W333" t="s">
        <v>6642</v>
      </c>
      <c r="X333" t="s">
        <v>6643</v>
      </c>
      <c r="Y333" t="s">
        <v>6644</v>
      </c>
      <c r="Z333" t="s">
        <v>6645</v>
      </c>
      <c r="AA333" t="s">
        <v>6646</v>
      </c>
      <c r="AB333" t="s">
        <v>6647</v>
      </c>
      <c r="AC333" t="s">
        <v>6648</v>
      </c>
      <c r="AD333" t="s">
        <v>6649</v>
      </c>
      <c r="AE333" t="s">
        <v>6650</v>
      </c>
      <c r="AF333" t="s">
        <v>6651</v>
      </c>
      <c r="AG333" t="s">
        <v>6652</v>
      </c>
      <c r="AH333" t="s">
        <v>6653</v>
      </c>
      <c r="AI333" t="s">
        <v>6654</v>
      </c>
      <c r="AJ333" t="s">
        <v>6655</v>
      </c>
      <c r="AK333" t="s">
        <v>6656</v>
      </c>
      <c r="AL333" t="s">
        <v>6657</v>
      </c>
      <c r="AM333" t="s">
        <v>6658</v>
      </c>
      <c r="AN333" t="s">
        <v>6659</v>
      </c>
      <c r="AO333" t="s">
        <v>6660</v>
      </c>
      <c r="BA333" t="str">
        <f>"4199"</f>
        <v>4199</v>
      </c>
      <c r="BB333" t="str">
        <f>"1765"</f>
        <v>1765</v>
      </c>
      <c r="BC333" t="s">
        <v>388</v>
      </c>
      <c r="BD333" t="str">
        <f t="shared" si="88"/>
        <v>1</v>
      </c>
      <c r="BE333" t="s">
        <v>389</v>
      </c>
      <c r="BF333" t="str">
        <f>"41.73"</f>
        <v>41.73</v>
      </c>
      <c r="BG333" t="str">
        <f>"22.44"</f>
        <v>22.44</v>
      </c>
      <c r="BH333" t="str">
        <f>"92.13"</f>
        <v>92.13</v>
      </c>
      <c r="BI333" t="str">
        <f>"220.46"</f>
        <v>220.46</v>
      </c>
      <c r="BY333" t="str">
        <f>"49.93"</f>
        <v>49.93</v>
      </c>
      <c r="BZ333" t="str">
        <f>"1.414"</f>
        <v>1.414</v>
      </c>
      <c r="CA333" t="s">
        <v>1765</v>
      </c>
      <c r="CB333" t="s">
        <v>979</v>
      </c>
      <c r="CC333" t="s">
        <v>637</v>
      </c>
      <c r="CD333" t="s">
        <v>3059</v>
      </c>
      <c r="CE333" t="s">
        <v>979</v>
      </c>
      <c r="CF333" t="s">
        <v>1512</v>
      </c>
      <c r="CG333" t="s">
        <v>3059</v>
      </c>
      <c r="CR333" t="s">
        <v>400</v>
      </c>
      <c r="CS333">
        <v>0</v>
      </c>
      <c r="CT333" t="s">
        <v>400</v>
      </c>
      <c r="CV333">
        <v>2</v>
      </c>
      <c r="CW333" t="s">
        <v>402</v>
      </c>
      <c r="CX333" t="s">
        <v>403</v>
      </c>
      <c r="CY333" t="s">
        <v>954</v>
      </c>
      <c r="DA333">
        <v>18.14</v>
      </c>
      <c r="DB333">
        <v>40</v>
      </c>
      <c r="DC333">
        <v>2</v>
      </c>
      <c r="DJ333" t="s">
        <v>982</v>
      </c>
      <c r="DK333" t="s">
        <v>6661</v>
      </c>
      <c r="DX333" t="s">
        <v>540</v>
      </c>
      <c r="EM333" t="s">
        <v>402</v>
      </c>
      <c r="EN333">
        <v>3</v>
      </c>
      <c r="EZ333" t="s">
        <v>801</v>
      </c>
      <c r="FA333" t="s">
        <v>6662</v>
      </c>
      <c r="FB333" t="s">
        <v>5043</v>
      </c>
      <c r="FC333" t="s">
        <v>979</v>
      </c>
      <c r="FD333" t="s">
        <v>637</v>
      </c>
      <c r="FE333" t="s">
        <v>3059</v>
      </c>
      <c r="FF333">
        <v>0</v>
      </c>
      <c r="FH333" t="s">
        <v>6663</v>
      </c>
      <c r="FI333">
        <v>2</v>
      </c>
      <c r="FJ333" t="s">
        <v>960</v>
      </c>
      <c r="FK333" t="s">
        <v>1611</v>
      </c>
      <c r="FL333">
        <v>0</v>
      </c>
      <c r="FM333" t="s">
        <v>402</v>
      </c>
      <c r="FN333" t="s">
        <v>6664</v>
      </c>
      <c r="FO333" t="s">
        <v>5044</v>
      </c>
      <c r="FQ333">
        <v>0</v>
      </c>
      <c r="GB333" t="s">
        <v>979</v>
      </c>
      <c r="GC333" t="s">
        <v>638</v>
      </c>
      <c r="GD333" t="s">
        <v>3059</v>
      </c>
      <c r="GR333" t="s">
        <v>979</v>
      </c>
      <c r="GT333" t="s">
        <v>638</v>
      </c>
      <c r="GV333" t="s">
        <v>3059</v>
      </c>
      <c r="HI333" t="s">
        <v>402</v>
      </c>
      <c r="JJ333" t="s">
        <v>1357</v>
      </c>
    </row>
    <row r="334" spans="1:291" x14ac:dyDescent="0.25">
      <c r="A334" t="s">
        <v>6665</v>
      </c>
      <c r="B334" t="str">
        <f>"801542728984"</f>
        <v>801542728984</v>
      </c>
      <c r="C334" t="s">
        <v>6666</v>
      </c>
      <c r="D334" t="s">
        <v>722</v>
      </c>
      <c r="E334" t="s">
        <v>964</v>
      </c>
      <c r="F334" t="s">
        <v>6640</v>
      </c>
      <c r="G334" t="str">
        <f>"38"</f>
        <v>38</v>
      </c>
      <c r="H334" t="str">
        <f>"19"</f>
        <v>19</v>
      </c>
      <c r="I334" t="str">
        <f>"84"</f>
        <v>84</v>
      </c>
      <c r="J334" t="str">
        <f>"187.39"</f>
        <v>187.39</v>
      </c>
      <c r="K334" t="s">
        <v>724</v>
      </c>
      <c r="N334" t="s">
        <v>372</v>
      </c>
      <c r="T334" t="s">
        <v>402</v>
      </c>
      <c r="U334" t="s">
        <v>373</v>
      </c>
      <c r="V334" t="s">
        <v>6667</v>
      </c>
      <c r="W334" t="s">
        <v>6668</v>
      </c>
      <c r="X334" t="s">
        <v>6669</v>
      </c>
      <c r="Y334" t="s">
        <v>6670</v>
      </c>
      <c r="Z334" t="s">
        <v>6671</v>
      </c>
      <c r="AA334" t="s">
        <v>6672</v>
      </c>
      <c r="AB334" t="s">
        <v>6673</v>
      </c>
      <c r="AC334" t="s">
        <v>6674</v>
      </c>
      <c r="AD334" t="s">
        <v>6675</v>
      </c>
      <c r="AE334" t="s">
        <v>6676</v>
      </c>
      <c r="AF334" t="s">
        <v>6677</v>
      </c>
      <c r="AG334" t="s">
        <v>6678</v>
      </c>
      <c r="AH334" t="s">
        <v>6679</v>
      </c>
      <c r="AI334" t="s">
        <v>6680</v>
      </c>
      <c r="AJ334" t="s">
        <v>6681</v>
      </c>
      <c r="AK334" t="s">
        <v>6682</v>
      </c>
      <c r="AL334" t="s">
        <v>6683</v>
      </c>
      <c r="AM334" t="s">
        <v>6684</v>
      </c>
      <c r="AN334" t="s">
        <v>6685</v>
      </c>
      <c r="AO334" t="s">
        <v>6686</v>
      </c>
      <c r="BA334" t="str">
        <f>"4199"</f>
        <v>4199</v>
      </c>
      <c r="BB334" t="str">
        <f>"1765"</f>
        <v>1765</v>
      </c>
      <c r="BC334" t="s">
        <v>388</v>
      </c>
      <c r="BD334" t="str">
        <f t="shared" si="88"/>
        <v>1</v>
      </c>
      <c r="BE334" t="s">
        <v>389</v>
      </c>
      <c r="BF334" t="str">
        <f>"41.73"</f>
        <v>41.73</v>
      </c>
      <c r="BG334" t="str">
        <f>"22.44"</f>
        <v>22.44</v>
      </c>
      <c r="BH334" t="str">
        <f>"92.13"</f>
        <v>92.13</v>
      </c>
      <c r="BI334" t="str">
        <f>"220.46"</f>
        <v>220.46</v>
      </c>
      <c r="BY334" t="str">
        <f>"49.93"</f>
        <v>49.93</v>
      </c>
      <c r="BZ334" t="str">
        <f>"1.414"</f>
        <v>1.414</v>
      </c>
      <c r="CA334" t="s">
        <v>431</v>
      </c>
      <c r="CB334" t="s">
        <v>979</v>
      </c>
      <c r="CC334" t="s">
        <v>637</v>
      </c>
      <c r="CD334" t="s">
        <v>3059</v>
      </c>
      <c r="CE334" t="s">
        <v>979</v>
      </c>
      <c r="CF334" t="s">
        <v>1512</v>
      </c>
      <c r="CG334" t="s">
        <v>3059</v>
      </c>
      <c r="CR334" t="s">
        <v>400</v>
      </c>
      <c r="CS334">
        <v>0</v>
      </c>
      <c r="CT334" t="s">
        <v>400</v>
      </c>
      <c r="CV334">
        <v>2</v>
      </c>
      <c r="CW334" t="s">
        <v>402</v>
      </c>
      <c r="CX334" t="s">
        <v>403</v>
      </c>
      <c r="CY334" t="s">
        <v>954</v>
      </c>
      <c r="DA334">
        <v>18.14</v>
      </c>
      <c r="DB334">
        <v>40</v>
      </c>
      <c r="DC334">
        <v>2</v>
      </c>
      <c r="DJ334" t="s">
        <v>982</v>
      </c>
      <c r="DK334" t="s">
        <v>6661</v>
      </c>
      <c r="DX334" t="s">
        <v>540</v>
      </c>
      <c r="EM334" t="s">
        <v>402</v>
      </c>
      <c r="EN334">
        <v>3</v>
      </c>
      <c r="EZ334" t="s">
        <v>801</v>
      </c>
      <c r="FA334" t="s">
        <v>6662</v>
      </c>
      <c r="FB334" t="s">
        <v>5043</v>
      </c>
      <c r="FC334" t="s">
        <v>979</v>
      </c>
      <c r="FD334" t="s">
        <v>637</v>
      </c>
      <c r="FE334" t="s">
        <v>3059</v>
      </c>
      <c r="FF334">
        <v>0</v>
      </c>
      <c r="FH334" t="s">
        <v>6663</v>
      </c>
      <c r="FI334">
        <v>2</v>
      </c>
      <c r="FJ334" t="s">
        <v>960</v>
      </c>
      <c r="FK334" t="s">
        <v>1611</v>
      </c>
      <c r="FL334">
        <v>0</v>
      </c>
      <c r="FM334" t="s">
        <v>402</v>
      </c>
      <c r="FN334" t="s">
        <v>6664</v>
      </c>
      <c r="FO334" t="s">
        <v>5044</v>
      </c>
      <c r="FQ334">
        <v>0</v>
      </c>
      <c r="GB334" t="s">
        <v>979</v>
      </c>
      <c r="GC334" t="s">
        <v>638</v>
      </c>
      <c r="GD334" t="s">
        <v>3059</v>
      </c>
      <c r="GR334" t="s">
        <v>979</v>
      </c>
      <c r="GT334" t="s">
        <v>638</v>
      </c>
      <c r="GV334" t="s">
        <v>3059</v>
      </c>
      <c r="HI334" t="s">
        <v>402</v>
      </c>
      <c r="JJ334" t="s">
        <v>1357</v>
      </c>
    </row>
    <row r="335" spans="1:291" x14ac:dyDescent="0.25">
      <c r="A335" t="s">
        <v>6687</v>
      </c>
      <c r="B335" t="str">
        <f>"801542007539"</f>
        <v>801542007539</v>
      </c>
      <c r="C335" t="s">
        <v>6639</v>
      </c>
      <c r="D335" t="s">
        <v>722</v>
      </c>
      <c r="E335" t="s">
        <v>964</v>
      </c>
      <c r="F335" t="s">
        <v>6640</v>
      </c>
      <c r="G335" t="str">
        <f>"38"</f>
        <v>38</v>
      </c>
      <c r="H335" t="str">
        <f>"19"</f>
        <v>19</v>
      </c>
      <c r="I335" t="str">
        <f>"84"</f>
        <v>84</v>
      </c>
      <c r="J335" t="str">
        <f>"187.39"</f>
        <v>187.39</v>
      </c>
      <c r="K335" t="s">
        <v>752</v>
      </c>
      <c r="N335" t="s">
        <v>372</v>
      </c>
      <c r="T335" t="s">
        <v>402</v>
      </c>
      <c r="U335" t="s">
        <v>373</v>
      </c>
      <c r="V335" t="s">
        <v>6688</v>
      </c>
      <c r="W335" t="s">
        <v>6689</v>
      </c>
      <c r="X335" t="s">
        <v>6690</v>
      </c>
      <c r="Y335" t="s">
        <v>6691</v>
      </c>
      <c r="Z335" t="s">
        <v>6692</v>
      </c>
      <c r="AA335" t="s">
        <v>6693</v>
      </c>
      <c r="AB335" t="s">
        <v>6694</v>
      </c>
      <c r="AC335" t="s">
        <v>6695</v>
      </c>
      <c r="AD335" t="s">
        <v>6696</v>
      </c>
      <c r="AE335" t="s">
        <v>6697</v>
      </c>
      <c r="AF335" t="s">
        <v>6698</v>
      </c>
      <c r="AG335" t="s">
        <v>6699</v>
      </c>
      <c r="AH335" t="s">
        <v>6700</v>
      </c>
      <c r="AI335" t="s">
        <v>6701</v>
      </c>
      <c r="BA335" t="str">
        <f>"4199"</f>
        <v>4199</v>
      </c>
      <c r="BB335" t="str">
        <f>"1765"</f>
        <v>1765</v>
      </c>
      <c r="BC335" t="s">
        <v>388</v>
      </c>
      <c r="BD335" t="str">
        <f t="shared" si="88"/>
        <v>1</v>
      </c>
      <c r="BE335" t="s">
        <v>389</v>
      </c>
      <c r="BF335" t="str">
        <f>"41.73"</f>
        <v>41.73</v>
      </c>
      <c r="BG335" t="str">
        <f>"22.44"</f>
        <v>22.44</v>
      </c>
      <c r="BH335" t="str">
        <f>"92.13"</f>
        <v>92.13</v>
      </c>
      <c r="BI335" t="str">
        <f>"220.46"</f>
        <v>220.46</v>
      </c>
      <c r="BY335" t="str">
        <f>"49.93"</f>
        <v>49.93</v>
      </c>
      <c r="BZ335" t="str">
        <f>"1.414"</f>
        <v>1.414</v>
      </c>
      <c r="CA335" t="s">
        <v>431</v>
      </c>
      <c r="CB335" t="s">
        <v>979</v>
      </c>
      <c r="CC335" t="s">
        <v>637</v>
      </c>
      <c r="CD335" t="s">
        <v>3059</v>
      </c>
      <c r="CE335" t="s">
        <v>979</v>
      </c>
      <c r="CF335" t="s">
        <v>1512</v>
      </c>
      <c r="CG335" t="s">
        <v>3059</v>
      </c>
      <c r="CR335" t="s">
        <v>400</v>
      </c>
      <c r="CS335">
        <v>0</v>
      </c>
      <c r="CT335" t="s">
        <v>400</v>
      </c>
      <c r="CV335">
        <v>2</v>
      </c>
      <c r="CW335" t="s">
        <v>402</v>
      </c>
      <c r="CX335" t="s">
        <v>403</v>
      </c>
      <c r="CY335" t="s">
        <v>954</v>
      </c>
      <c r="DA335">
        <v>18.14</v>
      </c>
      <c r="DB335">
        <v>40</v>
      </c>
      <c r="DC335">
        <v>2</v>
      </c>
      <c r="DJ335" t="s">
        <v>982</v>
      </c>
      <c r="DK335" t="s">
        <v>6661</v>
      </c>
      <c r="DX335" t="s">
        <v>540</v>
      </c>
      <c r="EM335" t="s">
        <v>402</v>
      </c>
      <c r="EN335">
        <v>3</v>
      </c>
      <c r="EZ335" t="s">
        <v>801</v>
      </c>
      <c r="FA335" t="s">
        <v>6662</v>
      </c>
      <c r="FB335" t="s">
        <v>5043</v>
      </c>
      <c r="FC335" t="s">
        <v>979</v>
      </c>
      <c r="FD335" t="s">
        <v>637</v>
      </c>
      <c r="FE335" t="s">
        <v>3059</v>
      </c>
      <c r="FF335">
        <v>0</v>
      </c>
      <c r="FH335" t="s">
        <v>6663</v>
      </c>
      <c r="FI335">
        <v>2</v>
      </c>
      <c r="FJ335" t="s">
        <v>960</v>
      </c>
      <c r="FK335" t="s">
        <v>1611</v>
      </c>
      <c r="FL335">
        <v>0</v>
      </c>
      <c r="FM335" t="s">
        <v>402</v>
      </c>
      <c r="FN335" t="s">
        <v>6664</v>
      </c>
      <c r="FO335" t="s">
        <v>5044</v>
      </c>
      <c r="FQ335">
        <v>0</v>
      </c>
      <c r="GB335" t="s">
        <v>979</v>
      </c>
      <c r="GC335" t="s">
        <v>638</v>
      </c>
      <c r="GD335" t="s">
        <v>3059</v>
      </c>
      <c r="GR335" t="s">
        <v>979</v>
      </c>
      <c r="GT335" t="s">
        <v>638</v>
      </c>
      <c r="GV335" t="s">
        <v>3059</v>
      </c>
      <c r="HI335" t="s">
        <v>402</v>
      </c>
      <c r="JJ335" t="s">
        <v>1357</v>
      </c>
    </row>
    <row r="336" spans="1:291" x14ac:dyDescent="0.25">
      <c r="A336" t="s">
        <v>6702</v>
      </c>
      <c r="B336" t="str">
        <f>"801542245863"</f>
        <v>801542245863</v>
      </c>
      <c r="C336" t="s">
        <v>6703</v>
      </c>
      <c r="D336" t="s">
        <v>722</v>
      </c>
      <c r="E336" t="s">
        <v>964</v>
      </c>
      <c r="F336" t="s">
        <v>6640</v>
      </c>
      <c r="G336" t="str">
        <f>"38"</f>
        <v>38</v>
      </c>
      <c r="H336" t="str">
        <f>"19"</f>
        <v>19</v>
      </c>
      <c r="I336" t="str">
        <f>"84"</f>
        <v>84</v>
      </c>
      <c r="J336" t="str">
        <f>"187.39"</f>
        <v>187.39</v>
      </c>
      <c r="K336" t="s">
        <v>6704</v>
      </c>
      <c r="L336" t="s">
        <v>6705</v>
      </c>
      <c r="N336" t="s">
        <v>1970</v>
      </c>
      <c r="O336" t="s">
        <v>372</v>
      </c>
      <c r="T336" t="s">
        <v>373</v>
      </c>
      <c r="U336" t="s">
        <v>373</v>
      </c>
      <c r="V336" t="s">
        <v>6706</v>
      </c>
      <c r="W336" t="s">
        <v>6707</v>
      </c>
      <c r="X336" t="s">
        <v>6708</v>
      </c>
      <c r="Y336" t="s">
        <v>6709</v>
      </c>
      <c r="Z336" t="s">
        <v>6710</v>
      </c>
      <c r="AA336" t="s">
        <v>6711</v>
      </c>
      <c r="AB336" t="s">
        <v>6712</v>
      </c>
      <c r="AC336" t="s">
        <v>6713</v>
      </c>
      <c r="AD336" t="s">
        <v>6714</v>
      </c>
      <c r="AE336" t="s">
        <v>6715</v>
      </c>
      <c r="AF336" t="s">
        <v>6716</v>
      </c>
      <c r="AG336" t="s">
        <v>6717</v>
      </c>
      <c r="AH336" t="s">
        <v>6718</v>
      </c>
      <c r="AI336" t="s">
        <v>6719</v>
      </c>
      <c r="AJ336" t="s">
        <v>6720</v>
      </c>
      <c r="AK336" t="s">
        <v>6721</v>
      </c>
      <c r="AL336" t="s">
        <v>6722</v>
      </c>
      <c r="AM336" t="s">
        <v>6723</v>
      </c>
      <c r="BA336" t="str">
        <f>"4199"</f>
        <v>4199</v>
      </c>
      <c r="BB336" t="str">
        <f>"1765"</f>
        <v>1765</v>
      </c>
      <c r="BC336" t="s">
        <v>388</v>
      </c>
      <c r="BD336" t="str">
        <f t="shared" si="88"/>
        <v>1</v>
      </c>
      <c r="BE336" t="s">
        <v>389</v>
      </c>
      <c r="BF336" t="str">
        <f>"41.73"</f>
        <v>41.73</v>
      </c>
      <c r="BG336" t="str">
        <f>"22.44"</f>
        <v>22.44</v>
      </c>
      <c r="BH336" t="str">
        <f>"92.13"</f>
        <v>92.13</v>
      </c>
      <c r="BI336" t="str">
        <f>"220.46"</f>
        <v>220.46</v>
      </c>
      <c r="BY336" t="str">
        <f>"49.93"</f>
        <v>49.93</v>
      </c>
      <c r="BZ336" t="str">
        <f>"1.414"</f>
        <v>1.414</v>
      </c>
      <c r="CA336" t="s">
        <v>390</v>
      </c>
      <c r="CB336" t="s">
        <v>979</v>
      </c>
      <c r="CC336" t="s">
        <v>637</v>
      </c>
      <c r="CD336" t="s">
        <v>3059</v>
      </c>
      <c r="CE336" t="s">
        <v>979</v>
      </c>
      <c r="CF336" t="s">
        <v>1512</v>
      </c>
      <c r="CG336" t="s">
        <v>3059</v>
      </c>
      <c r="CR336" t="s">
        <v>400</v>
      </c>
      <c r="CS336">
        <v>0</v>
      </c>
      <c r="CT336" t="s">
        <v>400</v>
      </c>
      <c r="CV336">
        <v>2</v>
      </c>
      <c r="CW336" t="s">
        <v>402</v>
      </c>
      <c r="CX336" t="s">
        <v>403</v>
      </c>
      <c r="CY336" t="s">
        <v>954</v>
      </c>
      <c r="DA336">
        <v>18.14</v>
      </c>
      <c r="DB336">
        <v>40</v>
      </c>
      <c r="DC336">
        <v>2</v>
      </c>
      <c r="DJ336" t="s">
        <v>982</v>
      </c>
      <c r="DK336" t="s">
        <v>6661</v>
      </c>
      <c r="DX336" t="s">
        <v>540</v>
      </c>
      <c r="EM336" t="s">
        <v>402</v>
      </c>
      <c r="EN336">
        <v>3</v>
      </c>
      <c r="EZ336" t="s">
        <v>801</v>
      </c>
      <c r="FA336" t="s">
        <v>6662</v>
      </c>
      <c r="FB336" t="s">
        <v>5043</v>
      </c>
      <c r="FC336" t="s">
        <v>979</v>
      </c>
      <c r="FD336" t="s">
        <v>637</v>
      </c>
      <c r="FE336" t="s">
        <v>3059</v>
      </c>
      <c r="FF336">
        <v>0</v>
      </c>
      <c r="FH336" t="s">
        <v>6663</v>
      </c>
      <c r="FI336">
        <v>2</v>
      </c>
      <c r="FJ336" t="s">
        <v>960</v>
      </c>
      <c r="FK336" t="s">
        <v>1611</v>
      </c>
      <c r="FL336">
        <v>0</v>
      </c>
      <c r="FM336" t="s">
        <v>402</v>
      </c>
      <c r="FN336" t="s">
        <v>6664</v>
      </c>
      <c r="FO336" t="s">
        <v>5044</v>
      </c>
      <c r="FQ336">
        <v>0</v>
      </c>
      <c r="GB336" t="s">
        <v>979</v>
      </c>
      <c r="GC336" t="s">
        <v>638</v>
      </c>
      <c r="GD336" t="s">
        <v>3059</v>
      </c>
      <c r="GR336" t="s">
        <v>979</v>
      </c>
      <c r="GT336" t="s">
        <v>638</v>
      </c>
      <c r="GV336" t="s">
        <v>3059</v>
      </c>
      <c r="HI336" t="s">
        <v>402</v>
      </c>
      <c r="JJ336" t="s">
        <v>1357</v>
      </c>
    </row>
    <row r="337" spans="1:292" x14ac:dyDescent="0.25">
      <c r="A337" t="s">
        <v>6724</v>
      </c>
      <c r="B337" t="str">
        <f>"801542739768"</f>
        <v>801542739768</v>
      </c>
      <c r="C337" t="s">
        <v>6725</v>
      </c>
      <c r="D337" t="s">
        <v>1318</v>
      </c>
      <c r="E337" t="s">
        <v>988</v>
      </c>
      <c r="G337" t="str">
        <f>"60"</f>
        <v>60</v>
      </c>
      <c r="H337" t="str">
        <f>"20"</f>
        <v>20</v>
      </c>
      <c r="I337" t="str">
        <f>"31"</f>
        <v>31</v>
      </c>
      <c r="J337" t="str">
        <f>"282.19"</f>
        <v>282.19</v>
      </c>
      <c r="K337" t="s">
        <v>6726</v>
      </c>
      <c r="L337" t="s">
        <v>6727</v>
      </c>
      <c r="N337" t="s">
        <v>372</v>
      </c>
      <c r="O337" t="s">
        <v>1463</v>
      </c>
      <c r="T337" t="s">
        <v>373</v>
      </c>
      <c r="U337" t="s">
        <v>373</v>
      </c>
      <c r="V337" t="s">
        <v>6728</v>
      </c>
      <c r="W337" t="s">
        <v>6729</v>
      </c>
      <c r="X337" t="s">
        <v>6730</v>
      </c>
      <c r="Y337" t="s">
        <v>6731</v>
      </c>
      <c r="Z337" t="s">
        <v>6732</v>
      </c>
      <c r="AA337" t="s">
        <v>6733</v>
      </c>
      <c r="AB337" t="s">
        <v>6734</v>
      </c>
      <c r="AC337" t="s">
        <v>6735</v>
      </c>
      <c r="AD337" t="s">
        <v>6736</v>
      </c>
      <c r="AE337" t="s">
        <v>6737</v>
      </c>
      <c r="AF337" t="s">
        <v>6738</v>
      </c>
      <c r="AG337" t="s">
        <v>6739</v>
      </c>
      <c r="AH337" t="s">
        <v>6740</v>
      </c>
      <c r="AI337" t="s">
        <v>6741</v>
      </c>
      <c r="AJ337" t="s">
        <v>6742</v>
      </c>
      <c r="BA337" t="str">
        <f>"2499"</f>
        <v>2499</v>
      </c>
      <c r="BB337" t="str">
        <f>"1050"</f>
        <v>1050</v>
      </c>
      <c r="BC337" t="s">
        <v>665</v>
      </c>
      <c r="BD337" t="str">
        <f t="shared" si="88"/>
        <v>1</v>
      </c>
      <c r="BE337" t="s">
        <v>6743</v>
      </c>
      <c r="BF337" t="str">
        <f>"62.99"</f>
        <v>62.99</v>
      </c>
      <c r="BG337" t="str">
        <f>"23.43"</f>
        <v>23.43</v>
      </c>
      <c r="BH337" t="str">
        <f>"36.02"</f>
        <v>36.02</v>
      </c>
      <c r="BI337" t="str">
        <f>"326.28"</f>
        <v>326.28</v>
      </c>
      <c r="BY337" t="str">
        <f>"30.76"</f>
        <v>30.76</v>
      </c>
      <c r="BZ337" t="str">
        <f>"0.871"</f>
        <v>0.871</v>
      </c>
      <c r="CA337" t="s">
        <v>495</v>
      </c>
      <c r="CR337" t="s">
        <v>5068</v>
      </c>
      <c r="CS337">
        <v>6</v>
      </c>
      <c r="CT337" t="s">
        <v>400</v>
      </c>
      <c r="CV337">
        <v>0</v>
      </c>
      <c r="CX337" t="s">
        <v>953</v>
      </c>
      <c r="CY337" t="s">
        <v>1009</v>
      </c>
      <c r="DC337">
        <v>0</v>
      </c>
      <c r="DJ337" t="s">
        <v>1010</v>
      </c>
      <c r="DK337" t="s">
        <v>6744</v>
      </c>
      <c r="DM337" t="s">
        <v>473</v>
      </c>
      <c r="DX337" t="s">
        <v>675</v>
      </c>
      <c r="EM337" t="s">
        <v>402</v>
      </c>
      <c r="EN337">
        <v>0</v>
      </c>
      <c r="FI337">
        <v>0</v>
      </c>
      <c r="FJ337" t="s">
        <v>1012</v>
      </c>
      <c r="FP337" t="s">
        <v>402</v>
      </c>
      <c r="FR337" t="s">
        <v>4675</v>
      </c>
      <c r="FT337" t="s">
        <v>542</v>
      </c>
      <c r="FV337" t="s">
        <v>6745</v>
      </c>
      <c r="FX337" t="s">
        <v>4210</v>
      </c>
      <c r="FZ337" t="s">
        <v>1018</v>
      </c>
    </row>
    <row r="338" spans="1:292" x14ac:dyDescent="0.25">
      <c r="A338" t="s">
        <v>6746</v>
      </c>
      <c r="B338" t="str">
        <f>"801542731427"</f>
        <v>801542731427</v>
      </c>
      <c r="C338" t="s">
        <v>6747</v>
      </c>
      <c r="D338" t="s">
        <v>1318</v>
      </c>
      <c r="E338" t="s">
        <v>1043</v>
      </c>
      <c r="G338" t="str">
        <f>"26"</f>
        <v>26</v>
      </c>
      <c r="H338" t="str">
        <f>"18"</f>
        <v>18</v>
      </c>
      <c r="I338" t="str">
        <f>"22.25"</f>
        <v>22.25</v>
      </c>
      <c r="J338" t="str">
        <f>"62.83"</f>
        <v>62.83</v>
      </c>
      <c r="K338" t="s">
        <v>6727</v>
      </c>
      <c r="N338" t="s">
        <v>1463</v>
      </c>
      <c r="O338" t="s">
        <v>372</v>
      </c>
      <c r="T338" t="s">
        <v>373</v>
      </c>
      <c r="U338" t="s">
        <v>373</v>
      </c>
      <c r="V338" t="s">
        <v>6748</v>
      </c>
      <c r="W338" t="s">
        <v>6749</v>
      </c>
      <c r="X338" t="s">
        <v>6750</v>
      </c>
      <c r="Y338" t="s">
        <v>6751</v>
      </c>
      <c r="Z338" t="s">
        <v>6752</v>
      </c>
      <c r="AA338" t="s">
        <v>6753</v>
      </c>
      <c r="AB338" t="s">
        <v>6754</v>
      </c>
      <c r="AC338" t="s">
        <v>6755</v>
      </c>
      <c r="AD338" t="s">
        <v>6756</v>
      </c>
      <c r="AE338" t="s">
        <v>6757</v>
      </c>
      <c r="AF338" t="s">
        <v>6758</v>
      </c>
      <c r="AG338" t="s">
        <v>6759</v>
      </c>
      <c r="AH338" t="s">
        <v>6760</v>
      </c>
      <c r="AI338" t="s">
        <v>6761</v>
      </c>
      <c r="AJ338" t="s">
        <v>6762</v>
      </c>
      <c r="BA338" t="str">
        <f>"749"</f>
        <v>749</v>
      </c>
      <c r="BB338" t="str">
        <f>"315"</f>
        <v>315</v>
      </c>
      <c r="BC338" t="s">
        <v>665</v>
      </c>
      <c r="BD338" t="str">
        <f t="shared" si="88"/>
        <v>1</v>
      </c>
      <c r="BE338" t="s">
        <v>6763</v>
      </c>
      <c r="BF338" t="str">
        <f>"29.13"</f>
        <v>29.13</v>
      </c>
      <c r="BG338" t="str">
        <f>"20.87"</f>
        <v>20.87</v>
      </c>
      <c r="BH338" t="str">
        <f>"26.57"</f>
        <v>26.57</v>
      </c>
      <c r="BI338" t="str">
        <f>"81.57"</f>
        <v>81.57</v>
      </c>
      <c r="BY338" t="str">
        <f>"9.36"</f>
        <v>9.36</v>
      </c>
      <c r="BZ338" t="str">
        <f>"0.265"</f>
        <v>0.265</v>
      </c>
      <c r="CA338" t="s">
        <v>495</v>
      </c>
      <c r="CR338" t="s">
        <v>5068</v>
      </c>
      <c r="CS338">
        <v>1</v>
      </c>
      <c r="CT338" t="s">
        <v>400</v>
      </c>
      <c r="CV338">
        <v>0</v>
      </c>
      <c r="CX338" t="s">
        <v>953</v>
      </c>
      <c r="CY338" t="s">
        <v>1009</v>
      </c>
      <c r="DC338">
        <v>0</v>
      </c>
      <c r="DJ338" t="s">
        <v>408</v>
      </c>
      <c r="DK338" t="s">
        <v>6744</v>
      </c>
      <c r="DM338" t="s">
        <v>473</v>
      </c>
      <c r="DX338" t="s">
        <v>5072</v>
      </c>
      <c r="EM338" t="s">
        <v>402</v>
      </c>
      <c r="EN338">
        <v>0</v>
      </c>
      <c r="FI338">
        <v>0</v>
      </c>
      <c r="FJ338" t="s">
        <v>1012</v>
      </c>
      <c r="FP338" t="s">
        <v>402</v>
      </c>
      <c r="FR338" t="s">
        <v>6764</v>
      </c>
      <c r="FT338" t="s">
        <v>6765</v>
      </c>
      <c r="FV338" t="s">
        <v>6766</v>
      </c>
      <c r="FX338" t="s">
        <v>4210</v>
      </c>
      <c r="FZ338" t="s">
        <v>1018</v>
      </c>
    </row>
    <row r="339" spans="1:292" x14ac:dyDescent="0.25">
      <c r="A339" t="s">
        <v>6767</v>
      </c>
      <c r="B339" t="str">
        <f>"801542117665"</f>
        <v>801542117665</v>
      </c>
      <c r="C339" t="s">
        <v>6768</v>
      </c>
      <c r="D339" t="s">
        <v>929</v>
      </c>
      <c r="E339" t="s">
        <v>3813</v>
      </c>
      <c r="G339" t="str">
        <f>"36"</f>
        <v>36</v>
      </c>
      <c r="H339" t="str">
        <f>"16"</f>
        <v>16</v>
      </c>
      <c r="I339" t="str">
        <f>"87"</f>
        <v>87</v>
      </c>
      <c r="J339" t="str">
        <f>"130.62"</f>
        <v>130.62</v>
      </c>
      <c r="K339" t="s">
        <v>837</v>
      </c>
      <c r="L339" t="s">
        <v>1022</v>
      </c>
      <c r="N339" t="s">
        <v>555</v>
      </c>
      <c r="O339" t="s">
        <v>933</v>
      </c>
      <c r="T339" t="s">
        <v>373</v>
      </c>
      <c r="U339" t="s">
        <v>373</v>
      </c>
      <c r="V339" t="s">
        <v>6769</v>
      </c>
      <c r="W339" t="s">
        <v>6770</v>
      </c>
      <c r="X339" t="s">
        <v>6771</v>
      </c>
      <c r="Y339" t="s">
        <v>6772</v>
      </c>
      <c r="Z339" t="s">
        <v>6773</v>
      </c>
      <c r="AA339" t="s">
        <v>6774</v>
      </c>
      <c r="AB339" t="s">
        <v>6775</v>
      </c>
      <c r="AC339" t="s">
        <v>6776</v>
      </c>
      <c r="AD339" t="s">
        <v>6777</v>
      </c>
      <c r="AE339" t="s">
        <v>6778</v>
      </c>
      <c r="AF339" t="s">
        <v>6779</v>
      </c>
      <c r="AG339" t="s">
        <v>6780</v>
      </c>
      <c r="AH339" t="s">
        <v>6781</v>
      </c>
      <c r="AI339" t="s">
        <v>6782</v>
      </c>
      <c r="AJ339" t="s">
        <v>6783</v>
      </c>
      <c r="BA339" t="str">
        <f>"1999"</f>
        <v>1999</v>
      </c>
      <c r="BB339" t="str">
        <f>"840"</f>
        <v>840</v>
      </c>
      <c r="BC339" t="s">
        <v>949</v>
      </c>
      <c r="BD339" t="str">
        <f t="shared" si="88"/>
        <v>1</v>
      </c>
      <c r="BE339" t="s">
        <v>389</v>
      </c>
      <c r="BF339" t="str">
        <f>"39"</f>
        <v>39</v>
      </c>
      <c r="BG339" t="str">
        <f>"19.5"</f>
        <v>19.5</v>
      </c>
      <c r="BH339" t="str">
        <f>"90"</f>
        <v>90</v>
      </c>
      <c r="BI339" t="str">
        <f>"162.26"</f>
        <v>162.26</v>
      </c>
      <c r="BY339" t="str">
        <f>"39.62"</f>
        <v>39.62</v>
      </c>
      <c r="BZ339" t="str">
        <f>"1.122"</f>
        <v>1.122</v>
      </c>
      <c r="CA339" t="s">
        <v>495</v>
      </c>
      <c r="CB339" t="s">
        <v>979</v>
      </c>
      <c r="CC339" t="s">
        <v>3483</v>
      </c>
      <c r="CD339" t="s">
        <v>859</v>
      </c>
      <c r="CE339" t="s">
        <v>2696</v>
      </c>
      <c r="CF339" t="s">
        <v>4395</v>
      </c>
      <c r="CG339" t="s">
        <v>3018</v>
      </c>
      <c r="CR339" t="s">
        <v>400</v>
      </c>
      <c r="CS339">
        <v>0</v>
      </c>
      <c r="CT339" t="s">
        <v>400</v>
      </c>
      <c r="CV339">
        <v>3</v>
      </c>
      <c r="CW339" t="s">
        <v>402</v>
      </c>
      <c r="CX339" t="s">
        <v>953</v>
      </c>
      <c r="CY339" t="s">
        <v>954</v>
      </c>
      <c r="DA339">
        <v>18.14</v>
      </c>
      <c r="DB339">
        <v>40</v>
      </c>
      <c r="DC339">
        <v>1</v>
      </c>
      <c r="DJ339" t="s">
        <v>982</v>
      </c>
      <c r="DK339" t="s">
        <v>955</v>
      </c>
      <c r="EM339" t="s">
        <v>402</v>
      </c>
      <c r="EN339">
        <v>5</v>
      </c>
      <c r="EZ339" t="s">
        <v>602</v>
      </c>
      <c r="FA339" t="s">
        <v>956</v>
      </c>
      <c r="FB339" t="s">
        <v>957</v>
      </c>
      <c r="FC339" t="s">
        <v>4395</v>
      </c>
      <c r="FD339" t="s">
        <v>2400</v>
      </c>
      <c r="FE339" t="s">
        <v>6784</v>
      </c>
      <c r="FG339" t="s">
        <v>402</v>
      </c>
      <c r="FH339" t="s">
        <v>959</v>
      </c>
      <c r="FI339">
        <v>2</v>
      </c>
      <c r="FJ339" t="s">
        <v>960</v>
      </c>
      <c r="FK339" t="s">
        <v>1246</v>
      </c>
      <c r="FM339" t="s">
        <v>402</v>
      </c>
      <c r="FO339" t="s">
        <v>984</v>
      </c>
      <c r="GB339" t="s">
        <v>2696</v>
      </c>
      <c r="GC339" t="s">
        <v>4395</v>
      </c>
      <c r="GD339" t="s">
        <v>3018</v>
      </c>
      <c r="GR339" t="s">
        <v>2696</v>
      </c>
      <c r="GS339" t="s">
        <v>2696</v>
      </c>
      <c r="GT339" t="s">
        <v>4395</v>
      </c>
      <c r="GU339" t="s">
        <v>4034</v>
      </c>
      <c r="GV339" t="s">
        <v>3018</v>
      </c>
      <c r="GW339" t="s">
        <v>3018</v>
      </c>
      <c r="JY339" t="s">
        <v>2696</v>
      </c>
      <c r="JZ339" t="s">
        <v>791</v>
      </c>
      <c r="KA339" t="s">
        <v>6784</v>
      </c>
    </row>
    <row r="340" spans="1:292" x14ac:dyDescent="0.25">
      <c r="A340" t="s">
        <v>6785</v>
      </c>
      <c r="B340" t="str">
        <f>"801542126711"</f>
        <v>801542126711</v>
      </c>
      <c r="C340" t="s">
        <v>6786</v>
      </c>
      <c r="D340" t="s">
        <v>6787</v>
      </c>
      <c r="E340" t="s">
        <v>2006</v>
      </c>
      <c r="F340" t="s">
        <v>2040</v>
      </c>
      <c r="G340" t="str">
        <f>"80.25"</f>
        <v>80.25</v>
      </c>
      <c r="H340" t="str">
        <f>"87.25"</f>
        <v>87.25</v>
      </c>
      <c r="I340" t="str">
        <f>"48"</f>
        <v>48</v>
      </c>
      <c r="J340" t="str">
        <f>"238.1"</f>
        <v>238.1</v>
      </c>
      <c r="K340" t="s">
        <v>6788</v>
      </c>
      <c r="L340" t="s">
        <v>6789</v>
      </c>
      <c r="M340" t="s">
        <v>6790</v>
      </c>
      <c r="N340" t="s">
        <v>371</v>
      </c>
      <c r="O340" t="s">
        <v>372</v>
      </c>
      <c r="P340" t="s">
        <v>1970</v>
      </c>
      <c r="T340" t="s">
        <v>373</v>
      </c>
      <c r="U340" t="s">
        <v>373</v>
      </c>
      <c r="V340" t="s">
        <v>6791</v>
      </c>
      <c r="W340" t="s">
        <v>6792</v>
      </c>
      <c r="X340" t="s">
        <v>6793</v>
      </c>
      <c r="Y340" t="s">
        <v>6794</v>
      </c>
      <c r="Z340" t="s">
        <v>6795</v>
      </c>
      <c r="AA340" t="s">
        <v>6796</v>
      </c>
      <c r="AB340" t="s">
        <v>6797</v>
      </c>
      <c r="AC340" t="s">
        <v>6798</v>
      </c>
      <c r="AD340" t="s">
        <v>6799</v>
      </c>
      <c r="AE340" t="s">
        <v>6800</v>
      </c>
      <c r="AF340" t="s">
        <v>6801</v>
      </c>
      <c r="AG340" t="s">
        <v>6802</v>
      </c>
      <c r="AH340" t="s">
        <v>6803</v>
      </c>
      <c r="AI340" t="s">
        <v>6804</v>
      </c>
      <c r="AJ340" t="s">
        <v>6805</v>
      </c>
      <c r="AK340" t="s">
        <v>6806</v>
      </c>
      <c r="AL340" t="s">
        <v>6807</v>
      </c>
      <c r="AM340" t="s">
        <v>6808</v>
      </c>
      <c r="BA340" t="str">
        <f>"2299"</f>
        <v>2299</v>
      </c>
      <c r="BB340" t="str">
        <f>"970"</f>
        <v>970</v>
      </c>
      <c r="BC340" t="s">
        <v>665</v>
      </c>
      <c r="BD340" t="str">
        <f>"2"</f>
        <v>2</v>
      </c>
      <c r="BE340" t="s">
        <v>6809</v>
      </c>
      <c r="BF340" t="str">
        <f>"83.46"</f>
        <v>83.46</v>
      </c>
      <c r="BG340" t="str">
        <f>"9.25"</f>
        <v>9.25</v>
      </c>
      <c r="BH340" t="str">
        <f>"51.38"</f>
        <v>51.38</v>
      </c>
      <c r="BI340" t="str">
        <f>"154.32"</f>
        <v>154.32</v>
      </c>
      <c r="BJ340" t="s">
        <v>6810</v>
      </c>
      <c r="BK340" t="str">
        <f>"86.61"</f>
        <v>86.61</v>
      </c>
      <c r="BL340" t="str">
        <f>"6.69"</f>
        <v>6.69</v>
      </c>
      <c r="BM340" t="str">
        <f>"18.5"</f>
        <v>18.5</v>
      </c>
      <c r="BN340" t="str">
        <f>"112.44"</f>
        <v>112.44</v>
      </c>
      <c r="BY340" t="str">
        <f>"29.17"</f>
        <v>29.17</v>
      </c>
      <c r="BZ340" t="str">
        <f>"0.826"</f>
        <v>0.826</v>
      </c>
      <c r="CA340" t="s">
        <v>495</v>
      </c>
      <c r="CQ340" t="s">
        <v>399</v>
      </c>
      <c r="CR340" t="s">
        <v>400</v>
      </c>
      <c r="CS340">
        <v>0</v>
      </c>
      <c r="CT340" t="s">
        <v>400</v>
      </c>
      <c r="CV340">
        <v>0</v>
      </c>
      <c r="CX340" t="s">
        <v>403</v>
      </c>
      <c r="CY340" t="s">
        <v>400</v>
      </c>
      <c r="DA340">
        <v>0</v>
      </c>
      <c r="DB340">
        <v>0</v>
      </c>
      <c r="DC340">
        <v>0</v>
      </c>
      <c r="DD340">
        <v>100000</v>
      </c>
      <c r="DK340" t="s">
        <v>6811</v>
      </c>
      <c r="DM340" t="s">
        <v>2028</v>
      </c>
      <c r="EG340" t="s">
        <v>2029</v>
      </c>
      <c r="EN340">
        <v>0</v>
      </c>
      <c r="HN340" t="s">
        <v>4208</v>
      </c>
      <c r="HO340" t="s">
        <v>4208</v>
      </c>
      <c r="HP340" t="s">
        <v>4208</v>
      </c>
      <c r="HQ340" t="s">
        <v>1016</v>
      </c>
      <c r="HR340" t="s">
        <v>3638</v>
      </c>
      <c r="HS340" t="s">
        <v>6812</v>
      </c>
      <c r="HT340" t="s">
        <v>4940</v>
      </c>
      <c r="HU340" t="s">
        <v>2081</v>
      </c>
      <c r="HV340" t="s">
        <v>6812</v>
      </c>
      <c r="HW340" t="s">
        <v>6813</v>
      </c>
      <c r="HX340" t="s">
        <v>392</v>
      </c>
      <c r="HY340" t="s">
        <v>3255</v>
      </c>
      <c r="HZ340" t="s">
        <v>2599</v>
      </c>
      <c r="IA340" t="s">
        <v>6814</v>
      </c>
      <c r="IB340" t="s">
        <v>1355</v>
      </c>
      <c r="IC340" t="s">
        <v>402</v>
      </c>
      <c r="ID340" t="s">
        <v>2036</v>
      </c>
      <c r="IE340" t="s">
        <v>2037</v>
      </c>
      <c r="IF340" t="s">
        <v>2177</v>
      </c>
      <c r="IG340" t="s">
        <v>2040</v>
      </c>
      <c r="IM340" t="s">
        <v>6815</v>
      </c>
      <c r="IN340" t="s">
        <v>6816</v>
      </c>
      <c r="IO340" t="s">
        <v>395</v>
      </c>
      <c r="IP340" t="s">
        <v>402</v>
      </c>
      <c r="IQ340" t="s">
        <v>3522</v>
      </c>
    </row>
    <row r="341" spans="1:292" x14ac:dyDescent="0.25">
      <c r="A341" t="s">
        <v>6817</v>
      </c>
      <c r="B341" t="str">
        <f>"801542126728"</f>
        <v>801542126728</v>
      </c>
      <c r="C341" t="s">
        <v>6786</v>
      </c>
      <c r="D341" t="s">
        <v>6787</v>
      </c>
      <c r="E341" t="s">
        <v>2006</v>
      </c>
      <c r="F341" t="s">
        <v>2007</v>
      </c>
      <c r="G341" t="str">
        <f>"64.25"</f>
        <v>64.25</v>
      </c>
      <c r="H341" t="str">
        <f>"87.25"</f>
        <v>87.25</v>
      </c>
      <c r="I341" t="str">
        <f>"48"</f>
        <v>48</v>
      </c>
      <c r="J341" t="str">
        <f>"189.62"</f>
        <v>189.62</v>
      </c>
      <c r="K341" t="s">
        <v>6788</v>
      </c>
      <c r="L341" t="s">
        <v>6789</v>
      </c>
      <c r="M341" t="s">
        <v>6790</v>
      </c>
      <c r="N341" t="s">
        <v>371</v>
      </c>
      <c r="O341" t="s">
        <v>372</v>
      </c>
      <c r="P341" t="s">
        <v>1970</v>
      </c>
      <c r="T341" t="s">
        <v>373</v>
      </c>
      <c r="U341" t="s">
        <v>373</v>
      </c>
      <c r="V341" t="s">
        <v>6791</v>
      </c>
      <c r="W341" t="s">
        <v>6818</v>
      </c>
      <c r="X341" t="s">
        <v>6819</v>
      </c>
      <c r="Y341" t="s">
        <v>6820</v>
      </c>
      <c r="Z341" t="s">
        <v>6821</v>
      </c>
      <c r="AA341" t="s">
        <v>6822</v>
      </c>
      <c r="AB341" t="s">
        <v>6823</v>
      </c>
      <c r="AC341" t="s">
        <v>6824</v>
      </c>
      <c r="AD341" t="s">
        <v>6825</v>
      </c>
      <c r="AE341" t="s">
        <v>6826</v>
      </c>
      <c r="AF341" t="s">
        <v>6827</v>
      </c>
      <c r="AG341" t="s">
        <v>6828</v>
      </c>
      <c r="AH341" t="s">
        <v>6829</v>
      </c>
      <c r="AI341" t="s">
        <v>6830</v>
      </c>
      <c r="AJ341" t="s">
        <v>6831</v>
      </c>
      <c r="AK341" t="s">
        <v>6832</v>
      </c>
      <c r="AL341" t="s">
        <v>6833</v>
      </c>
      <c r="AM341" t="s">
        <v>6834</v>
      </c>
      <c r="BA341" t="str">
        <f>"1999"</f>
        <v>1999</v>
      </c>
      <c r="BB341" t="str">
        <f>"840"</f>
        <v>840</v>
      </c>
      <c r="BC341" t="s">
        <v>665</v>
      </c>
      <c r="BD341" t="str">
        <f>"2"</f>
        <v>2</v>
      </c>
      <c r="BE341" t="s">
        <v>6809</v>
      </c>
      <c r="BF341" t="str">
        <f>"66.93"</f>
        <v>66.93</v>
      </c>
      <c r="BG341" t="str">
        <f>"9.06"</f>
        <v>9.06</v>
      </c>
      <c r="BH341" t="str">
        <f>"51.57"</f>
        <v>51.57</v>
      </c>
      <c r="BI341" t="str">
        <f>"124.34"</f>
        <v>124.34</v>
      </c>
      <c r="BJ341" t="s">
        <v>6810</v>
      </c>
      <c r="BK341" t="str">
        <f>"86.61"</f>
        <v>86.61</v>
      </c>
      <c r="BL341" t="str">
        <f>"6.69"</f>
        <v>6.69</v>
      </c>
      <c r="BM341" t="str">
        <f>"18.5"</f>
        <v>18.5</v>
      </c>
      <c r="BN341" t="str">
        <f>"94.58"</f>
        <v>94.58</v>
      </c>
      <c r="BY341" t="str">
        <f>"24.3"</f>
        <v>24.3</v>
      </c>
      <c r="BZ341" t="str">
        <f>"0.688"</f>
        <v>0.688</v>
      </c>
      <c r="CA341" t="s">
        <v>495</v>
      </c>
      <c r="CQ341" t="s">
        <v>399</v>
      </c>
      <c r="CR341" t="s">
        <v>400</v>
      </c>
      <c r="CS341">
        <v>0</v>
      </c>
      <c r="CT341" t="s">
        <v>400</v>
      </c>
      <c r="CV341">
        <v>0</v>
      </c>
      <c r="CX341" t="s">
        <v>403</v>
      </c>
      <c r="CY341" t="s">
        <v>400</v>
      </c>
      <c r="DA341">
        <v>0</v>
      </c>
      <c r="DB341">
        <v>0</v>
      </c>
      <c r="DC341">
        <v>0</v>
      </c>
      <c r="DD341">
        <v>100000</v>
      </c>
      <c r="DK341" t="s">
        <v>6811</v>
      </c>
      <c r="DM341" t="s">
        <v>2028</v>
      </c>
      <c r="EG341" t="s">
        <v>2029</v>
      </c>
      <c r="EN341">
        <v>0</v>
      </c>
      <c r="HN341" t="s">
        <v>4208</v>
      </c>
      <c r="HO341" t="s">
        <v>4208</v>
      </c>
      <c r="HP341" t="s">
        <v>4208</v>
      </c>
      <c r="HQ341" t="s">
        <v>1016</v>
      </c>
      <c r="HR341" t="s">
        <v>3638</v>
      </c>
      <c r="HS341" t="s">
        <v>6835</v>
      </c>
      <c r="HT341" t="s">
        <v>4940</v>
      </c>
      <c r="HU341" t="s">
        <v>2081</v>
      </c>
      <c r="HV341" t="s">
        <v>6835</v>
      </c>
      <c r="HW341" t="s">
        <v>6813</v>
      </c>
      <c r="HX341" t="s">
        <v>392</v>
      </c>
      <c r="HY341" t="s">
        <v>3273</v>
      </c>
      <c r="HZ341" t="s">
        <v>2599</v>
      </c>
      <c r="IA341" t="s">
        <v>6814</v>
      </c>
      <c r="IB341" t="s">
        <v>1355</v>
      </c>
      <c r="IC341" t="s">
        <v>402</v>
      </c>
      <c r="ID341" t="s">
        <v>2036</v>
      </c>
      <c r="IE341" t="s">
        <v>2037</v>
      </c>
      <c r="IF341" t="s">
        <v>2177</v>
      </c>
      <c r="IG341" t="s">
        <v>2007</v>
      </c>
      <c r="IM341" t="s">
        <v>6815</v>
      </c>
      <c r="IN341" t="s">
        <v>6816</v>
      </c>
      <c r="IO341" t="s">
        <v>395</v>
      </c>
      <c r="IP341" t="s">
        <v>402</v>
      </c>
      <c r="IQ341" t="s">
        <v>3522</v>
      </c>
    </row>
    <row r="342" spans="1:292" x14ac:dyDescent="0.25">
      <c r="A342" t="s">
        <v>6836</v>
      </c>
      <c r="B342" t="str">
        <f>"801542745226"</f>
        <v>801542745226</v>
      </c>
      <c r="C342" t="s">
        <v>6837</v>
      </c>
      <c r="D342" t="s">
        <v>5999</v>
      </c>
      <c r="E342" t="s">
        <v>459</v>
      </c>
      <c r="G342" t="str">
        <f>"14"</f>
        <v>14</v>
      </c>
      <c r="H342" t="str">
        <f>"14"</f>
        <v>14</v>
      </c>
      <c r="I342" t="str">
        <f>"22.5"</f>
        <v>22.5</v>
      </c>
      <c r="J342" t="str">
        <f>"51.58"</f>
        <v>51.58</v>
      </c>
      <c r="K342" t="s">
        <v>989</v>
      </c>
      <c r="L342" t="s">
        <v>6017</v>
      </c>
      <c r="M342" t="s">
        <v>6001</v>
      </c>
      <c r="N342" t="s">
        <v>372</v>
      </c>
      <c r="O342" t="s">
        <v>6002</v>
      </c>
      <c r="P342" t="s">
        <v>555</v>
      </c>
      <c r="T342" t="s">
        <v>373</v>
      </c>
      <c r="U342" t="s">
        <v>373</v>
      </c>
      <c r="V342" t="s">
        <v>6838</v>
      </c>
      <c r="W342" t="s">
        <v>6839</v>
      </c>
      <c r="X342" t="s">
        <v>6840</v>
      </c>
      <c r="Y342" t="s">
        <v>6841</v>
      </c>
      <c r="Z342" t="s">
        <v>6842</v>
      </c>
      <c r="AA342" t="s">
        <v>6843</v>
      </c>
      <c r="AB342" t="s">
        <v>6844</v>
      </c>
      <c r="AC342" t="s">
        <v>6845</v>
      </c>
      <c r="AD342" t="s">
        <v>6846</v>
      </c>
      <c r="AE342" t="s">
        <v>6847</v>
      </c>
      <c r="AF342" t="s">
        <v>6848</v>
      </c>
      <c r="AG342" t="s">
        <v>6849</v>
      </c>
      <c r="AH342" t="s">
        <v>6850</v>
      </c>
      <c r="AI342" t="s">
        <v>6851</v>
      </c>
      <c r="BA342" t="str">
        <f>"479"</f>
        <v>479</v>
      </c>
      <c r="BB342" t="str">
        <f>"205"</f>
        <v>205</v>
      </c>
      <c r="BC342" t="s">
        <v>949</v>
      </c>
      <c r="BD342" t="str">
        <f>"1"</f>
        <v>1</v>
      </c>
      <c r="BE342" t="s">
        <v>389</v>
      </c>
      <c r="BF342" t="str">
        <f>"18.5"</f>
        <v>18.5</v>
      </c>
      <c r="BG342" t="str">
        <f>"19"</f>
        <v>19</v>
      </c>
      <c r="BH342" t="str">
        <f>"20"</f>
        <v>20</v>
      </c>
      <c r="BI342" t="str">
        <f>"65.36"</f>
        <v>65.36</v>
      </c>
      <c r="BY342" t="str">
        <f>"4.06"</f>
        <v>4.06</v>
      </c>
      <c r="BZ342" t="str">
        <f>"0.115"</f>
        <v>0.115</v>
      </c>
      <c r="CA342" t="s">
        <v>495</v>
      </c>
      <c r="CR342" t="s">
        <v>400</v>
      </c>
      <c r="CS342">
        <v>0</v>
      </c>
      <c r="CT342" t="s">
        <v>400</v>
      </c>
      <c r="CV342">
        <v>0</v>
      </c>
      <c r="CY342" t="s">
        <v>400</v>
      </c>
      <c r="DC342">
        <v>0</v>
      </c>
      <c r="DJ342" t="s">
        <v>471</v>
      </c>
      <c r="DK342" t="s">
        <v>6852</v>
      </c>
      <c r="DM342" t="s">
        <v>473</v>
      </c>
      <c r="DX342" t="s">
        <v>601</v>
      </c>
      <c r="EI342" t="s">
        <v>797</v>
      </c>
      <c r="EJ342" t="s">
        <v>635</v>
      </c>
      <c r="EK342" t="s">
        <v>797</v>
      </c>
      <c r="EL342" t="s">
        <v>3599</v>
      </c>
      <c r="EN342">
        <v>0</v>
      </c>
      <c r="EO342">
        <v>0</v>
      </c>
      <c r="EX342" t="s">
        <v>1156</v>
      </c>
    </row>
    <row r="343" spans="1:292" x14ac:dyDescent="0.25">
      <c r="A343" t="s">
        <v>6853</v>
      </c>
      <c r="B343" t="str">
        <f>"801542717278"</f>
        <v>801542717278</v>
      </c>
      <c r="C343" t="s">
        <v>6854</v>
      </c>
      <c r="D343" t="s">
        <v>583</v>
      </c>
      <c r="E343" t="s">
        <v>367</v>
      </c>
      <c r="F343" t="s">
        <v>6855</v>
      </c>
      <c r="G343" t="str">
        <f>"60"</f>
        <v>60</v>
      </c>
      <c r="H343" t="str">
        <f>"26"</f>
        <v>26</v>
      </c>
      <c r="I343" t="str">
        <f>"31.5"</f>
        <v>31.5</v>
      </c>
      <c r="J343" t="str">
        <f>"81.57"</f>
        <v>81.57</v>
      </c>
      <c r="K343" t="s">
        <v>6856</v>
      </c>
      <c r="L343" t="s">
        <v>6857</v>
      </c>
      <c r="N343" t="s">
        <v>1170</v>
      </c>
      <c r="O343" t="s">
        <v>2269</v>
      </c>
      <c r="P343" t="s">
        <v>6858</v>
      </c>
      <c r="T343" t="s">
        <v>373</v>
      </c>
      <c r="U343" t="s">
        <v>402</v>
      </c>
      <c r="V343" t="s">
        <v>6859</v>
      </c>
      <c r="W343" t="s">
        <v>6860</v>
      </c>
      <c r="X343" t="s">
        <v>6861</v>
      </c>
      <c r="Y343" t="s">
        <v>6862</v>
      </c>
      <c r="Z343" t="s">
        <v>6863</v>
      </c>
      <c r="AA343" t="s">
        <v>6864</v>
      </c>
      <c r="AB343" t="s">
        <v>6865</v>
      </c>
      <c r="AC343" t="s">
        <v>6866</v>
      </c>
      <c r="AD343" t="s">
        <v>6867</v>
      </c>
      <c r="AE343" t="s">
        <v>6868</v>
      </c>
      <c r="AF343" t="s">
        <v>6869</v>
      </c>
      <c r="AG343" t="s">
        <v>6870</v>
      </c>
      <c r="AH343" t="s">
        <v>6871</v>
      </c>
      <c r="BA343" t="str">
        <f>"1399"</f>
        <v>1399</v>
      </c>
      <c r="BB343" t="str">
        <f>"590"</f>
        <v>590</v>
      </c>
      <c r="BC343" t="s">
        <v>388</v>
      </c>
      <c r="BD343" t="str">
        <f>"1"</f>
        <v>1</v>
      </c>
      <c r="BE343" t="s">
        <v>389</v>
      </c>
      <c r="BF343" t="str">
        <f>"61.42"</f>
        <v>61.42</v>
      </c>
      <c r="BG343" t="str">
        <f>"26.38"</f>
        <v>26.38</v>
      </c>
      <c r="BH343" t="str">
        <f>"33.46"</f>
        <v>33.46</v>
      </c>
      <c r="BI343" t="str">
        <f>"101.41"</f>
        <v>101.41</v>
      </c>
      <c r="BY343" t="str">
        <f>"31.43"</f>
        <v>31.43</v>
      </c>
      <c r="BZ343" t="str">
        <f>"0.89"</f>
        <v>0.89</v>
      </c>
      <c r="CA343" t="s">
        <v>495</v>
      </c>
      <c r="CK343" t="s">
        <v>396</v>
      </c>
      <c r="CL343" t="s">
        <v>1554</v>
      </c>
      <c r="CN343">
        <v>0</v>
      </c>
      <c r="CO343">
        <v>0</v>
      </c>
      <c r="CP343" t="s">
        <v>398</v>
      </c>
      <c r="CQ343" t="s">
        <v>631</v>
      </c>
      <c r="CR343" t="s">
        <v>400</v>
      </c>
      <c r="CS343">
        <v>0</v>
      </c>
      <c r="CT343" t="s">
        <v>400</v>
      </c>
      <c r="CV343">
        <v>0</v>
      </c>
      <c r="CX343" t="s">
        <v>403</v>
      </c>
      <c r="CY343" t="s">
        <v>400</v>
      </c>
      <c r="CZ343">
        <v>0</v>
      </c>
      <c r="DA343">
        <v>0</v>
      </c>
      <c r="DB343">
        <v>0</v>
      </c>
      <c r="DC343">
        <v>0</v>
      </c>
      <c r="DD343">
        <v>25000</v>
      </c>
      <c r="DE343" t="s">
        <v>439</v>
      </c>
      <c r="DH343">
        <v>0</v>
      </c>
      <c r="DI343">
        <v>2</v>
      </c>
      <c r="DK343" t="s">
        <v>6872</v>
      </c>
      <c r="DL343">
        <v>0</v>
      </c>
      <c r="DM343" t="s">
        <v>1736</v>
      </c>
      <c r="DN343" t="s">
        <v>578</v>
      </c>
      <c r="DO343" t="s">
        <v>958</v>
      </c>
      <c r="DP343" t="s">
        <v>635</v>
      </c>
      <c r="DT343" t="s">
        <v>1852</v>
      </c>
      <c r="EA343" t="s">
        <v>1056</v>
      </c>
      <c r="EG343" t="s">
        <v>641</v>
      </c>
      <c r="EP343" t="s">
        <v>6873</v>
      </c>
      <c r="EQ343" t="s">
        <v>3545</v>
      </c>
    </row>
    <row r="344" spans="1:292" x14ac:dyDescent="0.25">
      <c r="A344" t="s">
        <v>6874</v>
      </c>
      <c r="B344" t="str">
        <f>"801542100162"</f>
        <v>801542100162</v>
      </c>
      <c r="C344" t="s">
        <v>6875</v>
      </c>
      <c r="D344" t="s">
        <v>583</v>
      </c>
      <c r="E344" t="s">
        <v>367</v>
      </c>
      <c r="F344" t="s">
        <v>6855</v>
      </c>
      <c r="G344" t="str">
        <f>"60"</f>
        <v>60</v>
      </c>
      <c r="H344" t="str">
        <f>"26"</f>
        <v>26</v>
      </c>
      <c r="I344" t="str">
        <f>"31.5"</f>
        <v>31.5</v>
      </c>
      <c r="J344" t="str">
        <f>"81.57"</f>
        <v>81.57</v>
      </c>
      <c r="K344" t="s">
        <v>2294</v>
      </c>
      <c r="L344" t="s">
        <v>6857</v>
      </c>
      <c r="N344" t="s">
        <v>1170</v>
      </c>
      <c r="O344" t="s">
        <v>2269</v>
      </c>
      <c r="P344" t="s">
        <v>6858</v>
      </c>
      <c r="T344" t="s">
        <v>373</v>
      </c>
      <c r="U344" t="s">
        <v>402</v>
      </c>
      <c r="V344" t="s">
        <v>6876</v>
      </c>
      <c r="W344" t="s">
        <v>6877</v>
      </c>
      <c r="X344" t="s">
        <v>6878</v>
      </c>
      <c r="Y344" t="s">
        <v>6879</v>
      </c>
      <c r="Z344" t="s">
        <v>6880</v>
      </c>
      <c r="AA344" t="s">
        <v>6881</v>
      </c>
      <c r="AB344" t="s">
        <v>6882</v>
      </c>
      <c r="AC344" t="s">
        <v>6883</v>
      </c>
      <c r="AD344" t="s">
        <v>6884</v>
      </c>
      <c r="AE344" t="s">
        <v>6885</v>
      </c>
      <c r="BA344" t="str">
        <f>"1399"</f>
        <v>1399</v>
      </c>
      <c r="BB344" t="str">
        <f>"590"</f>
        <v>590</v>
      </c>
      <c r="BC344" t="s">
        <v>388</v>
      </c>
      <c r="BD344" t="str">
        <f>"1"</f>
        <v>1</v>
      </c>
      <c r="BE344" t="s">
        <v>389</v>
      </c>
      <c r="BF344" t="str">
        <f>"61.42"</f>
        <v>61.42</v>
      </c>
      <c r="BG344" t="str">
        <f>"26.38"</f>
        <v>26.38</v>
      </c>
      <c r="BH344" t="str">
        <f>"33.46"</f>
        <v>33.46</v>
      </c>
      <c r="BI344" t="str">
        <f>"101.41"</f>
        <v>101.41</v>
      </c>
      <c r="BY344" t="str">
        <f>"31.36"</f>
        <v>31.36</v>
      </c>
      <c r="BZ344" t="str">
        <f>"0.888"</f>
        <v>0.888</v>
      </c>
      <c r="CA344" t="s">
        <v>390</v>
      </c>
      <c r="CK344" t="s">
        <v>396</v>
      </c>
      <c r="CL344" t="s">
        <v>1554</v>
      </c>
      <c r="CN344">
        <v>0</v>
      </c>
      <c r="CO344">
        <v>0</v>
      </c>
      <c r="CP344" t="s">
        <v>398</v>
      </c>
      <c r="CQ344" t="s">
        <v>631</v>
      </c>
      <c r="CR344" t="s">
        <v>400</v>
      </c>
      <c r="CS344">
        <v>0</v>
      </c>
      <c r="CT344" t="s">
        <v>400</v>
      </c>
      <c r="CV344">
        <v>0</v>
      </c>
      <c r="CX344" t="s">
        <v>403</v>
      </c>
      <c r="CY344" t="s">
        <v>400</v>
      </c>
      <c r="CZ344">
        <v>0</v>
      </c>
      <c r="DA344">
        <v>0</v>
      </c>
      <c r="DB344">
        <v>0</v>
      </c>
      <c r="DC344">
        <v>0</v>
      </c>
      <c r="DD344">
        <v>25000</v>
      </c>
      <c r="DE344" t="s">
        <v>439</v>
      </c>
      <c r="DH344">
        <v>0</v>
      </c>
      <c r="DI344">
        <v>2</v>
      </c>
      <c r="DK344" t="s">
        <v>6872</v>
      </c>
      <c r="DL344">
        <v>0</v>
      </c>
      <c r="DM344" t="s">
        <v>1736</v>
      </c>
      <c r="DN344" t="s">
        <v>578</v>
      </c>
      <c r="DO344" t="s">
        <v>958</v>
      </c>
      <c r="DP344" t="s">
        <v>635</v>
      </c>
      <c r="DT344" t="s">
        <v>1852</v>
      </c>
      <c r="EA344" t="s">
        <v>1056</v>
      </c>
      <c r="EG344" t="s">
        <v>641</v>
      </c>
      <c r="EP344" t="s">
        <v>6873</v>
      </c>
      <c r="EQ344" t="s">
        <v>3545</v>
      </c>
    </row>
    <row r="345" spans="1:292" x14ac:dyDescent="0.25">
      <c r="A345" t="s">
        <v>6886</v>
      </c>
      <c r="B345" t="str">
        <f>"801542908003"</f>
        <v>801542908003</v>
      </c>
      <c r="C345" t="s">
        <v>6887</v>
      </c>
      <c r="D345" t="s">
        <v>5460</v>
      </c>
      <c r="E345" t="s">
        <v>930</v>
      </c>
      <c r="G345" t="str">
        <f>"80"</f>
        <v>80</v>
      </c>
      <c r="H345" t="str">
        <f>"20"</f>
        <v>20</v>
      </c>
      <c r="I345" t="str">
        <f>"31.5"</f>
        <v>31.5</v>
      </c>
      <c r="J345" t="str">
        <f>"177.47"</f>
        <v>177.47</v>
      </c>
      <c r="K345" t="s">
        <v>6888</v>
      </c>
      <c r="N345" t="s">
        <v>6889</v>
      </c>
      <c r="T345" t="s">
        <v>373</v>
      </c>
      <c r="U345" t="s">
        <v>373</v>
      </c>
      <c r="V345" t="s">
        <v>6890</v>
      </c>
      <c r="W345" t="s">
        <v>6891</v>
      </c>
      <c r="X345" t="s">
        <v>6892</v>
      </c>
      <c r="Y345" t="s">
        <v>6893</v>
      </c>
      <c r="Z345" t="s">
        <v>6894</v>
      </c>
      <c r="AA345" t="s">
        <v>6895</v>
      </c>
      <c r="AB345" t="s">
        <v>6896</v>
      </c>
      <c r="AC345" t="s">
        <v>6897</v>
      </c>
      <c r="AD345" t="s">
        <v>6898</v>
      </c>
      <c r="AE345" t="s">
        <v>6899</v>
      </c>
      <c r="AF345" t="s">
        <v>6900</v>
      </c>
      <c r="AG345" t="s">
        <v>6901</v>
      </c>
      <c r="AH345" t="s">
        <v>6902</v>
      </c>
      <c r="AI345" t="s">
        <v>6903</v>
      </c>
      <c r="AJ345" t="s">
        <v>6904</v>
      </c>
      <c r="AK345" t="s">
        <v>6905</v>
      </c>
      <c r="BA345" t="str">
        <f>"1799"</f>
        <v>1799</v>
      </c>
      <c r="BB345" t="str">
        <f>"760"</f>
        <v>760</v>
      </c>
      <c r="BC345" t="s">
        <v>665</v>
      </c>
      <c r="BD345" t="str">
        <f>"2"</f>
        <v>2</v>
      </c>
      <c r="BE345" t="s">
        <v>1090</v>
      </c>
      <c r="BF345" t="str">
        <f>"28.54"</f>
        <v>28.54</v>
      </c>
      <c r="BG345" t="str">
        <f>"21.26"</f>
        <v>21.26</v>
      </c>
      <c r="BH345" t="str">
        <f>"10.83"</f>
        <v>10.83</v>
      </c>
      <c r="BI345" t="str">
        <f>"41.89"</f>
        <v>41.89</v>
      </c>
      <c r="BJ345" t="s">
        <v>1089</v>
      </c>
      <c r="BK345" t="str">
        <f>"77.56"</f>
        <v>77.56</v>
      </c>
      <c r="BL345" t="str">
        <f>"23.43"</f>
        <v>23.43</v>
      </c>
      <c r="BM345" t="str">
        <f>"30.12"</f>
        <v>30.12</v>
      </c>
      <c r="BN345" t="str">
        <f>"169.76"</f>
        <v>169.76</v>
      </c>
      <c r="BY345" t="str">
        <f>"35.49"</f>
        <v>35.49</v>
      </c>
      <c r="BZ345" t="str">
        <f>"1.005"</f>
        <v>1.005</v>
      </c>
      <c r="CA345" t="s">
        <v>390</v>
      </c>
      <c r="CE345" t="s">
        <v>6906</v>
      </c>
      <c r="CF345" t="s">
        <v>6907</v>
      </c>
      <c r="CG345" t="s">
        <v>6908</v>
      </c>
      <c r="CR345" t="s">
        <v>400</v>
      </c>
      <c r="CS345">
        <v>0</v>
      </c>
      <c r="CT345" t="s">
        <v>400</v>
      </c>
      <c r="CV345">
        <v>0</v>
      </c>
      <c r="CX345" t="s">
        <v>953</v>
      </c>
      <c r="CY345" t="s">
        <v>954</v>
      </c>
      <c r="DA345">
        <v>18.14</v>
      </c>
      <c r="DB345">
        <v>40</v>
      </c>
      <c r="DC345">
        <v>2</v>
      </c>
      <c r="DK345" t="s">
        <v>6909</v>
      </c>
      <c r="DM345" t="s">
        <v>669</v>
      </c>
      <c r="DX345" t="s">
        <v>3079</v>
      </c>
      <c r="EM345" t="s">
        <v>402</v>
      </c>
      <c r="EN345">
        <v>2</v>
      </c>
      <c r="EZ345" t="s">
        <v>1633</v>
      </c>
      <c r="FA345" t="s">
        <v>4614</v>
      </c>
      <c r="FB345" t="s">
        <v>6910</v>
      </c>
      <c r="FC345" t="s">
        <v>6906</v>
      </c>
      <c r="FD345" t="s">
        <v>4614</v>
      </c>
      <c r="FE345" t="s">
        <v>6908</v>
      </c>
      <c r="FF345">
        <v>0</v>
      </c>
      <c r="FG345" t="s">
        <v>402</v>
      </c>
      <c r="FH345" t="s">
        <v>1245</v>
      </c>
      <c r="FI345">
        <v>4</v>
      </c>
      <c r="FJ345" t="s">
        <v>960</v>
      </c>
      <c r="FK345" t="s">
        <v>961</v>
      </c>
      <c r="FL345">
        <v>0</v>
      </c>
      <c r="FM345" t="s">
        <v>402</v>
      </c>
      <c r="FO345" t="s">
        <v>984</v>
      </c>
      <c r="GB345" t="s">
        <v>6906</v>
      </c>
      <c r="GC345" t="s">
        <v>6907</v>
      </c>
      <c r="GD345" t="s">
        <v>6908</v>
      </c>
      <c r="GX345" t="s">
        <v>392</v>
      </c>
      <c r="HI345" t="s">
        <v>402</v>
      </c>
      <c r="KF345" t="s">
        <v>402</v>
      </c>
    </row>
    <row r="346" spans="1:292" x14ac:dyDescent="0.25">
      <c r="A346" t="s">
        <v>6911</v>
      </c>
      <c r="B346" t="str">
        <f>"801542689469"</f>
        <v>801542689469</v>
      </c>
      <c r="C346" t="s">
        <v>6912</v>
      </c>
      <c r="D346" t="s">
        <v>5513</v>
      </c>
      <c r="E346" t="s">
        <v>367</v>
      </c>
      <c r="F346" t="s">
        <v>6855</v>
      </c>
      <c r="G346" t="str">
        <f>"55"</f>
        <v>55</v>
      </c>
      <c r="H346" t="str">
        <f>"24"</f>
        <v>24</v>
      </c>
      <c r="I346" t="str">
        <f>"31"</f>
        <v>31</v>
      </c>
      <c r="J346" t="str">
        <f>"46.41"</f>
        <v>46.41</v>
      </c>
      <c r="K346" t="s">
        <v>5427</v>
      </c>
      <c r="N346" t="s">
        <v>416</v>
      </c>
      <c r="T346" t="s">
        <v>373</v>
      </c>
      <c r="U346" t="s">
        <v>373</v>
      </c>
      <c r="V346" t="s">
        <v>6913</v>
      </c>
      <c r="W346" t="s">
        <v>6914</v>
      </c>
      <c r="X346" t="s">
        <v>6915</v>
      </c>
      <c r="Y346" t="s">
        <v>6916</v>
      </c>
      <c r="Z346" t="s">
        <v>6917</v>
      </c>
      <c r="AA346" t="s">
        <v>6918</v>
      </c>
      <c r="AB346" t="s">
        <v>6919</v>
      </c>
      <c r="AC346" t="s">
        <v>6920</v>
      </c>
      <c r="AD346" t="s">
        <v>6921</v>
      </c>
      <c r="AE346" t="s">
        <v>6922</v>
      </c>
      <c r="AF346" t="s">
        <v>6923</v>
      </c>
      <c r="AG346" t="s">
        <v>6924</v>
      </c>
      <c r="AH346" t="s">
        <v>6925</v>
      </c>
      <c r="AI346" t="s">
        <v>6926</v>
      </c>
      <c r="BA346" t="str">
        <f>"1899"</f>
        <v>1899</v>
      </c>
      <c r="BB346" t="str">
        <f>"800"</f>
        <v>800</v>
      </c>
      <c r="BC346" t="s">
        <v>388</v>
      </c>
      <c r="BD346" t="str">
        <f>"1"</f>
        <v>1</v>
      </c>
      <c r="BE346" t="s">
        <v>389</v>
      </c>
      <c r="BF346" t="str">
        <f>"56.89"</f>
        <v>56.89</v>
      </c>
      <c r="BG346" t="str">
        <f>"25"</f>
        <v>25</v>
      </c>
      <c r="BH346" t="str">
        <f>"33.07"</f>
        <v>33.07</v>
      </c>
      <c r="BI346" t="str">
        <f>"65.7"</f>
        <v>65.7</v>
      </c>
      <c r="BY346" t="str">
        <f>"27.23"</f>
        <v>27.23</v>
      </c>
      <c r="BZ346" t="str">
        <f>"0.771"</f>
        <v>0.771</v>
      </c>
      <c r="CA346" t="s">
        <v>495</v>
      </c>
      <c r="CK346" t="s">
        <v>1711</v>
      </c>
      <c r="CL346" t="s">
        <v>2082</v>
      </c>
      <c r="CM346" t="s">
        <v>6927</v>
      </c>
      <c r="CN346">
        <v>0</v>
      </c>
      <c r="CO346">
        <v>1</v>
      </c>
      <c r="CP346" t="s">
        <v>437</v>
      </c>
      <c r="CQ346" t="s">
        <v>438</v>
      </c>
      <c r="CR346" t="s">
        <v>400</v>
      </c>
      <c r="CS346">
        <v>0</v>
      </c>
      <c r="CT346" t="s">
        <v>400</v>
      </c>
      <c r="CV346">
        <v>0</v>
      </c>
      <c r="CX346" t="s">
        <v>403</v>
      </c>
      <c r="CY346" t="s">
        <v>400</v>
      </c>
      <c r="CZ346">
        <v>0</v>
      </c>
      <c r="DA346">
        <v>0</v>
      </c>
      <c r="DB346">
        <v>0</v>
      </c>
      <c r="DC346">
        <v>0</v>
      </c>
      <c r="DD346">
        <v>0</v>
      </c>
      <c r="DE346" t="s">
        <v>570</v>
      </c>
      <c r="DF346" t="s">
        <v>632</v>
      </c>
      <c r="DG346" t="s">
        <v>407</v>
      </c>
      <c r="DH346">
        <v>1</v>
      </c>
      <c r="DI346">
        <v>2</v>
      </c>
      <c r="DK346" t="s">
        <v>6928</v>
      </c>
      <c r="DL346">
        <v>0</v>
      </c>
      <c r="DM346" t="s">
        <v>1736</v>
      </c>
      <c r="DN346" t="s">
        <v>544</v>
      </c>
      <c r="DO346" t="s">
        <v>3947</v>
      </c>
      <c r="DP346" t="s">
        <v>5804</v>
      </c>
      <c r="DT346" t="s">
        <v>392</v>
      </c>
      <c r="DX346" t="s">
        <v>6929</v>
      </c>
      <c r="DY346" t="s">
        <v>1711</v>
      </c>
      <c r="DZ346" t="s">
        <v>6930</v>
      </c>
      <c r="EA346" t="s">
        <v>3252</v>
      </c>
      <c r="ED346" t="s">
        <v>632</v>
      </c>
      <c r="EG346" t="s">
        <v>2029</v>
      </c>
      <c r="EP346" t="s">
        <v>6931</v>
      </c>
      <c r="EQ346" t="s">
        <v>6927</v>
      </c>
    </row>
    <row r="347" spans="1:292" x14ac:dyDescent="0.25">
      <c r="A347" t="s">
        <v>6932</v>
      </c>
      <c r="B347" t="str">
        <f>"801542650797"</f>
        <v>801542650797</v>
      </c>
      <c r="C347" t="s">
        <v>6933</v>
      </c>
      <c r="D347" t="s">
        <v>5460</v>
      </c>
      <c r="E347" t="s">
        <v>2006</v>
      </c>
      <c r="F347" t="s">
        <v>2007</v>
      </c>
      <c r="G347" t="str">
        <f>"67"</f>
        <v>67</v>
      </c>
      <c r="H347" t="str">
        <f>"86.25"</f>
        <v>86.25</v>
      </c>
      <c r="I347" t="str">
        <f>"50.25"</f>
        <v>50.25</v>
      </c>
      <c r="J347" t="str">
        <f>"192.9"</f>
        <v>192.9</v>
      </c>
      <c r="K347" t="s">
        <v>6934</v>
      </c>
      <c r="L347" t="s">
        <v>6935</v>
      </c>
      <c r="N347" t="s">
        <v>1170</v>
      </c>
      <c r="O347" t="s">
        <v>2269</v>
      </c>
      <c r="P347" t="s">
        <v>372</v>
      </c>
      <c r="T347" t="s">
        <v>373</v>
      </c>
      <c r="U347" t="s">
        <v>373</v>
      </c>
      <c r="V347" t="s">
        <v>6936</v>
      </c>
      <c r="W347" t="s">
        <v>6937</v>
      </c>
      <c r="X347" t="s">
        <v>6938</v>
      </c>
      <c r="Y347" t="s">
        <v>6939</v>
      </c>
      <c r="Z347" t="s">
        <v>6940</v>
      </c>
      <c r="AA347" t="s">
        <v>6941</v>
      </c>
      <c r="AB347" t="s">
        <v>6942</v>
      </c>
      <c r="AC347" t="s">
        <v>6943</v>
      </c>
      <c r="AD347" t="s">
        <v>6944</v>
      </c>
      <c r="AE347" t="s">
        <v>6945</v>
      </c>
      <c r="AF347" t="s">
        <v>6946</v>
      </c>
      <c r="AG347" t="s">
        <v>6947</v>
      </c>
      <c r="AH347" t="s">
        <v>6948</v>
      </c>
      <c r="AI347" t="s">
        <v>6949</v>
      </c>
      <c r="BA347" t="str">
        <f>"2399"</f>
        <v>2399</v>
      </c>
      <c r="BB347" t="str">
        <f>"1010"</f>
        <v>1010</v>
      </c>
      <c r="BC347" t="s">
        <v>665</v>
      </c>
      <c r="BD347" t="str">
        <f>"3"</f>
        <v>3</v>
      </c>
      <c r="BE347" t="s">
        <v>6950</v>
      </c>
      <c r="BF347" t="str">
        <f>"72.24"</f>
        <v>72.24</v>
      </c>
      <c r="BG347" t="str">
        <f>"55.12"</f>
        <v>55.12</v>
      </c>
      <c r="BH347" t="str">
        <f>"8.66"</f>
        <v>8.66</v>
      </c>
      <c r="BI347" t="str">
        <f>"114.64"</f>
        <v>114.64</v>
      </c>
      <c r="BJ347" t="s">
        <v>6951</v>
      </c>
      <c r="BK347" t="str">
        <f>"69.29"</f>
        <v>69.29</v>
      </c>
      <c r="BL347" t="str">
        <f>"17.13"</f>
        <v>17.13</v>
      </c>
      <c r="BM347" t="str">
        <f>"10.24"</f>
        <v>10.24</v>
      </c>
      <c r="BN347" t="str">
        <f>"63.93"</f>
        <v>63.93</v>
      </c>
      <c r="BO347" t="s">
        <v>6952</v>
      </c>
      <c r="BP347" t="str">
        <f>"87.6"</f>
        <v>87.6</v>
      </c>
      <c r="BQ347" t="str">
        <f>"11.81"</f>
        <v>11.81</v>
      </c>
      <c r="BR347" t="str">
        <f>"8.27"</f>
        <v>8.27</v>
      </c>
      <c r="BS347" t="str">
        <f>"59.52"</f>
        <v>59.52</v>
      </c>
      <c r="BY347" t="str">
        <f>"31.96"</f>
        <v>31.96</v>
      </c>
      <c r="BZ347" t="str">
        <f>"0.905"</f>
        <v>0.905</v>
      </c>
      <c r="CA347" t="s">
        <v>495</v>
      </c>
      <c r="CQ347" t="s">
        <v>631</v>
      </c>
      <c r="CR347" t="s">
        <v>400</v>
      </c>
      <c r="CS347">
        <v>0</v>
      </c>
      <c r="CT347" t="s">
        <v>400</v>
      </c>
      <c r="CV347">
        <v>0</v>
      </c>
      <c r="CX347" t="s">
        <v>667</v>
      </c>
      <c r="CY347" t="s">
        <v>400</v>
      </c>
      <c r="DA347">
        <v>0</v>
      </c>
      <c r="DB347">
        <v>0</v>
      </c>
      <c r="DC347">
        <v>0</v>
      </c>
      <c r="DD347">
        <v>79000</v>
      </c>
      <c r="DK347" t="s">
        <v>6953</v>
      </c>
      <c r="DM347" t="s">
        <v>2028</v>
      </c>
      <c r="EG347" t="s">
        <v>1556</v>
      </c>
      <c r="EN347">
        <v>0</v>
      </c>
      <c r="HN347" t="s">
        <v>3948</v>
      </c>
      <c r="HO347" t="s">
        <v>3948</v>
      </c>
      <c r="HP347" t="s">
        <v>3948</v>
      </c>
      <c r="HQ347" t="s">
        <v>6954</v>
      </c>
      <c r="HR347" t="s">
        <v>1712</v>
      </c>
      <c r="HS347" t="s">
        <v>6955</v>
      </c>
      <c r="HT347" t="s">
        <v>6956</v>
      </c>
      <c r="HU347" t="s">
        <v>1712</v>
      </c>
      <c r="HV347" t="s">
        <v>6957</v>
      </c>
      <c r="HW347" t="s">
        <v>4302</v>
      </c>
      <c r="HX347" t="s">
        <v>1348</v>
      </c>
      <c r="HY347" t="s">
        <v>6958</v>
      </c>
      <c r="HZ347" t="s">
        <v>2174</v>
      </c>
      <c r="IA347" t="s">
        <v>6959</v>
      </c>
      <c r="IB347" t="s">
        <v>5144</v>
      </c>
      <c r="IC347" t="s">
        <v>402</v>
      </c>
      <c r="ID347" t="s">
        <v>3519</v>
      </c>
      <c r="IE347" t="s">
        <v>2037</v>
      </c>
      <c r="IF347" t="s">
        <v>2177</v>
      </c>
      <c r="IG347" t="s">
        <v>2007</v>
      </c>
      <c r="IM347" t="s">
        <v>395</v>
      </c>
      <c r="IN347" t="s">
        <v>676</v>
      </c>
      <c r="IO347" t="s">
        <v>395</v>
      </c>
      <c r="IP347" t="s">
        <v>402</v>
      </c>
      <c r="IQ347" t="s">
        <v>3522</v>
      </c>
    </row>
    <row r="348" spans="1:292" x14ac:dyDescent="0.25">
      <c r="A348" t="s">
        <v>6960</v>
      </c>
      <c r="B348" t="str">
        <f>"801542650759"</f>
        <v>801542650759</v>
      </c>
      <c r="C348" t="s">
        <v>6933</v>
      </c>
      <c r="D348" t="s">
        <v>5460</v>
      </c>
      <c r="E348" t="s">
        <v>2006</v>
      </c>
      <c r="F348" t="s">
        <v>2040</v>
      </c>
      <c r="G348" t="str">
        <f>"82.75"</f>
        <v>82.75</v>
      </c>
      <c r="H348" t="str">
        <f>"86.25"</f>
        <v>86.25</v>
      </c>
      <c r="I348" t="str">
        <f>"50.25"</f>
        <v>50.25</v>
      </c>
      <c r="J348" t="str">
        <f>"200"</f>
        <v>200</v>
      </c>
      <c r="K348" t="s">
        <v>6934</v>
      </c>
      <c r="L348" t="s">
        <v>6935</v>
      </c>
      <c r="N348" t="s">
        <v>1170</v>
      </c>
      <c r="O348" t="s">
        <v>2269</v>
      </c>
      <c r="P348" t="s">
        <v>372</v>
      </c>
      <c r="T348" t="s">
        <v>373</v>
      </c>
      <c r="U348" t="s">
        <v>373</v>
      </c>
      <c r="W348" t="s">
        <v>6961</v>
      </c>
      <c r="X348" t="s">
        <v>6962</v>
      </c>
      <c r="Y348" t="s">
        <v>6963</v>
      </c>
      <c r="Z348" t="s">
        <v>6964</v>
      </c>
      <c r="AA348" t="s">
        <v>6965</v>
      </c>
      <c r="AB348" t="s">
        <v>6966</v>
      </c>
      <c r="AC348" t="s">
        <v>6967</v>
      </c>
      <c r="AD348" t="s">
        <v>6968</v>
      </c>
      <c r="AE348" t="s">
        <v>6969</v>
      </c>
      <c r="AF348" t="s">
        <v>6970</v>
      </c>
      <c r="AG348" t="s">
        <v>6971</v>
      </c>
      <c r="AH348" t="s">
        <v>6972</v>
      </c>
      <c r="AI348" t="s">
        <v>6973</v>
      </c>
      <c r="BA348" t="str">
        <f>"2699"</f>
        <v>2699</v>
      </c>
      <c r="BB348" t="str">
        <f>"1135"</f>
        <v>1135</v>
      </c>
      <c r="BC348" t="s">
        <v>665</v>
      </c>
      <c r="BD348" t="str">
        <f>"3"</f>
        <v>3</v>
      </c>
      <c r="BE348" t="s">
        <v>6950</v>
      </c>
      <c r="BF348" t="str">
        <f>"88.19"</f>
        <v>88.19</v>
      </c>
      <c r="BG348" t="str">
        <f>"56.3"</f>
        <v>56.3</v>
      </c>
      <c r="BH348" t="str">
        <f>"7.68"</f>
        <v>7.68</v>
      </c>
      <c r="BI348" t="str">
        <f>"132.28"</f>
        <v>132.28</v>
      </c>
      <c r="BJ348" t="s">
        <v>6951</v>
      </c>
      <c r="BK348" t="str">
        <f>"85.43"</f>
        <v>85.43</v>
      </c>
      <c r="BL348" t="str">
        <f>"17.72"</f>
        <v>17.72</v>
      </c>
      <c r="BM348" t="str">
        <f>"9.06"</f>
        <v>9.06</v>
      </c>
      <c r="BN348" t="str">
        <f>"76.06"</f>
        <v>76.06</v>
      </c>
      <c r="BO348" t="s">
        <v>6952</v>
      </c>
      <c r="BP348" t="str">
        <f>"88.19"</f>
        <v>88.19</v>
      </c>
      <c r="BQ348" t="str">
        <f>"12.99"</f>
        <v>12.99</v>
      </c>
      <c r="BR348" t="str">
        <f>"7.87"</f>
        <v>7.87</v>
      </c>
      <c r="BS348" t="str">
        <f>"57.32"</f>
        <v>57.32</v>
      </c>
      <c r="BY348" t="str">
        <f>"35.24"</f>
        <v>35.24</v>
      </c>
      <c r="BZ348" t="str">
        <f>"0.998"</f>
        <v>0.998</v>
      </c>
      <c r="CA348" t="s">
        <v>431</v>
      </c>
      <c r="CQ348" t="s">
        <v>631</v>
      </c>
      <c r="CR348" t="s">
        <v>400</v>
      </c>
      <c r="CS348">
        <v>0</v>
      </c>
      <c r="CT348" t="s">
        <v>400</v>
      </c>
      <c r="CV348">
        <v>0</v>
      </c>
      <c r="CX348" t="s">
        <v>667</v>
      </c>
      <c r="CY348" t="s">
        <v>400</v>
      </c>
      <c r="DA348">
        <v>0</v>
      </c>
      <c r="DB348">
        <v>0</v>
      </c>
      <c r="DC348">
        <v>0</v>
      </c>
      <c r="DD348">
        <v>79000</v>
      </c>
      <c r="DK348" t="s">
        <v>6953</v>
      </c>
      <c r="DM348" t="s">
        <v>2028</v>
      </c>
      <c r="EG348" t="s">
        <v>1556</v>
      </c>
      <c r="EN348">
        <v>0</v>
      </c>
      <c r="HN348" t="s">
        <v>3948</v>
      </c>
      <c r="HO348" t="s">
        <v>3948</v>
      </c>
      <c r="HP348" t="s">
        <v>3948</v>
      </c>
      <c r="HQ348" t="s">
        <v>6954</v>
      </c>
      <c r="HR348" t="s">
        <v>1712</v>
      </c>
      <c r="HS348" t="s">
        <v>6974</v>
      </c>
      <c r="HT348" t="s">
        <v>6956</v>
      </c>
      <c r="HU348" t="s">
        <v>1712</v>
      </c>
      <c r="HV348" t="s">
        <v>6975</v>
      </c>
      <c r="HW348" t="s">
        <v>4302</v>
      </c>
      <c r="HX348" t="s">
        <v>1348</v>
      </c>
      <c r="HY348" t="s">
        <v>6976</v>
      </c>
      <c r="HZ348" t="s">
        <v>2174</v>
      </c>
      <c r="IA348" t="s">
        <v>6959</v>
      </c>
      <c r="IB348" t="s">
        <v>5144</v>
      </c>
      <c r="IC348" t="s">
        <v>402</v>
      </c>
      <c r="ID348" t="s">
        <v>3519</v>
      </c>
      <c r="IE348" t="s">
        <v>2037</v>
      </c>
      <c r="IF348" t="s">
        <v>2177</v>
      </c>
      <c r="IG348" t="s">
        <v>2040</v>
      </c>
      <c r="IM348" t="s">
        <v>395</v>
      </c>
      <c r="IN348" t="s">
        <v>676</v>
      </c>
      <c r="IO348" t="s">
        <v>395</v>
      </c>
      <c r="IP348" t="s">
        <v>402</v>
      </c>
      <c r="IQ348" t="s">
        <v>3522</v>
      </c>
    </row>
    <row r="349" spans="1:292" x14ac:dyDescent="0.25">
      <c r="A349" t="s">
        <v>6977</v>
      </c>
      <c r="B349" t="str">
        <f>"801542744267"</f>
        <v>801542744267</v>
      </c>
      <c r="C349" t="s">
        <v>6978</v>
      </c>
      <c r="D349" t="s">
        <v>2106</v>
      </c>
      <c r="E349" t="s">
        <v>515</v>
      </c>
      <c r="F349" t="s">
        <v>516</v>
      </c>
      <c r="G349" t="str">
        <f>"35.5"</f>
        <v>35.5</v>
      </c>
      <c r="H349" t="str">
        <f>"35.75"</f>
        <v>35.75</v>
      </c>
      <c r="I349" t="str">
        <f>"29"</f>
        <v>29</v>
      </c>
      <c r="J349" t="str">
        <f>"66.14"</f>
        <v>66.14</v>
      </c>
      <c r="K349" t="s">
        <v>2310</v>
      </c>
      <c r="N349" t="s">
        <v>416</v>
      </c>
      <c r="T349" t="s">
        <v>373</v>
      </c>
      <c r="U349" t="s">
        <v>373</v>
      </c>
      <c r="V349" t="s">
        <v>6979</v>
      </c>
      <c r="W349" t="s">
        <v>6980</v>
      </c>
      <c r="X349" t="s">
        <v>6981</v>
      </c>
      <c r="Y349" t="s">
        <v>6982</v>
      </c>
      <c r="Z349" t="s">
        <v>6983</v>
      </c>
      <c r="AA349" t="s">
        <v>6984</v>
      </c>
      <c r="AB349" t="s">
        <v>6985</v>
      </c>
      <c r="AC349" t="s">
        <v>6986</v>
      </c>
      <c r="AD349" t="s">
        <v>2319</v>
      </c>
      <c r="AE349" t="s">
        <v>6987</v>
      </c>
      <c r="AF349" t="s">
        <v>6988</v>
      </c>
      <c r="AG349" t="s">
        <v>6989</v>
      </c>
      <c r="AH349" t="s">
        <v>6990</v>
      </c>
      <c r="AI349" t="s">
        <v>6991</v>
      </c>
      <c r="BA349" t="str">
        <f>"1799"</f>
        <v>1799</v>
      </c>
      <c r="BB349" t="str">
        <f>"760"</f>
        <v>760</v>
      </c>
      <c r="BC349" t="s">
        <v>665</v>
      </c>
      <c r="BD349" t="str">
        <f>"1"</f>
        <v>1</v>
      </c>
      <c r="BE349" t="s">
        <v>389</v>
      </c>
      <c r="BF349" t="str">
        <f>"38.39"</f>
        <v>38.39</v>
      </c>
      <c r="BG349" t="str">
        <f>"37.8"</f>
        <v>37.8</v>
      </c>
      <c r="BH349" t="str">
        <f>"32.28"</f>
        <v>32.28</v>
      </c>
      <c r="BI349" t="str">
        <f>"85.98"</f>
        <v>85.98</v>
      </c>
      <c r="BY349" t="str">
        <f>"27.12"</f>
        <v>27.12</v>
      </c>
      <c r="BZ349" t="str">
        <f>"0.768"</f>
        <v>0.768</v>
      </c>
      <c r="CA349" t="s">
        <v>390</v>
      </c>
      <c r="CK349" t="s">
        <v>2289</v>
      </c>
      <c r="CL349" t="s">
        <v>535</v>
      </c>
      <c r="CM349" t="s">
        <v>3058</v>
      </c>
      <c r="CN349">
        <v>0</v>
      </c>
      <c r="CO349">
        <v>0</v>
      </c>
      <c r="CP349" t="s">
        <v>398</v>
      </c>
      <c r="CQ349" t="s">
        <v>438</v>
      </c>
      <c r="CX349" t="s">
        <v>403</v>
      </c>
      <c r="CY349" t="s">
        <v>1753</v>
      </c>
      <c r="CZ349">
        <v>0</v>
      </c>
      <c r="DD349">
        <v>0</v>
      </c>
      <c r="DE349" t="s">
        <v>439</v>
      </c>
      <c r="DH349">
        <v>0</v>
      </c>
      <c r="DI349">
        <v>1</v>
      </c>
      <c r="DK349" t="s">
        <v>6992</v>
      </c>
      <c r="DL349">
        <v>0</v>
      </c>
      <c r="DM349" t="s">
        <v>538</v>
      </c>
      <c r="DX349" t="s">
        <v>1552</v>
      </c>
      <c r="EA349" t="s">
        <v>394</v>
      </c>
      <c r="EG349" t="s">
        <v>1513</v>
      </c>
      <c r="ER349">
        <v>0</v>
      </c>
      <c r="ES349">
        <v>0</v>
      </c>
      <c r="ET349" t="s">
        <v>643</v>
      </c>
      <c r="EU349">
        <v>0</v>
      </c>
      <c r="HM349" t="s">
        <v>1754</v>
      </c>
    </row>
    <row r="350" spans="1:292" x14ac:dyDescent="0.25">
      <c r="A350" t="s">
        <v>6993</v>
      </c>
      <c r="B350" t="str">
        <f>"801542044060"</f>
        <v>801542044060</v>
      </c>
      <c r="C350" t="s">
        <v>6994</v>
      </c>
      <c r="D350" t="s">
        <v>2106</v>
      </c>
      <c r="E350" t="s">
        <v>515</v>
      </c>
      <c r="F350" t="s">
        <v>516</v>
      </c>
      <c r="G350" t="str">
        <f>"35.5"</f>
        <v>35.5</v>
      </c>
      <c r="H350" t="str">
        <f>"35.75"</f>
        <v>35.75</v>
      </c>
      <c r="I350" t="str">
        <f>"29"</f>
        <v>29</v>
      </c>
      <c r="J350" t="str">
        <f>"66.14"</f>
        <v>66.14</v>
      </c>
      <c r="K350" t="s">
        <v>2833</v>
      </c>
      <c r="N350" t="s">
        <v>1793</v>
      </c>
      <c r="O350" t="s">
        <v>1794</v>
      </c>
      <c r="T350" t="s">
        <v>373</v>
      </c>
      <c r="U350" t="s">
        <v>373</v>
      </c>
      <c r="V350" t="s">
        <v>6995</v>
      </c>
      <c r="W350" t="s">
        <v>6996</v>
      </c>
      <c r="X350" t="s">
        <v>6997</v>
      </c>
      <c r="Y350" t="s">
        <v>6998</v>
      </c>
      <c r="Z350" t="s">
        <v>6999</v>
      </c>
      <c r="AA350" t="s">
        <v>7000</v>
      </c>
      <c r="AB350" t="s">
        <v>7001</v>
      </c>
      <c r="AC350" t="s">
        <v>7002</v>
      </c>
      <c r="AD350" t="s">
        <v>7003</v>
      </c>
      <c r="AE350" t="s">
        <v>7004</v>
      </c>
      <c r="AF350" t="s">
        <v>7005</v>
      </c>
      <c r="AG350" t="s">
        <v>7006</v>
      </c>
      <c r="BA350" t="str">
        <f>"1299"</f>
        <v>1299</v>
      </c>
      <c r="BB350" t="str">
        <f>"550"</f>
        <v>550</v>
      </c>
      <c r="BC350" t="s">
        <v>665</v>
      </c>
      <c r="BD350" t="str">
        <f>"1"</f>
        <v>1</v>
      </c>
      <c r="BE350" t="s">
        <v>389</v>
      </c>
      <c r="BF350" t="str">
        <f>"38.39"</f>
        <v>38.39</v>
      </c>
      <c r="BG350" t="str">
        <f>"37.8"</f>
        <v>37.8</v>
      </c>
      <c r="BH350" t="str">
        <f>"32.28"</f>
        <v>32.28</v>
      </c>
      <c r="BI350" t="str">
        <f>"85.98"</f>
        <v>85.98</v>
      </c>
      <c r="BY350" t="str">
        <f>"27.12"</f>
        <v>27.12</v>
      </c>
      <c r="BZ350" t="str">
        <f>"0.768"</f>
        <v>0.768</v>
      </c>
      <c r="CA350" t="s">
        <v>390</v>
      </c>
      <c r="CK350" t="s">
        <v>2289</v>
      </c>
      <c r="CL350" t="s">
        <v>535</v>
      </c>
      <c r="CM350" t="s">
        <v>3058</v>
      </c>
      <c r="CN350">
        <v>0</v>
      </c>
      <c r="CO350">
        <v>0</v>
      </c>
      <c r="CP350" t="s">
        <v>398</v>
      </c>
      <c r="CQ350" t="s">
        <v>438</v>
      </c>
      <c r="CX350" t="s">
        <v>403</v>
      </c>
      <c r="CY350" t="s">
        <v>1753</v>
      </c>
      <c r="CZ350">
        <v>0</v>
      </c>
      <c r="DD350">
        <v>30000</v>
      </c>
      <c r="DE350" t="s">
        <v>439</v>
      </c>
      <c r="DH350">
        <v>0</v>
      </c>
      <c r="DI350">
        <v>1</v>
      </c>
      <c r="DK350" t="s">
        <v>6992</v>
      </c>
      <c r="DL350">
        <v>0</v>
      </c>
      <c r="DM350" t="s">
        <v>538</v>
      </c>
      <c r="DX350" t="s">
        <v>1552</v>
      </c>
      <c r="EA350" t="s">
        <v>394</v>
      </c>
      <c r="EG350" t="s">
        <v>1513</v>
      </c>
      <c r="ER350">
        <v>0</v>
      </c>
      <c r="ES350">
        <v>0</v>
      </c>
      <c r="ET350" t="s">
        <v>643</v>
      </c>
      <c r="EU350">
        <v>0</v>
      </c>
      <c r="HM350" t="s">
        <v>1754</v>
      </c>
    </row>
    <row r="351" spans="1:292" x14ac:dyDescent="0.25">
      <c r="A351" t="s">
        <v>7007</v>
      </c>
      <c r="B351" t="str">
        <f>"801542108083"</f>
        <v>801542108083</v>
      </c>
      <c r="C351" t="s">
        <v>7008</v>
      </c>
      <c r="D351" t="s">
        <v>1165</v>
      </c>
      <c r="E351" t="s">
        <v>515</v>
      </c>
      <c r="F351" t="s">
        <v>516</v>
      </c>
      <c r="G351" t="str">
        <f>"33.5"</f>
        <v>33.5</v>
      </c>
      <c r="H351" t="str">
        <f>"32.75"</f>
        <v>32.75</v>
      </c>
      <c r="I351" t="str">
        <f>"26"</f>
        <v>26</v>
      </c>
      <c r="J351" t="str">
        <f>"70.55"</f>
        <v>70.55</v>
      </c>
      <c r="K351" t="s">
        <v>2833</v>
      </c>
      <c r="N351" t="s">
        <v>1793</v>
      </c>
      <c r="O351" t="s">
        <v>1794</v>
      </c>
      <c r="T351" t="s">
        <v>373</v>
      </c>
      <c r="U351" t="s">
        <v>373</v>
      </c>
      <c r="V351" t="s">
        <v>7009</v>
      </c>
      <c r="W351" t="s">
        <v>7010</v>
      </c>
      <c r="X351" t="s">
        <v>7011</v>
      </c>
      <c r="Y351" t="s">
        <v>7012</v>
      </c>
      <c r="Z351" t="s">
        <v>7013</v>
      </c>
      <c r="AA351" t="s">
        <v>7014</v>
      </c>
      <c r="AB351" t="s">
        <v>7015</v>
      </c>
      <c r="AC351" t="s">
        <v>7016</v>
      </c>
      <c r="AD351" t="s">
        <v>7017</v>
      </c>
      <c r="AE351" t="s">
        <v>7018</v>
      </c>
      <c r="AF351" t="s">
        <v>7019</v>
      </c>
      <c r="BA351" t="str">
        <f>"1599"</f>
        <v>1599</v>
      </c>
      <c r="BB351" t="str">
        <f>"675"</f>
        <v>675</v>
      </c>
      <c r="BC351" t="s">
        <v>1149</v>
      </c>
      <c r="BD351" t="str">
        <f>"1"</f>
        <v>1</v>
      </c>
      <c r="BE351" t="s">
        <v>389</v>
      </c>
      <c r="BF351" t="str">
        <f>"36.22"</f>
        <v>36.22</v>
      </c>
      <c r="BG351" t="str">
        <f>"36.22"</f>
        <v>36.22</v>
      </c>
      <c r="BH351" t="str">
        <f>"27.17"</f>
        <v>27.17</v>
      </c>
      <c r="BI351" t="str">
        <f>"82.01"</f>
        <v>82.01</v>
      </c>
      <c r="BY351" t="str">
        <f>"20.62"</f>
        <v>20.62</v>
      </c>
      <c r="BZ351" t="str">
        <f>"0.584"</f>
        <v>0.584</v>
      </c>
      <c r="CA351" t="s">
        <v>495</v>
      </c>
      <c r="CH351" t="s">
        <v>603</v>
      </c>
      <c r="CI351" t="s">
        <v>797</v>
      </c>
      <c r="CJ351" t="s">
        <v>2083</v>
      </c>
      <c r="CK351" t="s">
        <v>603</v>
      </c>
      <c r="CL351" t="s">
        <v>511</v>
      </c>
      <c r="CN351">
        <v>0</v>
      </c>
      <c r="CO351">
        <v>0</v>
      </c>
      <c r="CP351" t="s">
        <v>437</v>
      </c>
      <c r="CQ351" t="s">
        <v>438</v>
      </c>
      <c r="CU351" t="s">
        <v>7020</v>
      </c>
      <c r="CX351" t="s">
        <v>403</v>
      </c>
      <c r="CY351" t="s">
        <v>1753</v>
      </c>
      <c r="CZ351">
        <v>0</v>
      </c>
      <c r="DD351">
        <v>30000</v>
      </c>
      <c r="DE351" t="s">
        <v>570</v>
      </c>
      <c r="DF351" t="s">
        <v>406</v>
      </c>
      <c r="DG351" t="s">
        <v>407</v>
      </c>
      <c r="DH351">
        <v>1</v>
      </c>
      <c r="DI351">
        <v>1</v>
      </c>
      <c r="DK351" t="s">
        <v>7021</v>
      </c>
      <c r="DL351">
        <v>0</v>
      </c>
      <c r="DM351" t="s">
        <v>538</v>
      </c>
      <c r="DN351" t="s">
        <v>796</v>
      </c>
      <c r="DO351" t="s">
        <v>1240</v>
      </c>
      <c r="DP351" t="s">
        <v>612</v>
      </c>
      <c r="DT351" t="s">
        <v>450</v>
      </c>
      <c r="DX351" t="s">
        <v>827</v>
      </c>
      <c r="EA351" t="s">
        <v>2240</v>
      </c>
      <c r="EG351" t="s">
        <v>749</v>
      </c>
      <c r="EP351" t="s">
        <v>791</v>
      </c>
      <c r="EQ351" t="s">
        <v>638</v>
      </c>
      <c r="ER351">
        <v>0</v>
      </c>
      <c r="ES351">
        <v>0</v>
      </c>
      <c r="EU351">
        <v>0</v>
      </c>
      <c r="HM351" t="s">
        <v>1754</v>
      </c>
    </row>
    <row r="352" spans="1:292" x14ac:dyDescent="0.25">
      <c r="A352" t="s">
        <v>7022</v>
      </c>
      <c r="B352" t="str">
        <f>"801542769635"</f>
        <v>801542769635</v>
      </c>
      <c r="C352" t="s">
        <v>7023</v>
      </c>
      <c r="D352" t="s">
        <v>5390</v>
      </c>
      <c r="E352" t="s">
        <v>515</v>
      </c>
      <c r="F352" t="s">
        <v>516</v>
      </c>
      <c r="G352" t="str">
        <f>"34"</f>
        <v>34</v>
      </c>
      <c r="H352" t="str">
        <f>"37"</f>
        <v>37</v>
      </c>
      <c r="I352" t="str">
        <f>"31.5"</f>
        <v>31.5</v>
      </c>
      <c r="J352" t="str">
        <f>"73.63"</f>
        <v>73.63</v>
      </c>
      <c r="K352" t="s">
        <v>2310</v>
      </c>
      <c r="L352" t="s">
        <v>1518</v>
      </c>
      <c r="N352" t="s">
        <v>416</v>
      </c>
      <c r="O352" t="s">
        <v>775</v>
      </c>
      <c r="T352" t="s">
        <v>373</v>
      </c>
      <c r="U352" t="s">
        <v>373</v>
      </c>
      <c r="V352" t="s">
        <v>7024</v>
      </c>
      <c r="W352" t="s">
        <v>7025</v>
      </c>
      <c r="X352" t="s">
        <v>7026</v>
      </c>
      <c r="Y352" t="s">
        <v>7027</v>
      </c>
      <c r="Z352" t="s">
        <v>7028</v>
      </c>
      <c r="AA352" t="s">
        <v>7029</v>
      </c>
      <c r="AB352" t="s">
        <v>7030</v>
      </c>
      <c r="AC352" t="s">
        <v>7031</v>
      </c>
      <c r="AD352" t="s">
        <v>2319</v>
      </c>
      <c r="AE352" t="s">
        <v>7032</v>
      </c>
      <c r="AF352" t="s">
        <v>7033</v>
      </c>
      <c r="AG352" t="s">
        <v>7034</v>
      </c>
      <c r="AH352" t="s">
        <v>7035</v>
      </c>
      <c r="AI352" t="s">
        <v>7036</v>
      </c>
      <c r="AJ352" t="s">
        <v>7037</v>
      </c>
      <c r="BA352" t="str">
        <f>"1899"</f>
        <v>1899</v>
      </c>
      <c r="BB352" t="str">
        <f>"800"</f>
        <v>800</v>
      </c>
      <c r="BC352" t="s">
        <v>388</v>
      </c>
      <c r="BD352" t="str">
        <f>"1"</f>
        <v>1</v>
      </c>
      <c r="BE352" t="s">
        <v>739</v>
      </c>
      <c r="BF352" t="str">
        <f>"35.04"</f>
        <v>35.04</v>
      </c>
      <c r="BG352" t="str">
        <f>"38.39"</f>
        <v>38.39</v>
      </c>
      <c r="BH352" t="str">
        <f>"32.68"</f>
        <v>32.68</v>
      </c>
      <c r="BI352" t="str">
        <f>"94.8"</f>
        <v>94.8</v>
      </c>
      <c r="BY352" t="str">
        <f>"21.44"</f>
        <v>21.44</v>
      </c>
      <c r="BZ352" t="str">
        <f>"0.607"</f>
        <v>0.607</v>
      </c>
      <c r="CA352" t="s">
        <v>495</v>
      </c>
      <c r="CK352" t="s">
        <v>1732</v>
      </c>
      <c r="CL352" t="s">
        <v>568</v>
      </c>
      <c r="CN352">
        <v>0</v>
      </c>
      <c r="CO352">
        <v>0</v>
      </c>
      <c r="CP352" t="s">
        <v>398</v>
      </c>
      <c r="CQ352" t="s">
        <v>438</v>
      </c>
      <c r="CX352" t="s">
        <v>403</v>
      </c>
      <c r="CY352" t="s">
        <v>1753</v>
      </c>
      <c r="CZ352">
        <v>0</v>
      </c>
      <c r="DD352">
        <v>0</v>
      </c>
      <c r="DE352" t="s">
        <v>439</v>
      </c>
      <c r="DH352">
        <v>0</v>
      </c>
      <c r="DI352">
        <v>1</v>
      </c>
      <c r="DK352" t="s">
        <v>7038</v>
      </c>
      <c r="DL352">
        <v>0</v>
      </c>
      <c r="DM352" t="s">
        <v>538</v>
      </c>
      <c r="DN352" t="s">
        <v>2124</v>
      </c>
      <c r="DO352" t="s">
        <v>1292</v>
      </c>
      <c r="DP352" t="s">
        <v>3077</v>
      </c>
      <c r="DT352" t="s">
        <v>7039</v>
      </c>
      <c r="DX352" t="s">
        <v>392</v>
      </c>
      <c r="EA352" t="s">
        <v>546</v>
      </c>
      <c r="EG352" t="s">
        <v>1513</v>
      </c>
      <c r="EP352" t="s">
        <v>4675</v>
      </c>
      <c r="EQ352" t="s">
        <v>535</v>
      </c>
      <c r="ER352">
        <v>0</v>
      </c>
      <c r="ES352">
        <v>0</v>
      </c>
      <c r="ET352" t="s">
        <v>643</v>
      </c>
      <c r="EU352">
        <v>0</v>
      </c>
      <c r="HM352" t="s">
        <v>1754</v>
      </c>
    </row>
    <row r="353" spans="1:291" x14ac:dyDescent="0.25">
      <c r="A353" t="s">
        <v>7040</v>
      </c>
      <c r="B353" t="str">
        <f>"801542056230"</f>
        <v>801542056230</v>
      </c>
      <c r="C353" t="s">
        <v>7041</v>
      </c>
      <c r="D353" t="s">
        <v>1276</v>
      </c>
      <c r="E353" t="s">
        <v>2006</v>
      </c>
      <c r="F353" t="s">
        <v>2040</v>
      </c>
      <c r="G353" t="str">
        <f>"80"</f>
        <v>80</v>
      </c>
      <c r="H353" t="str">
        <f>"86"</f>
        <v>86</v>
      </c>
      <c r="I353" t="str">
        <f>"47.25"</f>
        <v>47.25</v>
      </c>
      <c r="J353" t="str">
        <f>"171.96"</f>
        <v>171.96</v>
      </c>
      <c r="K353" t="s">
        <v>836</v>
      </c>
      <c r="L353" t="s">
        <v>7042</v>
      </c>
      <c r="M353" t="s">
        <v>7043</v>
      </c>
      <c r="N353" t="s">
        <v>839</v>
      </c>
      <c r="O353" t="s">
        <v>840</v>
      </c>
      <c r="P353" t="s">
        <v>372</v>
      </c>
      <c r="Q353" t="s">
        <v>1970</v>
      </c>
      <c r="T353" t="s">
        <v>373</v>
      </c>
      <c r="U353" t="s">
        <v>402</v>
      </c>
      <c r="V353" t="s">
        <v>7044</v>
      </c>
      <c r="W353" t="s">
        <v>7045</v>
      </c>
      <c r="X353" t="s">
        <v>7046</v>
      </c>
      <c r="Y353" t="s">
        <v>7047</v>
      </c>
      <c r="Z353" t="s">
        <v>7048</v>
      </c>
      <c r="AA353" t="s">
        <v>7049</v>
      </c>
      <c r="AB353" t="s">
        <v>7050</v>
      </c>
      <c r="AC353" t="s">
        <v>7051</v>
      </c>
      <c r="AD353" t="s">
        <v>7052</v>
      </c>
      <c r="AE353" t="s">
        <v>7053</v>
      </c>
      <c r="AF353" t="s">
        <v>7054</v>
      </c>
      <c r="AG353" t="s">
        <v>7055</v>
      </c>
      <c r="AH353" t="s">
        <v>7056</v>
      </c>
      <c r="AI353" t="s">
        <v>7057</v>
      </c>
      <c r="AJ353" t="s">
        <v>7058</v>
      </c>
      <c r="AK353" t="s">
        <v>7059</v>
      </c>
      <c r="AL353" t="s">
        <v>7060</v>
      </c>
      <c r="AM353" t="s">
        <v>7061</v>
      </c>
      <c r="AN353" t="s">
        <v>7062</v>
      </c>
      <c r="AO353" t="s">
        <v>7063</v>
      </c>
      <c r="AP353" t="s">
        <v>7064</v>
      </c>
      <c r="AQ353" t="s">
        <v>7065</v>
      </c>
      <c r="BA353" t="str">
        <f>"2099"</f>
        <v>2099</v>
      </c>
      <c r="BB353" t="str">
        <f>"885"</f>
        <v>885</v>
      </c>
      <c r="BC353" t="s">
        <v>665</v>
      </c>
      <c r="BD353" t="str">
        <f>"3"</f>
        <v>3</v>
      </c>
      <c r="BE353" t="s">
        <v>2163</v>
      </c>
      <c r="BF353" t="str">
        <f>"84.65"</f>
        <v>84.65</v>
      </c>
      <c r="BG353" t="str">
        <f>"51.57"</f>
        <v>51.57</v>
      </c>
      <c r="BH353" t="str">
        <f>"7.36"</f>
        <v>7.36</v>
      </c>
      <c r="BI353" t="str">
        <f>"105.82"</f>
        <v>105.82</v>
      </c>
      <c r="BJ353" t="s">
        <v>2806</v>
      </c>
      <c r="BK353" t="str">
        <f>"84.65"</f>
        <v>84.65</v>
      </c>
      <c r="BL353" t="str">
        <f>"16.34"</f>
        <v>16.34</v>
      </c>
      <c r="BM353" t="str">
        <f>"9.84"</f>
        <v>9.84</v>
      </c>
      <c r="BN353" t="str">
        <f>"63.93"</f>
        <v>63.93</v>
      </c>
      <c r="BO353" t="s">
        <v>2026</v>
      </c>
      <c r="BP353" t="str">
        <f>"86.02"</f>
        <v>86.02</v>
      </c>
      <c r="BQ353" t="str">
        <f>"9.06"</f>
        <v>9.06</v>
      </c>
      <c r="BR353" t="str">
        <f>"7.87"</f>
        <v>7.87</v>
      </c>
      <c r="BS353" t="str">
        <f>"38.58"</f>
        <v>38.58</v>
      </c>
      <c r="BY353" t="str">
        <f>"30.05"</f>
        <v>30.05</v>
      </c>
      <c r="BZ353" t="str">
        <f>"0.851"</f>
        <v>0.851</v>
      </c>
      <c r="CA353" t="s">
        <v>390</v>
      </c>
      <c r="CQ353" t="s">
        <v>631</v>
      </c>
      <c r="CR353" t="s">
        <v>400</v>
      </c>
      <c r="CS353">
        <v>0</v>
      </c>
      <c r="CT353" t="s">
        <v>400</v>
      </c>
      <c r="CV353">
        <v>0</v>
      </c>
      <c r="CX353" t="s">
        <v>1980</v>
      </c>
      <c r="CY353" t="s">
        <v>400</v>
      </c>
      <c r="DA353">
        <v>0</v>
      </c>
      <c r="DB353">
        <v>0</v>
      </c>
      <c r="DC353">
        <v>0</v>
      </c>
      <c r="DD353">
        <v>25000</v>
      </c>
      <c r="DK353" t="s">
        <v>7066</v>
      </c>
      <c r="DM353" t="s">
        <v>2028</v>
      </c>
      <c r="EN353">
        <v>0</v>
      </c>
      <c r="HN353" t="s">
        <v>1739</v>
      </c>
      <c r="HO353" t="s">
        <v>1739</v>
      </c>
      <c r="HP353" t="s">
        <v>1739</v>
      </c>
      <c r="HQ353" t="s">
        <v>6159</v>
      </c>
      <c r="HR353" t="s">
        <v>1712</v>
      </c>
      <c r="HS353" t="s">
        <v>7067</v>
      </c>
      <c r="HT353" t="s">
        <v>7068</v>
      </c>
      <c r="HU353" t="s">
        <v>2125</v>
      </c>
      <c r="HV353" t="s">
        <v>7067</v>
      </c>
      <c r="HW353" t="s">
        <v>2171</v>
      </c>
      <c r="HX353" t="s">
        <v>392</v>
      </c>
      <c r="HY353" t="s">
        <v>3255</v>
      </c>
      <c r="HZ353" t="s">
        <v>2072</v>
      </c>
      <c r="IA353" t="s">
        <v>7069</v>
      </c>
      <c r="IB353" t="s">
        <v>3518</v>
      </c>
      <c r="IC353" t="s">
        <v>402</v>
      </c>
      <c r="ID353" t="s">
        <v>3519</v>
      </c>
      <c r="IE353" t="s">
        <v>2037</v>
      </c>
      <c r="IF353" t="s">
        <v>2177</v>
      </c>
      <c r="IG353" t="s">
        <v>2040</v>
      </c>
      <c r="IM353" t="s">
        <v>395</v>
      </c>
      <c r="IN353" t="s">
        <v>1354</v>
      </c>
      <c r="IO353" t="s">
        <v>395</v>
      </c>
      <c r="IP353" t="s">
        <v>402</v>
      </c>
      <c r="IQ353" t="s">
        <v>3522</v>
      </c>
    </row>
    <row r="354" spans="1:291" x14ac:dyDescent="0.25">
      <c r="A354" t="s">
        <v>7070</v>
      </c>
      <c r="B354" t="str">
        <f>"801542056247"</f>
        <v>801542056247</v>
      </c>
      <c r="C354" t="s">
        <v>7041</v>
      </c>
      <c r="D354" t="s">
        <v>1276</v>
      </c>
      <c r="E354" t="s">
        <v>2006</v>
      </c>
      <c r="F354" t="s">
        <v>2007</v>
      </c>
      <c r="G354" t="str">
        <f>"64"</f>
        <v>64</v>
      </c>
      <c r="H354" t="str">
        <f>"86"</f>
        <v>86</v>
      </c>
      <c r="I354" t="str">
        <f>"47.25"</f>
        <v>47.25</v>
      </c>
      <c r="J354" t="str">
        <f>"142.2"</f>
        <v>142.2</v>
      </c>
      <c r="K354" t="s">
        <v>836</v>
      </c>
      <c r="L354" t="s">
        <v>7042</v>
      </c>
      <c r="M354" t="s">
        <v>7043</v>
      </c>
      <c r="N354" t="s">
        <v>839</v>
      </c>
      <c r="O354" t="s">
        <v>840</v>
      </c>
      <c r="P354" t="s">
        <v>372</v>
      </c>
      <c r="Q354" t="s">
        <v>1970</v>
      </c>
      <c r="T354" t="s">
        <v>373</v>
      </c>
      <c r="U354" t="s">
        <v>402</v>
      </c>
      <c r="V354" t="s">
        <v>7044</v>
      </c>
      <c r="W354" t="s">
        <v>7071</v>
      </c>
      <c r="X354" t="s">
        <v>7072</v>
      </c>
      <c r="Y354" t="s">
        <v>7073</v>
      </c>
      <c r="Z354" t="s">
        <v>7074</v>
      </c>
      <c r="AA354" t="s">
        <v>7075</v>
      </c>
      <c r="AB354" t="s">
        <v>7076</v>
      </c>
      <c r="AC354" t="s">
        <v>7077</v>
      </c>
      <c r="AD354" t="s">
        <v>7078</v>
      </c>
      <c r="AE354" t="s">
        <v>7079</v>
      </c>
      <c r="AF354" t="s">
        <v>7080</v>
      </c>
      <c r="AG354" t="s">
        <v>7081</v>
      </c>
      <c r="AH354" t="s">
        <v>7082</v>
      </c>
      <c r="AI354" t="s">
        <v>7083</v>
      </c>
      <c r="AJ354" t="s">
        <v>7084</v>
      </c>
      <c r="AK354" t="s">
        <v>7085</v>
      </c>
      <c r="AL354" t="s">
        <v>7086</v>
      </c>
      <c r="AM354" t="s">
        <v>7087</v>
      </c>
      <c r="AN354" t="s">
        <v>7088</v>
      </c>
      <c r="AO354" t="s">
        <v>7089</v>
      </c>
      <c r="AP354" t="s">
        <v>7090</v>
      </c>
      <c r="AQ354" t="s">
        <v>7091</v>
      </c>
      <c r="BA354" t="str">
        <f>"1799"</f>
        <v>1799</v>
      </c>
      <c r="BB354" t="str">
        <f>"760"</f>
        <v>760</v>
      </c>
      <c r="BC354" t="s">
        <v>665</v>
      </c>
      <c r="BD354" t="str">
        <f>"3"</f>
        <v>3</v>
      </c>
      <c r="BE354" t="s">
        <v>2163</v>
      </c>
      <c r="BF354" t="str">
        <f>"68.11"</f>
        <v>68.11</v>
      </c>
      <c r="BG354" t="str">
        <f>"51.57"</f>
        <v>51.57</v>
      </c>
      <c r="BH354" t="str">
        <f>"7.36"</f>
        <v>7.36</v>
      </c>
      <c r="BI354" t="str">
        <f>"84.88"</f>
        <v>84.88</v>
      </c>
      <c r="BJ354" t="s">
        <v>2806</v>
      </c>
      <c r="BK354" t="str">
        <f>"68.11"</f>
        <v>68.11</v>
      </c>
      <c r="BL354" t="str">
        <f>"16.34"</f>
        <v>16.34</v>
      </c>
      <c r="BM354" t="str">
        <f>"9.84"</f>
        <v>9.84</v>
      </c>
      <c r="BN354" t="str">
        <f>"54.01"</f>
        <v>54.01</v>
      </c>
      <c r="BO354" t="s">
        <v>2026</v>
      </c>
      <c r="BP354" t="str">
        <f>"86.02"</f>
        <v>86.02</v>
      </c>
      <c r="BQ354" t="str">
        <f>"9.06"</f>
        <v>9.06</v>
      </c>
      <c r="BR354" t="str">
        <f>"7.87"</f>
        <v>7.87</v>
      </c>
      <c r="BS354" t="str">
        <f>"31.97"</f>
        <v>31.97</v>
      </c>
      <c r="BY354" t="str">
        <f>"24.86"</f>
        <v>24.86</v>
      </c>
      <c r="BZ354" t="str">
        <f>"0.704"</f>
        <v>0.704</v>
      </c>
      <c r="CA354" t="s">
        <v>495</v>
      </c>
      <c r="CQ354" t="s">
        <v>631</v>
      </c>
      <c r="CR354" t="s">
        <v>400</v>
      </c>
      <c r="CS354">
        <v>0</v>
      </c>
      <c r="CT354" t="s">
        <v>400</v>
      </c>
      <c r="CV354">
        <v>0</v>
      </c>
      <c r="CX354" t="s">
        <v>1980</v>
      </c>
      <c r="CY354" t="s">
        <v>400</v>
      </c>
      <c r="DA354">
        <v>0</v>
      </c>
      <c r="DB354">
        <v>0</v>
      </c>
      <c r="DC354">
        <v>0</v>
      </c>
      <c r="DD354">
        <v>25000</v>
      </c>
      <c r="DK354" t="s">
        <v>7066</v>
      </c>
      <c r="DM354" t="s">
        <v>2028</v>
      </c>
      <c r="EN354">
        <v>0</v>
      </c>
      <c r="HN354" t="s">
        <v>1739</v>
      </c>
      <c r="HO354" t="s">
        <v>1739</v>
      </c>
      <c r="HP354" t="s">
        <v>1739</v>
      </c>
      <c r="HQ354" t="s">
        <v>6159</v>
      </c>
      <c r="HR354" t="s">
        <v>1712</v>
      </c>
      <c r="HS354" t="s">
        <v>7092</v>
      </c>
      <c r="HT354" t="s">
        <v>7068</v>
      </c>
      <c r="HU354" t="s">
        <v>2125</v>
      </c>
      <c r="HV354" t="s">
        <v>7092</v>
      </c>
      <c r="HW354" t="s">
        <v>2171</v>
      </c>
      <c r="HX354" t="s">
        <v>392</v>
      </c>
      <c r="HY354" t="s">
        <v>3273</v>
      </c>
      <c r="HZ354" t="s">
        <v>2072</v>
      </c>
      <c r="IA354" t="s">
        <v>7069</v>
      </c>
      <c r="IB354" t="s">
        <v>3518</v>
      </c>
      <c r="IC354" t="s">
        <v>402</v>
      </c>
      <c r="ID354" t="s">
        <v>3519</v>
      </c>
      <c r="IE354" t="s">
        <v>2037</v>
      </c>
      <c r="IF354" t="s">
        <v>2177</v>
      </c>
      <c r="IG354" t="s">
        <v>2007</v>
      </c>
      <c r="IM354" t="s">
        <v>395</v>
      </c>
      <c r="IN354" t="s">
        <v>1354</v>
      </c>
      <c r="IO354" t="s">
        <v>395</v>
      </c>
      <c r="IP354" t="s">
        <v>402</v>
      </c>
      <c r="IQ354" t="s">
        <v>3522</v>
      </c>
    </row>
    <row r="355" spans="1:291" x14ac:dyDescent="0.25">
      <c r="A355" t="s">
        <v>7093</v>
      </c>
      <c r="B355" t="str">
        <f>"801542032456"</f>
        <v>801542032456</v>
      </c>
      <c r="C355" t="s">
        <v>7094</v>
      </c>
      <c r="D355" t="s">
        <v>5390</v>
      </c>
      <c r="E355" t="s">
        <v>515</v>
      </c>
      <c r="F355" t="s">
        <v>516</v>
      </c>
      <c r="G355" t="str">
        <f>"25.5"</f>
        <v>25.5</v>
      </c>
      <c r="H355" t="str">
        <f>"34.5"</f>
        <v>34.5</v>
      </c>
      <c r="I355" t="str">
        <f>"30"</f>
        <v>30</v>
      </c>
      <c r="J355" t="str">
        <f>"79.81"</f>
        <v>79.81</v>
      </c>
      <c r="K355" t="s">
        <v>7095</v>
      </c>
      <c r="L355" t="s">
        <v>7096</v>
      </c>
      <c r="M355" t="s">
        <v>1518</v>
      </c>
      <c r="N355" t="s">
        <v>7097</v>
      </c>
      <c r="O355" t="s">
        <v>7098</v>
      </c>
      <c r="P355" t="s">
        <v>775</v>
      </c>
      <c r="T355" t="s">
        <v>373</v>
      </c>
      <c r="U355" t="s">
        <v>402</v>
      </c>
      <c r="V355" t="s">
        <v>7099</v>
      </c>
      <c r="W355" t="s">
        <v>7100</v>
      </c>
      <c r="X355" t="s">
        <v>7101</v>
      </c>
      <c r="Y355" t="s">
        <v>7102</v>
      </c>
      <c r="Z355" t="s">
        <v>7103</v>
      </c>
      <c r="AA355" t="s">
        <v>7104</v>
      </c>
      <c r="AB355" t="s">
        <v>7105</v>
      </c>
      <c r="AC355" t="s">
        <v>7106</v>
      </c>
      <c r="AD355" t="s">
        <v>7107</v>
      </c>
      <c r="AE355" t="s">
        <v>7108</v>
      </c>
      <c r="AF355" t="s">
        <v>7109</v>
      </c>
      <c r="AG355" t="s">
        <v>7110</v>
      </c>
      <c r="AH355" t="s">
        <v>7111</v>
      </c>
      <c r="BA355" t="str">
        <f>"2099"</f>
        <v>2099</v>
      </c>
      <c r="BB355" t="str">
        <f>"885"</f>
        <v>885</v>
      </c>
      <c r="BC355" t="s">
        <v>388</v>
      </c>
      <c r="BD355" t="str">
        <f t="shared" ref="BD355:BD375" si="90">"1"</f>
        <v>1</v>
      </c>
      <c r="BE355" t="s">
        <v>739</v>
      </c>
      <c r="BF355" t="str">
        <f>"28.74"</f>
        <v>28.74</v>
      </c>
      <c r="BG355" t="str">
        <f>"37.4"</f>
        <v>37.4</v>
      </c>
      <c r="BH355" t="str">
        <f>"32.68"</f>
        <v>32.68</v>
      </c>
      <c r="BI355" t="str">
        <f>"100.09"</f>
        <v>100.09</v>
      </c>
      <c r="BY355" t="str">
        <f>"18.5"</f>
        <v>18.5</v>
      </c>
      <c r="BZ355" t="str">
        <f>"0.524"</f>
        <v>0.524</v>
      </c>
      <c r="CA355" t="s">
        <v>390</v>
      </c>
      <c r="CH355" t="s">
        <v>1510</v>
      </c>
      <c r="CI355" t="s">
        <v>2510</v>
      </c>
      <c r="CJ355" t="s">
        <v>1510</v>
      </c>
      <c r="CK355" t="s">
        <v>1510</v>
      </c>
      <c r="CL355" t="s">
        <v>791</v>
      </c>
      <c r="CM355" t="s">
        <v>1510</v>
      </c>
      <c r="CN355">
        <v>0</v>
      </c>
      <c r="CO355">
        <v>1</v>
      </c>
      <c r="CP355" t="s">
        <v>437</v>
      </c>
      <c r="CQ355" t="s">
        <v>1152</v>
      </c>
      <c r="CX355" t="s">
        <v>403</v>
      </c>
      <c r="CY355" t="s">
        <v>400</v>
      </c>
      <c r="CZ355">
        <v>0</v>
      </c>
      <c r="DD355">
        <v>200000</v>
      </c>
      <c r="DE355" t="s">
        <v>2076</v>
      </c>
      <c r="DF355" t="s">
        <v>406</v>
      </c>
      <c r="DG355" t="s">
        <v>454</v>
      </c>
      <c r="DH355">
        <v>1</v>
      </c>
      <c r="DI355">
        <v>1</v>
      </c>
      <c r="DK355" t="s">
        <v>7112</v>
      </c>
      <c r="DL355">
        <v>0</v>
      </c>
      <c r="DM355" t="s">
        <v>538</v>
      </c>
      <c r="DN355" t="s">
        <v>600</v>
      </c>
      <c r="DO355" t="s">
        <v>2510</v>
      </c>
      <c r="DP355" t="s">
        <v>1511</v>
      </c>
      <c r="DT355" t="s">
        <v>1040</v>
      </c>
      <c r="DU355" t="s">
        <v>446</v>
      </c>
      <c r="DV355" t="s">
        <v>2908</v>
      </c>
      <c r="DW355" t="s">
        <v>1510</v>
      </c>
      <c r="DX355" t="s">
        <v>1039</v>
      </c>
      <c r="DZ355" t="s">
        <v>1510</v>
      </c>
      <c r="EA355" t="s">
        <v>2908</v>
      </c>
      <c r="ED355" t="s">
        <v>406</v>
      </c>
      <c r="EE355" t="s">
        <v>454</v>
      </c>
      <c r="EG355" t="s">
        <v>2029</v>
      </c>
      <c r="ER355">
        <v>0</v>
      </c>
      <c r="ES355">
        <v>0</v>
      </c>
      <c r="EU355">
        <v>0</v>
      </c>
    </row>
    <row r="356" spans="1:291" x14ac:dyDescent="0.25">
      <c r="A356" t="s">
        <v>7113</v>
      </c>
      <c r="B356" t="str">
        <f>"801542710323"</f>
        <v>801542710323</v>
      </c>
      <c r="C356" t="s">
        <v>7114</v>
      </c>
      <c r="D356" t="s">
        <v>4714</v>
      </c>
      <c r="E356" t="s">
        <v>413</v>
      </c>
      <c r="G356" t="str">
        <f>"86.5"</f>
        <v>86.5</v>
      </c>
      <c r="H356" t="str">
        <f>"34.5"</f>
        <v>34.5</v>
      </c>
      <c r="I356" t="str">
        <f>"28"</f>
        <v>28</v>
      </c>
      <c r="J356" t="str">
        <f>"110.23"</f>
        <v>110.23</v>
      </c>
      <c r="K356" t="s">
        <v>836</v>
      </c>
      <c r="L356" t="s">
        <v>585</v>
      </c>
      <c r="N356" t="s">
        <v>839</v>
      </c>
      <c r="O356" t="s">
        <v>840</v>
      </c>
      <c r="P356" t="s">
        <v>775</v>
      </c>
      <c r="T356" t="s">
        <v>402</v>
      </c>
      <c r="U356" t="s">
        <v>402</v>
      </c>
      <c r="V356" t="s">
        <v>7115</v>
      </c>
      <c r="W356" t="s">
        <v>7116</v>
      </c>
      <c r="X356" t="s">
        <v>7117</v>
      </c>
      <c r="Y356" t="s">
        <v>7118</v>
      </c>
      <c r="Z356" t="s">
        <v>7119</v>
      </c>
      <c r="AA356" t="s">
        <v>7120</v>
      </c>
      <c r="AB356" t="s">
        <v>7121</v>
      </c>
      <c r="AC356" t="s">
        <v>7122</v>
      </c>
      <c r="AD356" t="s">
        <v>7123</v>
      </c>
      <c r="AE356" t="s">
        <v>7124</v>
      </c>
      <c r="AF356" t="s">
        <v>7125</v>
      </c>
      <c r="AG356" t="s">
        <v>7126</v>
      </c>
      <c r="AH356" t="s">
        <v>7127</v>
      </c>
      <c r="BA356" t="str">
        <f>"2199"</f>
        <v>2199</v>
      </c>
      <c r="BB356" t="str">
        <f>"925"</f>
        <v>925</v>
      </c>
      <c r="BC356" t="s">
        <v>388</v>
      </c>
      <c r="BD356" t="str">
        <f t="shared" si="90"/>
        <v>1</v>
      </c>
      <c r="BE356" t="s">
        <v>389</v>
      </c>
      <c r="BF356" t="str">
        <f>"87.8"</f>
        <v>87.8</v>
      </c>
      <c r="BG356" t="str">
        <f>"35.83"</f>
        <v>35.83</v>
      </c>
      <c r="BH356" t="str">
        <f>"30.31"</f>
        <v>30.31</v>
      </c>
      <c r="BI356" t="str">
        <f>"158.73"</f>
        <v>158.73</v>
      </c>
      <c r="BY356" t="str">
        <f>"55.2"</f>
        <v>55.2</v>
      </c>
      <c r="BZ356" t="str">
        <f>"1.563"</f>
        <v>1.563</v>
      </c>
      <c r="CA356" t="s">
        <v>431</v>
      </c>
      <c r="CH356" t="s">
        <v>600</v>
      </c>
      <c r="CI356" t="s">
        <v>450</v>
      </c>
      <c r="CJ356" t="s">
        <v>7128</v>
      </c>
      <c r="CK356" t="s">
        <v>600</v>
      </c>
      <c r="CL356" t="s">
        <v>449</v>
      </c>
      <c r="CM356" t="s">
        <v>452</v>
      </c>
      <c r="CN356">
        <v>0</v>
      </c>
      <c r="CO356">
        <v>0</v>
      </c>
      <c r="CP356" t="s">
        <v>437</v>
      </c>
      <c r="CQ356" t="s">
        <v>631</v>
      </c>
      <c r="CU356" t="s">
        <v>7129</v>
      </c>
      <c r="CX356" t="s">
        <v>403</v>
      </c>
      <c r="CY356" t="s">
        <v>400</v>
      </c>
      <c r="CZ356">
        <v>0</v>
      </c>
      <c r="DD356">
        <v>25000</v>
      </c>
      <c r="DE356" t="s">
        <v>570</v>
      </c>
      <c r="DF356" t="s">
        <v>406</v>
      </c>
      <c r="DG356" t="s">
        <v>407</v>
      </c>
      <c r="DH356">
        <v>1</v>
      </c>
      <c r="DI356">
        <v>3</v>
      </c>
      <c r="DK356" t="s">
        <v>4730</v>
      </c>
      <c r="DL356">
        <v>0</v>
      </c>
      <c r="DM356" t="s">
        <v>410</v>
      </c>
      <c r="DN356" t="s">
        <v>2078</v>
      </c>
      <c r="DO356" t="s">
        <v>1489</v>
      </c>
      <c r="DP356" t="s">
        <v>638</v>
      </c>
      <c r="DT356" t="s">
        <v>1037</v>
      </c>
      <c r="DX356" t="s">
        <v>1852</v>
      </c>
      <c r="DY356" t="s">
        <v>1553</v>
      </c>
      <c r="DZ356" t="s">
        <v>2909</v>
      </c>
      <c r="EA356" t="s">
        <v>613</v>
      </c>
      <c r="EG356" t="s">
        <v>615</v>
      </c>
    </row>
    <row r="357" spans="1:291" x14ac:dyDescent="0.25">
      <c r="A357" t="s">
        <v>7130</v>
      </c>
      <c r="B357" t="str">
        <f>"801542710316"</f>
        <v>801542710316</v>
      </c>
      <c r="C357" t="s">
        <v>7131</v>
      </c>
      <c r="D357" t="s">
        <v>4714</v>
      </c>
      <c r="E357" t="s">
        <v>413</v>
      </c>
      <c r="G357" t="str">
        <f>"86.5"</f>
        <v>86.5</v>
      </c>
      <c r="H357" t="str">
        <f>"34.5"</f>
        <v>34.5</v>
      </c>
      <c r="I357" t="str">
        <f>"28"</f>
        <v>28</v>
      </c>
      <c r="J357" t="str">
        <f>"110.23"</f>
        <v>110.23</v>
      </c>
      <c r="K357" t="s">
        <v>4733</v>
      </c>
      <c r="L357" t="s">
        <v>585</v>
      </c>
      <c r="N357" t="s">
        <v>371</v>
      </c>
      <c r="O357" t="s">
        <v>775</v>
      </c>
      <c r="T357" t="s">
        <v>373</v>
      </c>
      <c r="U357" t="s">
        <v>402</v>
      </c>
      <c r="V357" t="s">
        <v>7132</v>
      </c>
      <c r="W357" t="s">
        <v>7133</v>
      </c>
      <c r="X357" t="s">
        <v>7134</v>
      </c>
      <c r="Y357" t="s">
        <v>7135</v>
      </c>
      <c r="Z357" t="s">
        <v>7136</v>
      </c>
      <c r="AA357" t="s">
        <v>7137</v>
      </c>
      <c r="AB357" t="s">
        <v>7138</v>
      </c>
      <c r="AC357" t="s">
        <v>7139</v>
      </c>
      <c r="AD357" t="s">
        <v>7140</v>
      </c>
      <c r="AE357" t="s">
        <v>7141</v>
      </c>
      <c r="AF357" t="s">
        <v>7142</v>
      </c>
      <c r="BA357" t="str">
        <f>"2199"</f>
        <v>2199</v>
      </c>
      <c r="BB357" t="str">
        <f>"925"</f>
        <v>925</v>
      </c>
      <c r="BC357" t="s">
        <v>388</v>
      </c>
      <c r="BD357" t="str">
        <f t="shared" si="90"/>
        <v>1</v>
      </c>
      <c r="BE357" t="s">
        <v>389</v>
      </c>
      <c r="BF357" t="str">
        <f>"87.8"</f>
        <v>87.8</v>
      </c>
      <c r="BG357" t="str">
        <f>"35.83"</f>
        <v>35.83</v>
      </c>
      <c r="BH357" t="str">
        <f>"30.31"</f>
        <v>30.31</v>
      </c>
      <c r="BI357" t="str">
        <f>"158.73"</f>
        <v>158.73</v>
      </c>
      <c r="BY357" t="str">
        <f>"55.2"</f>
        <v>55.2</v>
      </c>
      <c r="BZ357" t="str">
        <f>"1.563"</f>
        <v>1.563</v>
      </c>
      <c r="CA357" t="s">
        <v>495</v>
      </c>
      <c r="CH357" t="s">
        <v>600</v>
      </c>
      <c r="CI357" t="s">
        <v>450</v>
      </c>
      <c r="CJ357" t="s">
        <v>7128</v>
      </c>
      <c r="CK357" t="s">
        <v>600</v>
      </c>
      <c r="CL357" t="s">
        <v>449</v>
      </c>
      <c r="CM357" t="s">
        <v>452</v>
      </c>
      <c r="CN357">
        <v>0</v>
      </c>
      <c r="CO357">
        <v>0</v>
      </c>
      <c r="CP357" t="s">
        <v>437</v>
      </c>
      <c r="CQ357" t="s">
        <v>631</v>
      </c>
      <c r="CU357" t="s">
        <v>7129</v>
      </c>
      <c r="CX357" t="s">
        <v>403</v>
      </c>
      <c r="CY357" t="s">
        <v>400</v>
      </c>
      <c r="CZ357">
        <v>0</v>
      </c>
      <c r="DD357">
        <v>25000</v>
      </c>
      <c r="DE357" t="s">
        <v>570</v>
      </c>
      <c r="DF357" t="s">
        <v>406</v>
      </c>
      <c r="DG357" t="s">
        <v>407</v>
      </c>
      <c r="DH357">
        <v>1</v>
      </c>
      <c r="DI357">
        <v>3</v>
      </c>
      <c r="DK357" t="s">
        <v>4730</v>
      </c>
      <c r="DL357">
        <v>0</v>
      </c>
      <c r="DM357" t="s">
        <v>410</v>
      </c>
      <c r="DN357" t="s">
        <v>2078</v>
      </c>
      <c r="DO357" t="s">
        <v>1489</v>
      </c>
      <c r="DP357" t="s">
        <v>638</v>
      </c>
      <c r="DT357" t="s">
        <v>1037</v>
      </c>
      <c r="DX357" t="s">
        <v>1852</v>
      </c>
      <c r="DY357" t="s">
        <v>1553</v>
      </c>
      <c r="DZ357" t="s">
        <v>2909</v>
      </c>
      <c r="EA357" t="s">
        <v>613</v>
      </c>
      <c r="EG357" t="s">
        <v>615</v>
      </c>
    </row>
    <row r="358" spans="1:291" x14ac:dyDescent="0.25">
      <c r="A358" t="s">
        <v>7143</v>
      </c>
      <c r="B358" t="str">
        <f>"801542030285"</f>
        <v>801542030285</v>
      </c>
      <c r="C358" t="s">
        <v>7144</v>
      </c>
      <c r="D358" t="s">
        <v>4714</v>
      </c>
      <c r="E358" t="s">
        <v>413</v>
      </c>
      <c r="G358" t="str">
        <f>"86.5"</f>
        <v>86.5</v>
      </c>
      <c r="H358" t="str">
        <f>"34.5"</f>
        <v>34.5</v>
      </c>
      <c r="I358" t="str">
        <f>"28"</f>
        <v>28</v>
      </c>
      <c r="J358" t="str">
        <f>"110.23"</f>
        <v>110.23</v>
      </c>
      <c r="K358" t="s">
        <v>4747</v>
      </c>
      <c r="L358" t="s">
        <v>4748</v>
      </c>
      <c r="N358" t="s">
        <v>416</v>
      </c>
      <c r="O358" t="s">
        <v>519</v>
      </c>
      <c r="T358" t="s">
        <v>373</v>
      </c>
      <c r="U358" t="s">
        <v>373</v>
      </c>
      <c r="V358" t="s">
        <v>7145</v>
      </c>
      <c r="W358" t="s">
        <v>7146</v>
      </c>
      <c r="X358" t="s">
        <v>7147</v>
      </c>
      <c r="Y358" t="s">
        <v>7148</v>
      </c>
      <c r="Z358" t="s">
        <v>7149</v>
      </c>
      <c r="AA358" t="s">
        <v>7150</v>
      </c>
      <c r="AB358" t="s">
        <v>7151</v>
      </c>
      <c r="AC358" t="s">
        <v>7152</v>
      </c>
      <c r="AD358" t="s">
        <v>7153</v>
      </c>
      <c r="AE358" t="s">
        <v>7154</v>
      </c>
      <c r="AF358" t="s">
        <v>7155</v>
      </c>
      <c r="AG358" t="s">
        <v>7156</v>
      </c>
      <c r="AH358" t="s">
        <v>7157</v>
      </c>
      <c r="BA358" t="str">
        <f>"4299"</f>
        <v>4299</v>
      </c>
      <c r="BB358" t="str">
        <f>"1810"</f>
        <v>1810</v>
      </c>
      <c r="BC358" t="s">
        <v>388</v>
      </c>
      <c r="BD358" t="str">
        <f t="shared" si="90"/>
        <v>1</v>
      </c>
      <c r="BE358" t="s">
        <v>389</v>
      </c>
      <c r="BF358" t="str">
        <f>"87.8"</f>
        <v>87.8</v>
      </c>
      <c r="BG358" t="str">
        <f>"35.83"</f>
        <v>35.83</v>
      </c>
      <c r="BH358" t="str">
        <f>"30.31"</f>
        <v>30.31</v>
      </c>
      <c r="BI358" t="str">
        <f>"158.73"</f>
        <v>158.73</v>
      </c>
      <c r="BY358" t="str">
        <f>"55.2"</f>
        <v>55.2</v>
      </c>
      <c r="BZ358" t="str">
        <f>"1.563"</f>
        <v>1.563</v>
      </c>
      <c r="CA358" t="s">
        <v>431</v>
      </c>
      <c r="CH358" t="s">
        <v>600</v>
      </c>
      <c r="CI358" t="s">
        <v>450</v>
      </c>
      <c r="CJ358" t="s">
        <v>7128</v>
      </c>
      <c r="CK358" t="s">
        <v>600</v>
      </c>
      <c r="CL358" t="s">
        <v>449</v>
      </c>
      <c r="CM358" t="s">
        <v>452</v>
      </c>
      <c r="CN358">
        <v>0</v>
      </c>
      <c r="CO358">
        <v>0</v>
      </c>
      <c r="CP358" t="s">
        <v>437</v>
      </c>
      <c r="CQ358" t="s">
        <v>438</v>
      </c>
      <c r="CU358" t="s">
        <v>7129</v>
      </c>
      <c r="CX358" t="s">
        <v>403</v>
      </c>
      <c r="CY358" t="s">
        <v>400</v>
      </c>
      <c r="CZ358">
        <v>0</v>
      </c>
      <c r="DD358">
        <v>0</v>
      </c>
      <c r="DE358" t="s">
        <v>570</v>
      </c>
      <c r="DF358" t="s">
        <v>406</v>
      </c>
      <c r="DG358" t="s">
        <v>407</v>
      </c>
      <c r="DH358">
        <v>1</v>
      </c>
      <c r="DI358">
        <v>3</v>
      </c>
      <c r="DK358" t="s">
        <v>4730</v>
      </c>
      <c r="DL358">
        <v>0</v>
      </c>
      <c r="DM358" t="s">
        <v>410</v>
      </c>
      <c r="DN358" t="s">
        <v>2078</v>
      </c>
      <c r="DO358" t="s">
        <v>1489</v>
      </c>
      <c r="DP358" t="s">
        <v>638</v>
      </c>
      <c r="DT358" t="s">
        <v>1037</v>
      </c>
      <c r="DX358" t="s">
        <v>1852</v>
      </c>
      <c r="DY358" t="s">
        <v>1553</v>
      </c>
      <c r="DZ358" t="s">
        <v>2909</v>
      </c>
      <c r="EA358" t="s">
        <v>613</v>
      </c>
      <c r="EG358" t="s">
        <v>615</v>
      </c>
    </row>
    <row r="359" spans="1:291" x14ac:dyDescent="0.25">
      <c r="A359" t="s">
        <v>7158</v>
      </c>
      <c r="B359" t="str">
        <f>"801542046699"</f>
        <v>801542046699</v>
      </c>
      <c r="C359" t="s">
        <v>7159</v>
      </c>
      <c r="D359" t="s">
        <v>4714</v>
      </c>
      <c r="E359" t="s">
        <v>413</v>
      </c>
      <c r="G359" t="str">
        <f>"86.5"</f>
        <v>86.5</v>
      </c>
      <c r="H359" t="str">
        <f>"34.5"</f>
        <v>34.5</v>
      </c>
      <c r="I359" t="str">
        <f>"28"</f>
        <v>28</v>
      </c>
      <c r="J359" t="str">
        <f>"110.23"</f>
        <v>110.23</v>
      </c>
      <c r="K359" t="s">
        <v>4763</v>
      </c>
      <c r="L359" t="s">
        <v>585</v>
      </c>
      <c r="N359" t="s">
        <v>371</v>
      </c>
      <c r="O359" t="s">
        <v>775</v>
      </c>
      <c r="T359" t="s">
        <v>402</v>
      </c>
      <c r="U359" t="s">
        <v>373</v>
      </c>
      <c r="V359" t="s">
        <v>7160</v>
      </c>
      <c r="W359" t="s">
        <v>7161</v>
      </c>
      <c r="X359" t="s">
        <v>7162</v>
      </c>
      <c r="Y359" t="s">
        <v>7163</v>
      </c>
      <c r="Z359" t="s">
        <v>7164</v>
      </c>
      <c r="AA359" t="s">
        <v>7165</v>
      </c>
      <c r="AB359" t="s">
        <v>7166</v>
      </c>
      <c r="AC359" t="s">
        <v>7167</v>
      </c>
      <c r="AD359" t="s">
        <v>7168</v>
      </c>
      <c r="AE359" t="s">
        <v>7169</v>
      </c>
      <c r="AF359" t="s">
        <v>7170</v>
      </c>
      <c r="AG359" t="s">
        <v>7171</v>
      </c>
      <c r="AH359" t="s">
        <v>7172</v>
      </c>
      <c r="BA359" t="str">
        <f>"2199"</f>
        <v>2199</v>
      </c>
      <c r="BB359" t="str">
        <f>"925"</f>
        <v>925</v>
      </c>
      <c r="BC359" t="s">
        <v>388</v>
      </c>
      <c r="BD359" t="str">
        <f t="shared" si="90"/>
        <v>1</v>
      </c>
      <c r="BE359" t="s">
        <v>389</v>
      </c>
      <c r="BF359" t="str">
        <f>"87.8"</f>
        <v>87.8</v>
      </c>
      <c r="BG359" t="str">
        <f>"35.83"</f>
        <v>35.83</v>
      </c>
      <c r="BH359" t="str">
        <f>"30.31"</f>
        <v>30.31</v>
      </c>
      <c r="BI359" t="str">
        <f>"158.73"</f>
        <v>158.73</v>
      </c>
      <c r="BY359" t="str">
        <f>"55.2"</f>
        <v>55.2</v>
      </c>
      <c r="BZ359" t="str">
        <f>"1.563"</f>
        <v>1.563</v>
      </c>
      <c r="CA359" t="s">
        <v>431</v>
      </c>
      <c r="CH359" t="s">
        <v>600</v>
      </c>
      <c r="CI359" t="s">
        <v>450</v>
      </c>
      <c r="CJ359" t="s">
        <v>7128</v>
      </c>
      <c r="CK359" t="s">
        <v>600</v>
      </c>
      <c r="CL359" t="s">
        <v>449</v>
      </c>
      <c r="CM359" t="s">
        <v>452</v>
      </c>
      <c r="CN359">
        <v>0</v>
      </c>
      <c r="CO359">
        <v>0</v>
      </c>
      <c r="CP359" t="s">
        <v>437</v>
      </c>
      <c r="CQ359" t="s">
        <v>399</v>
      </c>
      <c r="CU359" t="s">
        <v>7129</v>
      </c>
      <c r="CX359" t="s">
        <v>403</v>
      </c>
      <c r="CY359" t="s">
        <v>400</v>
      </c>
      <c r="CZ359">
        <v>0</v>
      </c>
      <c r="DD359">
        <v>100000</v>
      </c>
      <c r="DE359" t="s">
        <v>570</v>
      </c>
      <c r="DF359" t="s">
        <v>406</v>
      </c>
      <c r="DG359" t="s">
        <v>407</v>
      </c>
      <c r="DH359">
        <v>1</v>
      </c>
      <c r="DI359">
        <v>3</v>
      </c>
      <c r="DK359" t="s">
        <v>4730</v>
      </c>
      <c r="DL359">
        <v>0</v>
      </c>
      <c r="DM359" t="s">
        <v>410</v>
      </c>
      <c r="DN359" t="s">
        <v>2078</v>
      </c>
      <c r="DO359" t="s">
        <v>1489</v>
      </c>
      <c r="DP359" t="s">
        <v>638</v>
      </c>
      <c r="DT359" t="s">
        <v>1037</v>
      </c>
      <c r="DX359" t="s">
        <v>1852</v>
      </c>
      <c r="DY359" t="s">
        <v>1553</v>
      </c>
      <c r="DZ359" t="s">
        <v>2909</v>
      </c>
      <c r="EA359" t="s">
        <v>613</v>
      </c>
      <c r="EG359" t="s">
        <v>615</v>
      </c>
    </row>
    <row r="360" spans="1:291" x14ac:dyDescent="0.25">
      <c r="A360" t="s">
        <v>7173</v>
      </c>
      <c r="B360" t="str">
        <f>"801542024406"</f>
        <v>801542024406</v>
      </c>
      <c r="C360" t="s">
        <v>7174</v>
      </c>
      <c r="D360" t="s">
        <v>1276</v>
      </c>
      <c r="E360" t="s">
        <v>459</v>
      </c>
      <c r="G360" t="str">
        <f>"17"</f>
        <v>17</v>
      </c>
      <c r="H360" t="str">
        <f>"17"</f>
        <v>17</v>
      </c>
      <c r="I360" t="str">
        <f>"20"</f>
        <v>20</v>
      </c>
      <c r="J360" t="str">
        <f>"22.05"</f>
        <v>22.05</v>
      </c>
      <c r="K360" t="s">
        <v>7175</v>
      </c>
      <c r="L360" t="s">
        <v>7176</v>
      </c>
      <c r="N360" t="s">
        <v>775</v>
      </c>
      <c r="O360" t="s">
        <v>7177</v>
      </c>
      <c r="T360" t="s">
        <v>373</v>
      </c>
      <c r="U360" t="s">
        <v>373</v>
      </c>
      <c r="V360" t="s">
        <v>7178</v>
      </c>
      <c r="W360" t="s">
        <v>7179</v>
      </c>
      <c r="X360" t="s">
        <v>7180</v>
      </c>
      <c r="Y360" t="s">
        <v>7181</v>
      </c>
      <c r="Z360" t="s">
        <v>7182</v>
      </c>
      <c r="AA360" t="s">
        <v>7183</v>
      </c>
      <c r="AB360" t="s">
        <v>7184</v>
      </c>
      <c r="AC360" t="s">
        <v>7185</v>
      </c>
      <c r="BA360" t="str">
        <f>"399"</f>
        <v>399</v>
      </c>
      <c r="BB360" t="str">
        <f>"170"</f>
        <v>170</v>
      </c>
      <c r="BC360" t="s">
        <v>665</v>
      </c>
      <c r="BD360" t="str">
        <f t="shared" si="90"/>
        <v>1</v>
      </c>
      <c r="BE360" t="s">
        <v>389</v>
      </c>
      <c r="BF360" t="str">
        <f>"20.08"</f>
        <v>20.08</v>
      </c>
      <c r="BG360" t="str">
        <f>"19.49"</f>
        <v>19.49</v>
      </c>
      <c r="BH360" t="str">
        <f>"24.41"</f>
        <v>24.41</v>
      </c>
      <c r="BI360" t="str">
        <f>"28.66"</f>
        <v>28.66</v>
      </c>
      <c r="BY360" t="str">
        <f>"5.54"</f>
        <v>5.54</v>
      </c>
      <c r="BZ360" t="str">
        <f>"0.157"</f>
        <v>0.157</v>
      </c>
      <c r="CA360" t="s">
        <v>390</v>
      </c>
      <c r="CR360" t="s">
        <v>400</v>
      </c>
      <c r="CS360">
        <v>0</v>
      </c>
      <c r="CT360" t="s">
        <v>400</v>
      </c>
      <c r="CV360">
        <v>0</v>
      </c>
      <c r="CX360" t="s">
        <v>953</v>
      </c>
      <c r="CY360" t="s">
        <v>400</v>
      </c>
      <c r="DC360">
        <v>0</v>
      </c>
      <c r="DJ360" t="s">
        <v>471</v>
      </c>
      <c r="DK360" t="s">
        <v>7186</v>
      </c>
      <c r="DM360" t="s">
        <v>473</v>
      </c>
      <c r="DX360" t="s">
        <v>3315</v>
      </c>
      <c r="EI360" t="s">
        <v>676</v>
      </c>
      <c r="EJ360" t="s">
        <v>3315</v>
      </c>
      <c r="EK360" t="s">
        <v>676</v>
      </c>
      <c r="EL360" t="s">
        <v>7187</v>
      </c>
      <c r="EM360" t="s">
        <v>402</v>
      </c>
      <c r="EN360">
        <v>0</v>
      </c>
      <c r="EO360">
        <v>0</v>
      </c>
      <c r="EX360" t="s">
        <v>675</v>
      </c>
    </row>
    <row r="361" spans="1:291" x14ac:dyDescent="0.25">
      <c r="A361" t="s">
        <v>7188</v>
      </c>
      <c r="B361" t="str">
        <f>"801542025793"</f>
        <v>801542025793</v>
      </c>
      <c r="C361" t="s">
        <v>7189</v>
      </c>
      <c r="D361" t="s">
        <v>1276</v>
      </c>
      <c r="E361" t="s">
        <v>459</v>
      </c>
      <c r="G361" t="str">
        <f>"17"</f>
        <v>17</v>
      </c>
      <c r="H361" t="str">
        <f>"17"</f>
        <v>17</v>
      </c>
      <c r="I361" t="str">
        <f>"20"</f>
        <v>20</v>
      </c>
      <c r="J361" t="str">
        <f>"22.05"</f>
        <v>22.05</v>
      </c>
      <c r="K361" t="s">
        <v>6233</v>
      </c>
      <c r="L361" t="s">
        <v>7190</v>
      </c>
      <c r="N361" t="s">
        <v>775</v>
      </c>
      <c r="O361" t="s">
        <v>7177</v>
      </c>
      <c r="T361" t="s">
        <v>373</v>
      </c>
      <c r="U361" t="s">
        <v>373</v>
      </c>
      <c r="V361" t="s">
        <v>7191</v>
      </c>
      <c r="W361" t="s">
        <v>7192</v>
      </c>
      <c r="X361" t="s">
        <v>7193</v>
      </c>
      <c r="Y361" t="s">
        <v>7194</v>
      </c>
      <c r="Z361" t="s">
        <v>7195</v>
      </c>
      <c r="AA361" t="s">
        <v>7196</v>
      </c>
      <c r="AB361" t="s">
        <v>7197</v>
      </c>
      <c r="AC361" t="s">
        <v>7198</v>
      </c>
      <c r="AD361" t="s">
        <v>7199</v>
      </c>
      <c r="AE361" t="s">
        <v>7200</v>
      </c>
      <c r="AF361" t="s">
        <v>7201</v>
      </c>
      <c r="BA361" t="str">
        <f>"399"</f>
        <v>399</v>
      </c>
      <c r="BB361" t="str">
        <f>"170"</f>
        <v>170</v>
      </c>
      <c r="BC361" t="s">
        <v>665</v>
      </c>
      <c r="BD361" t="str">
        <f t="shared" si="90"/>
        <v>1</v>
      </c>
      <c r="BE361" t="s">
        <v>389</v>
      </c>
      <c r="BF361" t="str">
        <f>"20.08"</f>
        <v>20.08</v>
      </c>
      <c r="BG361" t="str">
        <f>"19.49"</f>
        <v>19.49</v>
      </c>
      <c r="BH361" t="str">
        <f>"24.41"</f>
        <v>24.41</v>
      </c>
      <c r="BI361" t="str">
        <f>"28.66"</f>
        <v>28.66</v>
      </c>
      <c r="BY361" t="str">
        <f>"5.54"</f>
        <v>5.54</v>
      </c>
      <c r="BZ361" t="str">
        <f>"0.157"</f>
        <v>0.157</v>
      </c>
      <c r="CA361" t="s">
        <v>495</v>
      </c>
      <c r="CR361" t="s">
        <v>400</v>
      </c>
      <c r="CS361">
        <v>0</v>
      </c>
      <c r="CT361" t="s">
        <v>400</v>
      </c>
      <c r="CV361">
        <v>0</v>
      </c>
      <c r="CX361" t="s">
        <v>953</v>
      </c>
      <c r="CY361" t="s">
        <v>400</v>
      </c>
      <c r="DC361">
        <v>0</v>
      </c>
      <c r="DJ361" t="s">
        <v>471</v>
      </c>
      <c r="DK361" t="s">
        <v>7186</v>
      </c>
      <c r="DM361" t="s">
        <v>473</v>
      </c>
      <c r="DX361" t="s">
        <v>3315</v>
      </c>
      <c r="EI361" t="s">
        <v>676</v>
      </c>
      <c r="EJ361" t="s">
        <v>3315</v>
      </c>
      <c r="EK361" t="s">
        <v>676</v>
      </c>
      <c r="EL361" t="s">
        <v>7187</v>
      </c>
      <c r="EM361" t="s">
        <v>402</v>
      </c>
      <c r="EN361">
        <v>0</v>
      </c>
      <c r="EO361">
        <v>0</v>
      </c>
      <c r="EX361" t="s">
        <v>675</v>
      </c>
    </row>
    <row r="362" spans="1:291" x14ac:dyDescent="0.25">
      <c r="A362" t="s">
        <v>7202</v>
      </c>
      <c r="B362" t="str">
        <f>"801542748432"</f>
        <v>801542748432</v>
      </c>
      <c r="C362" t="s">
        <v>7203</v>
      </c>
      <c r="D362" t="s">
        <v>7204</v>
      </c>
      <c r="E362" t="s">
        <v>964</v>
      </c>
      <c r="F362" t="s">
        <v>6640</v>
      </c>
      <c r="G362" t="str">
        <f>"40"</f>
        <v>40</v>
      </c>
      <c r="H362" t="str">
        <f>"18"</f>
        <v>18</v>
      </c>
      <c r="I362" t="str">
        <f>"90"</f>
        <v>90</v>
      </c>
      <c r="J362" t="str">
        <f>"236.5"</f>
        <v>236.5</v>
      </c>
      <c r="K362" t="s">
        <v>7205</v>
      </c>
      <c r="N362" t="s">
        <v>6889</v>
      </c>
      <c r="T362" t="s">
        <v>373</v>
      </c>
      <c r="U362" t="s">
        <v>373</v>
      </c>
      <c r="V362" t="s">
        <v>7206</v>
      </c>
      <c r="W362" t="s">
        <v>7207</v>
      </c>
      <c r="X362" t="s">
        <v>7208</v>
      </c>
      <c r="Y362" t="s">
        <v>7209</v>
      </c>
      <c r="Z362" t="s">
        <v>7210</v>
      </c>
      <c r="AA362" t="s">
        <v>7211</v>
      </c>
      <c r="AB362" t="s">
        <v>7212</v>
      </c>
      <c r="AC362" t="s">
        <v>7213</v>
      </c>
      <c r="AD362" t="s">
        <v>7214</v>
      </c>
      <c r="AE362" t="s">
        <v>7215</v>
      </c>
      <c r="AF362" t="s">
        <v>7216</v>
      </c>
      <c r="AG362" t="s">
        <v>7217</v>
      </c>
      <c r="AH362" t="s">
        <v>7218</v>
      </c>
      <c r="AI362" t="s">
        <v>7219</v>
      </c>
      <c r="AJ362" t="s">
        <v>7220</v>
      </c>
      <c r="AK362" t="s">
        <v>7221</v>
      </c>
      <c r="BA362" t="str">
        <f>"3199"</f>
        <v>3199</v>
      </c>
      <c r="BB362" t="str">
        <f>"1345"</f>
        <v>1345</v>
      </c>
      <c r="BC362" t="s">
        <v>6158</v>
      </c>
      <c r="BD362" t="str">
        <f t="shared" si="90"/>
        <v>1</v>
      </c>
      <c r="BE362" t="s">
        <v>389</v>
      </c>
      <c r="BF362" t="str">
        <f>"44.33"</f>
        <v>44.33</v>
      </c>
      <c r="BG362" t="str">
        <f>"21.73"</f>
        <v>21.73</v>
      </c>
      <c r="BH362" t="str">
        <f>"95.67"</f>
        <v>95.67</v>
      </c>
      <c r="BI362" t="str">
        <f>"287.7"</f>
        <v>287.7</v>
      </c>
      <c r="BY362" t="str">
        <f>"53.33"</f>
        <v>53.33</v>
      </c>
      <c r="BZ362" t="str">
        <f>"1.51"</f>
        <v>1.51</v>
      </c>
      <c r="CA362" t="s">
        <v>431</v>
      </c>
      <c r="CB362" t="s">
        <v>7222</v>
      </c>
      <c r="CC362" t="s">
        <v>956</v>
      </c>
      <c r="CD362" t="s">
        <v>7223</v>
      </c>
      <c r="CE362" t="s">
        <v>7224</v>
      </c>
      <c r="CF362" t="s">
        <v>7225</v>
      </c>
      <c r="CG362" t="s">
        <v>7223</v>
      </c>
      <c r="CR362" t="s">
        <v>400</v>
      </c>
      <c r="CS362">
        <v>0</v>
      </c>
      <c r="CT362" t="s">
        <v>400</v>
      </c>
      <c r="CV362">
        <v>4</v>
      </c>
      <c r="CW362" t="s">
        <v>402</v>
      </c>
      <c r="CX362" t="s">
        <v>1980</v>
      </c>
      <c r="CY362" t="s">
        <v>954</v>
      </c>
      <c r="DA362">
        <v>18.14</v>
      </c>
      <c r="DB362">
        <v>40</v>
      </c>
      <c r="DC362">
        <v>0</v>
      </c>
      <c r="DJ362" t="s">
        <v>982</v>
      </c>
      <c r="DK362" t="s">
        <v>7226</v>
      </c>
      <c r="DX362" t="s">
        <v>3079</v>
      </c>
      <c r="EM362" t="s">
        <v>402</v>
      </c>
      <c r="EN362">
        <v>5</v>
      </c>
      <c r="EZ362" t="s">
        <v>7227</v>
      </c>
      <c r="FA362" t="s">
        <v>3518</v>
      </c>
      <c r="FB362" t="s">
        <v>7228</v>
      </c>
      <c r="FF362">
        <v>0</v>
      </c>
      <c r="FH362" t="s">
        <v>959</v>
      </c>
      <c r="FI362">
        <v>2</v>
      </c>
      <c r="FJ362" t="s">
        <v>960</v>
      </c>
      <c r="FK362" t="s">
        <v>1611</v>
      </c>
      <c r="FL362">
        <v>0</v>
      </c>
      <c r="FM362" t="s">
        <v>402</v>
      </c>
      <c r="FN362" t="s">
        <v>6664</v>
      </c>
      <c r="FQ362">
        <v>0</v>
      </c>
      <c r="GB362" t="s">
        <v>7224</v>
      </c>
      <c r="GC362" t="s">
        <v>7229</v>
      </c>
      <c r="GD362" t="s">
        <v>7223</v>
      </c>
      <c r="GR362" t="s">
        <v>7224</v>
      </c>
      <c r="GS362" t="s">
        <v>7224</v>
      </c>
      <c r="GT362" t="s">
        <v>396</v>
      </c>
      <c r="GU362" t="s">
        <v>7229</v>
      </c>
      <c r="GV362" t="s">
        <v>7223</v>
      </c>
      <c r="GW362" t="s">
        <v>7223</v>
      </c>
      <c r="JY362" t="s">
        <v>7224</v>
      </c>
      <c r="JZ362" t="s">
        <v>7225</v>
      </c>
      <c r="KA362" t="s">
        <v>7223</v>
      </c>
    </row>
    <row r="363" spans="1:291" x14ac:dyDescent="0.25">
      <c r="A363" t="s">
        <v>7230</v>
      </c>
      <c r="B363" t="str">
        <f>"801542686338"</f>
        <v>801542686338</v>
      </c>
      <c r="C363" t="s">
        <v>7231</v>
      </c>
      <c r="D363" t="s">
        <v>1224</v>
      </c>
      <c r="E363" t="s">
        <v>404</v>
      </c>
      <c r="G363" t="str">
        <f>"48"</f>
        <v>48</v>
      </c>
      <c r="H363" t="str">
        <f>"8"</f>
        <v>8</v>
      </c>
      <c r="I363" t="str">
        <f>"3"</f>
        <v>3</v>
      </c>
      <c r="J363" t="str">
        <f>"15.43"</f>
        <v>15.43</v>
      </c>
      <c r="K363" t="s">
        <v>7232</v>
      </c>
      <c r="N363" t="s">
        <v>1227</v>
      </c>
      <c r="T363" t="s">
        <v>373</v>
      </c>
      <c r="U363" t="s">
        <v>373</v>
      </c>
      <c r="W363" t="s">
        <v>7233</v>
      </c>
      <c r="X363" t="s">
        <v>7234</v>
      </c>
      <c r="Y363" t="s">
        <v>7235</v>
      </c>
      <c r="Z363" t="s">
        <v>7236</v>
      </c>
      <c r="AA363" t="s">
        <v>7237</v>
      </c>
      <c r="AB363" t="s">
        <v>7238</v>
      </c>
      <c r="AC363" t="s">
        <v>7239</v>
      </c>
      <c r="AD363" t="s">
        <v>7240</v>
      </c>
      <c r="BA363" t="str">
        <f>"229"</f>
        <v>229</v>
      </c>
      <c r="BB363" t="str">
        <f>"100"</f>
        <v>100</v>
      </c>
      <c r="BC363" t="s">
        <v>1149</v>
      </c>
      <c r="BD363" t="str">
        <f t="shared" si="90"/>
        <v>1</v>
      </c>
      <c r="BE363" t="s">
        <v>389</v>
      </c>
      <c r="BF363" t="str">
        <f>"51.18"</f>
        <v>51.18</v>
      </c>
      <c r="BG363" t="str">
        <f>"11.02"</f>
        <v>11.02</v>
      </c>
      <c r="BH363" t="str">
        <f>"6.69"</f>
        <v>6.69</v>
      </c>
      <c r="BI363" t="str">
        <f>"22.05"</f>
        <v>22.05</v>
      </c>
      <c r="BY363" t="str">
        <f>"2.19"</f>
        <v>2.19</v>
      </c>
      <c r="BZ363" t="str">
        <f>"0.062"</f>
        <v>0.062</v>
      </c>
      <c r="CA363" t="s">
        <v>495</v>
      </c>
      <c r="DK363" t="s">
        <v>7241</v>
      </c>
      <c r="KB363" t="s">
        <v>448</v>
      </c>
      <c r="KC363" t="s">
        <v>1852</v>
      </c>
      <c r="KD363" t="s">
        <v>7242</v>
      </c>
      <c r="KE363">
        <v>1</v>
      </c>
    </row>
    <row r="364" spans="1:291" x14ac:dyDescent="0.25">
      <c r="A364" t="s">
        <v>7243</v>
      </c>
      <c r="B364" t="str">
        <f>"801542166113"</f>
        <v>801542166113</v>
      </c>
      <c r="C364" t="s">
        <v>7244</v>
      </c>
      <c r="D364" t="s">
        <v>7245</v>
      </c>
      <c r="E364" t="s">
        <v>7246</v>
      </c>
      <c r="F364" t="s">
        <v>7247</v>
      </c>
      <c r="G364" t="str">
        <f>"11.75"</f>
        <v>11.75</v>
      </c>
      <c r="H364" t="str">
        <f>"11.75"</f>
        <v>11.75</v>
      </c>
      <c r="I364" t="str">
        <f>"15.75"</f>
        <v>15.75</v>
      </c>
      <c r="J364" t="str">
        <f>"31.75"</f>
        <v>31.75</v>
      </c>
      <c r="K364" t="s">
        <v>7248</v>
      </c>
      <c r="N364" t="s">
        <v>7249</v>
      </c>
      <c r="T364" t="s">
        <v>373</v>
      </c>
      <c r="U364" t="s">
        <v>373</v>
      </c>
      <c r="V364" t="s">
        <v>7250</v>
      </c>
      <c r="W364" t="s">
        <v>7251</v>
      </c>
      <c r="X364" t="s">
        <v>7252</v>
      </c>
      <c r="Y364" t="s">
        <v>7253</v>
      </c>
      <c r="Z364" t="s">
        <v>7254</v>
      </c>
      <c r="AA364" t="s">
        <v>7255</v>
      </c>
      <c r="AB364" t="s">
        <v>7256</v>
      </c>
      <c r="AC364" t="s">
        <v>7257</v>
      </c>
      <c r="AD364" t="s">
        <v>7258</v>
      </c>
      <c r="AE364" t="s">
        <v>7259</v>
      </c>
      <c r="AF364" t="s">
        <v>7260</v>
      </c>
      <c r="AG364" t="s">
        <v>7261</v>
      </c>
      <c r="AH364" t="s">
        <v>7262</v>
      </c>
      <c r="AI364" t="s">
        <v>7263</v>
      </c>
      <c r="AJ364" t="s">
        <v>7264</v>
      </c>
      <c r="AK364" t="s">
        <v>7265</v>
      </c>
      <c r="AL364" t="s">
        <v>7266</v>
      </c>
      <c r="AM364" t="s">
        <v>7267</v>
      </c>
      <c r="AN364" t="s">
        <v>7268</v>
      </c>
      <c r="AO364" t="s">
        <v>7269</v>
      </c>
      <c r="AP364" t="s">
        <v>7270</v>
      </c>
      <c r="AQ364" t="s">
        <v>7271</v>
      </c>
      <c r="AR364" t="s">
        <v>7272</v>
      </c>
      <c r="AS364" t="s">
        <v>7273</v>
      </c>
      <c r="BA364" t="str">
        <f>"199"</f>
        <v>199</v>
      </c>
      <c r="BB364" t="str">
        <f>"85"</f>
        <v>85</v>
      </c>
      <c r="BC364" t="s">
        <v>6158</v>
      </c>
      <c r="BD364" t="str">
        <f t="shared" si="90"/>
        <v>1</v>
      </c>
      <c r="BE364" t="s">
        <v>389</v>
      </c>
      <c r="BF364" t="str">
        <f>"13.78"</f>
        <v>13.78</v>
      </c>
      <c r="BG364" t="str">
        <f>"13.78"</f>
        <v>13.78</v>
      </c>
      <c r="BH364" t="str">
        <f>"18.7"</f>
        <v>18.7</v>
      </c>
      <c r="BI364" t="str">
        <f>"53.57"</f>
        <v>53.57</v>
      </c>
      <c r="BY364" t="str">
        <f>"2.05"</f>
        <v>2.05</v>
      </c>
      <c r="BZ364" t="str">
        <f>"0.058"</f>
        <v>0.058</v>
      </c>
      <c r="CA364" t="s">
        <v>431</v>
      </c>
      <c r="CN364">
        <v>0</v>
      </c>
      <c r="CO364">
        <v>0</v>
      </c>
      <c r="CP364" t="s">
        <v>398</v>
      </c>
      <c r="CR364" t="s">
        <v>400</v>
      </c>
      <c r="CS364">
        <v>0</v>
      </c>
      <c r="CT364" t="s">
        <v>400</v>
      </c>
      <c r="CV364">
        <v>0</v>
      </c>
      <c r="CY364" t="s">
        <v>400</v>
      </c>
      <c r="CZ364">
        <v>0</v>
      </c>
      <c r="DA364">
        <v>0</v>
      </c>
      <c r="DB364">
        <v>0</v>
      </c>
      <c r="DC364">
        <v>0</v>
      </c>
      <c r="DE364" t="s">
        <v>405</v>
      </c>
      <c r="DH364">
        <v>0</v>
      </c>
      <c r="DI364">
        <v>1</v>
      </c>
      <c r="DJ364" t="s">
        <v>1132</v>
      </c>
      <c r="DK364" t="s">
        <v>7274</v>
      </c>
      <c r="DL364">
        <v>0</v>
      </c>
      <c r="DM364" t="s">
        <v>538</v>
      </c>
      <c r="EI364" t="s">
        <v>1512</v>
      </c>
      <c r="EJ364" t="s">
        <v>1055</v>
      </c>
      <c r="EK364" t="s">
        <v>1512</v>
      </c>
    </row>
    <row r="365" spans="1:291" x14ac:dyDescent="0.25">
      <c r="A365" t="s">
        <v>7275</v>
      </c>
      <c r="B365" t="str">
        <f>"801542652104"</f>
        <v>801542652104</v>
      </c>
      <c r="C365" t="s">
        <v>7276</v>
      </c>
      <c r="D365" t="s">
        <v>583</v>
      </c>
      <c r="E365" t="s">
        <v>413</v>
      </c>
      <c r="G365" t="str">
        <f>"74"</f>
        <v>74</v>
      </c>
      <c r="H365" t="str">
        <f>"34"</f>
        <v>34</v>
      </c>
      <c r="I365" t="str">
        <f>"32.5"</f>
        <v>32.5</v>
      </c>
      <c r="J365" t="str">
        <f>"99.21"</f>
        <v>99.21</v>
      </c>
      <c r="K365" t="s">
        <v>2268</v>
      </c>
      <c r="L365" t="s">
        <v>7277</v>
      </c>
      <c r="N365" t="s">
        <v>1170</v>
      </c>
      <c r="O365" t="s">
        <v>2269</v>
      </c>
      <c r="P365" t="s">
        <v>555</v>
      </c>
      <c r="T365" t="s">
        <v>373</v>
      </c>
      <c r="U365" t="s">
        <v>402</v>
      </c>
      <c r="V365" t="s">
        <v>7278</v>
      </c>
      <c r="W365" t="s">
        <v>7279</v>
      </c>
      <c r="X365" t="s">
        <v>7280</v>
      </c>
      <c r="Y365" t="s">
        <v>7281</v>
      </c>
      <c r="Z365" t="s">
        <v>7282</v>
      </c>
      <c r="AA365" t="s">
        <v>7283</v>
      </c>
      <c r="AB365" t="s">
        <v>7284</v>
      </c>
      <c r="AC365" t="s">
        <v>7285</v>
      </c>
      <c r="AD365" t="s">
        <v>7286</v>
      </c>
      <c r="AE365" t="s">
        <v>7287</v>
      </c>
      <c r="AF365" t="s">
        <v>7288</v>
      </c>
      <c r="AG365" t="s">
        <v>7289</v>
      </c>
      <c r="AH365" t="s">
        <v>7290</v>
      </c>
      <c r="AI365" t="s">
        <v>7291</v>
      </c>
      <c r="BA365" t="str">
        <f>"2399"</f>
        <v>2399</v>
      </c>
      <c r="BB365" t="str">
        <f>"1010"</f>
        <v>1010</v>
      </c>
      <c r="BC365" t="s">
        <v>388</v>
      </c>
      <c r="BD365" t="str">
        <f t="shared" si="90"/>
        <v>1</v>
      </c>
      <c r="BE365" t="s">
        <v>739</v>
      </c>
      <c r="BF365" t="str">
        <f>"75.2"</f>
        <v>75.2</v>
      </c>
      <c r="BG365" t="str">
        <f>"35.43"</f>
        <v>35.43</v>
      </c>
      <c r="BH365" t="str">
        <f>"31.5"</f>
        <v>31.5</v>
      </c>
      <c r="BI365" t="str">
        <f>"139.77"</f>
        <v>139.77</v>
      </c>
      <c r="BY365" t="str">
        <f>"44.92"</f>
        <v>44.92</v>
      </c>
      <c r="BZ365" t="str">
        <f>"1.272"</f>
        <v>1.272</v>
      </c>
      <c r="CA365" t="s">
        <v>495</v>
      </c>
      <c r="CH365" t="s">
        <v>451</v>
      </c>
      <c r="CI365" t="s">
        <v>448</v>
      </c>
      <c r="CJ365" t="s">
        <v>636</v>
      </c>
      <c r="CK365" t="s">
        <v>1151</v>
      </c>
      <c r="CL365" t="s">
        <v>435</v>
      </c>
      <c r="CM365" t="s">
        <v>7292</v>
      </c>
      <c r="CN365">
        <v>0</v>
      </c>
      <c r="CO365">
        <v>2</v>
      </c>
      <c r="CP365" t="s">
        <v>437</v>
      </c>
      <c r="CQ365" t="s">
        <v>631</v>
      </c>
      <c r="CU365" t="s">
        <v>641</v>
      </c>
      <c r="CX365" t="s">
        <v>403</v>
      </c>
      <c r="CY365" t="s">
        <v>400</v>
      </c>
      <c r="CZ365">
        <v>0</v>
      </c>
      <c r="DD365">
        <v>25000</v>
      </c>
      <c r="DE365" t="s">
        <v>439</v>
      </c>
      <c r="DF365" t="s">
        <v>406</v>
      </c>
      <c r="DG365" t="s">
        <v>407</v>
      </c>
      <c r="DH365">
        <v>2</v>
      </c>
      <c r="DI365">
        <v>3</v>
      </c>
      <c r="DK365" t="s">
        <v>7293</v>
      </c>
      <c r="DL365">
        <v>0</v>
      </c>
      <c r="DM365" t="s">
        <v>410</v>
      </c>
      <c r="DN365" t="s">
        <v>2083</v>
      </c>
      <c r="DO365" t="s">
        <v>1489</v>
      </c>
      <c r="DP365" t="s">
        <v>609</v>
      </c>
      <c r="DT365" t="s">
        <v>1156</v>
      </c>
      <c r="DU365" t="s">
        <v>797</v>
      </c>
      <c r="DV365" t="s">
        <v>474</v>
      </c>
      <c r="DW365" t="s">
        <v>789</v>
      </c>
      <c r="DX365" t="s">
        <v>610</v>
      </c>
      <c r="DY365" t="s">
        <v>855</v>
      </c>
      <c r="DZ365" t="s">
        <v>3634</v>
      </c>
      <c r="EA365" t="s">
        <v>1039</v>
      </c>
      <c r="ED365" t="s">
        <v>406</v>
      </c>
      <c r="EE365" t="s">
        <v>407</v>
      </c>
      <c r="EF365" t="s">
        <v>1190</v>
      </c>
      <c r="EG365" t="s">
        <v>641</v>
      </c>
      <c r="EP365" t="s">
        <v>7292</v>
      </c>
      <c r="EQ365" t="s">
        <v>7292</v>
      </c>
    </row>
    <row r="366" spans="1:291" x14ac:dyDescent="0.25">
      <c r="A366" t="s">
        <v>7294</v>
      </c>
      <c r="B366" t="str">
        <f>"801542716813"</f>
        <v>801542716813</v>
      </c>
      <c r="C366" t="s">
        <v>7295</v>
      </c>
      <c r="D366" t="s">
        <v>583</v>
      </c>
      <c r="E366" t="s">
        <v>413</v>
      </c>
      <c r="G366" t="str">
        <f>"74"</f>
        <v>74</v>
      </c>
      <c r="H366" t="str">
        <f>"34"</f>
        <v>34</v>
      </c>
      <c r="I366" t="str">
        <f>"32.5"</f>
        <v>32.5</v>
      </c>
      <c r="J366" t="str">
        <f>"99.21"</f>
        <v>99.21</v>
      </c>
      <c r="K366" t="s">
        <v>7296</v>
      </c>
      <c r="L366" t="s">
        <v>7297</v>
      </c>
      <c r="N366" t="s">
        <v>416</v>
      </c>
      <c r="O366" t="s">
        <v>555</v>
      </c>
      <c r="T366" t="s">
        <v>373</v>
      </c>
      <c r="U366" t="s">
        <v>373</v>
      </c>
      <c r="V366" t="s">
        <v>7298</v>
      </c>
      <c r="W366" t="s">
        <v>7299</v>
      </c>
      <c r="X366" t="s">
        <v>7300</v>
      </c>
      <c r="Y366" t="s">
        <v>7301</v>
      </c>
      <c r="Z366" t="s">
        <v>7302</v>
      </c>
      <c r="AA366" t="s">
        <v>7303</v>
      </c>
      <c r="AB366" t="s">
        <v>7304</v>
      </c>
      <c r="AC366" t="s">
        <v>7305</v>
      </c>
      <c r="AD366" t="s">
        <v>7306</v>
      </c>
      <c r="AE366" t="s">
        <v>7307</v>
      </c>
      <c r="AF366" t="s">
        <v>7308</v>
      </c>
      <c r="AG366" t="s">
        <v>7309</v>
      </c>
      <c r="AH366" t="s">
        <v>7310</v>
      </c>
      <c r="AI366" t="s">
        <v>7311</v>
      </c>
      <c r="BA366" t="str">
        <f>"3799"</f>
        <v>3799</v>
      </c>
      <c r="BB366" t="str">
        <f>"1600"</f>
        <v>1600</v>
      </c>
      <c r="BC366" t="s">
        <v>388</v>
      </c>
      <c r="BD366" t="str">
        <f t="shared" si="90"/>
        <v>1</v>
      </c>
      <c r="BE366" t="s">
        <v>1849</v>
      </c>
      <c r="BF366" t="str">
        <f>"75.2"</f>
        <v>75.2</v>
      </c>
      <c r="BG366" t="str">
        <f>"35.43"</f>
        <v>35.43</v>
      </c>
      <c r="BH366" t="str">
        <f>"31.5"</f>
        <v>31.5</v>
      </c>
      <c r="BI366" t="str">
        <f>"139.77"</f>
        <v>139.77</v>
      </c>
      <c r="BY366" t="str">
        <f>"44.92"</f>
        <v>44.92</v>
      </c>
      <c r="BZ366" t="str">
        <f>"1.272"</f>
        <v>1.272</v>
      </c>
      <c r="CA366" t="s">
        <v>495</v>
      </c>
      <c r="CH366" t="s">
        <v>451</v>
      </c>
      <c r="CI366" t="s">
        <v>448</v>
      </c>
      <c r="CJ366" t="s">
        <v>636</v>
      </c>
      <c r="CK366" t="s">
        <v>1151</v>
      </c>
      <c r="CL366" t="s">
        <v>435</v>
      </c>
      <c r="CM366" t="s">
        <v>7292</v>
      </c>
      <c r="CN366">
        <v>0</v>
      </c>
      <c r="CO366">
        <v>2</v>
      </c>
      <c r="CP366" t="s">
        <v>437</v>
      </c>
      <c r="CQ366" t="s">
        <v>438</v>
      </c>
      <c r="CU366" t="s">
        <v>641</v>
      </c>
      <c r="CX366" t="s">
        <v>403</v>
      </c>
      <c r="CY366" t="s">
        <v>400</v>
      </c>
      <c r="CZ366">
        <v>0</v>
      </c>
      <c r="DD366">
        <v>0</v>
      </c>
      <c r="DE366" t="s">
        <v>439</v>
      </c>
      <c r="DF366" t="s">
        <v>406</v>
      </c>
      <c r="DG366" t="s">
        <v>407</v>
      </c>
      <c r="DH366">
        <v>2</v>
      </c>
      <c r="DI366">
        <v>3</v>
      </c>
      <c r="DK366" t="s">
        <v>7293</v>
      </c>
      <c r="DL366">
        <v>0</v>
      </c>
      <c r="DM366" t="s">
        <v>410</v>
      </c>
      <c r="DN366" t="s">
        <v>2083</v>
      </c>
      <c r="DO366" t="s">
        <v>1489</v>
      </c>
      <c r="DP366" t="s">
        <v>609</v>
      </c>
      <c r="DT366" t="s">
        <v>1156</v>
      </c>
      <c r="DU366" t="s">
        <v>797</v>
      </c>
      <c r="DV366" t="s">
        <v>474</v>
      </c>
      <c r="DW366" t="s">
        <v>789</v>
      </c>
      <c r="DX366" t="s">
        <v>610</v>
      </c>
      <c r="DY366" t="s">
        <v>855</v>
      </c>
      <c r="DZ366" t="s">
        <v>3634</v>
      </c>
      <c r="EA366" t="s">
        <v>1039</v>
      </c>
      <c r="ED366" t="s">
        <v>406</v>
      </c>
      <c r="EE366" t="s">
        <v>407</v>
      </c>
      <c r="EF366" t="s">
        <v>1190</v>
      </c>
      <c r="EG366" t="s">
        <v>641</v>
      </c>
      <c r="EP366" t="s">
        <v>7292</v>
      </c>
      <c r="EQ366" t="s">
        <v>7292</v>
      </c>
    </row>
    <row r="367" spans="1:291" x14ac:dyDescent="0.25">
      <c r="A367" t="s">
        <v>7312</v>
      </c>
      <c r="B367" t="str">
        <f>"801542736668"</f>
        <v>801542736668</v>
      </c>
      <c r="C367" t="s">
        <v>7313</v>
      </c>
      <c r="D367" t="s">
        <v>583</v>
      </c>
      <c r="E367" t="s">
        <v>2244</v>
      </c>
      <c r="G367" t="str">
        <f>"77"</f>
        <v>77</v>
      </c>
      <c r="H367" t="str">
        <f>"34"</f>
        <v>34</v>
      </c>
      <c r="I367" t="str">
        <f>"27"</f>
        <v>27</v>
      </c>
      <c r="J367" t="str">
        <f>"88.18"</f>
        <v>88.18</v>
      </c>
      <c r="K367" t="s">
        <v>7314</v>
      </c>
      <c r="L367" t="s">
        <v>1875</v>
      </c>
      <c r="N367" t="s">
        <v>7315</v>
      </c>
      <c r="O367" t="s">
        <v>7316</v>
      </c>
      <c r="P367" t="s">
        <v>1876</v>
      </c>
      <c r="T367" t="s">
        <v>373</v>
      </c>
      <c r="U367" t="s">
        <v>402</v>
      </c>
      <c r="V367" t="s">
        <v>7317</v>
      </c>
      <c r="W367" t="s">
        <v>7318</v>
      </c>
      <c r="X367" t="s">
        <v>7319</v>
      </c>
      <c r="Y367" t="s">
        <v>7320</v>
      </c>
      <c r="Z367" t="s">
        <v>7321</v>
      </c>
      <c r="AA367" t="s">
        <v>7322</v>
      </c>
      <c r="AB367" t="s">
        <v>7323</v>
      </c>
      <c r="AC367" t="s">
        <v>7324</v>
      </c>
      <c r="AD367" t="s">
        <v>7325</v>
      </c>
      <c r="AE367" t="s">
        <v>7326</v>
      </c>
      <c r="AF367" t="s">
        <v>7327</v>
      </c>
      <c r="AG367" t="s">
        <v>7328</v>
      </c>
      <c r="AH367" t="s">
        <v>7329</v>
      </c>
      <c r="AI367" t="s">
        <v>7330</v>
      </c>
      <c r="AJ367" t="s">
        <v>7331</v>
      </c>
      <c r="AK367" t="s">
        <v>7332</v>
      </c>
      <c r="BA367" t="str">
        <f>"1999"</f>
        <v>1999</v>
      </c>
      <c r="BB367" t="str">
        <f>"840"</f>
        <v>840</v>
      </c>
      <c r="BC367" t="s">
        <v>388</v>
      </c>
      <c r="BD367" t="str">
        <f t="shared" si="90"/>
        <v>1</v>
      </c>
      <c r="BE367" t="s">
        <v>389</v>
      </c>
      <c r="BF367" t="str">
        <f>"77.17"</f>
        <v>77.17</v>
      </c>
      <c r="BG367" t="str">
        <f>"33.86"</f>
        <v>33.86</v>
      </c>
      <c r="BH367" t="str">
        <f>"29.13"</f>
        <v>29.13</v>
      </c>
      <c r="BI367" t="str">
        <f>"127.43"</f>
        <v>127.43</v>
      </c>
      <c r="BY367" t="str">
        <f>"44.04"</f>
        <v>44.04</v>
      </c>
      <c r="BZ367" t="str">
        <f>"1.247"</f>
        <v>1.247</v>
      </c>
      <c r="CA367" t="s">
        <v>495</v>
      </c>
      <c r="CH367" t="s">
        <v>1553</v>
      </c>
      <c r="CI367" t="s">
        <v>797</v>
      </c>
      <c r="CJ367" t="s">
        <v>2926</v>
      </c>
      <c r="CK367" t="s">
        <v>1553</v>
      </c>
      <c r="CL367" t="s">
        <v>396</v>
      </c>
      <c r="CN367">
        <v>0</v>
      </c>
      <c r="CO367">
        <v>0</v>
      </c>
      <c r="CP367" t="s">
        <v>437</v>
      </c>
      <c r="CQ367" t="s">
        <v>631</v>
      </c>
      <c r="CX367" t="s">
        <v>403</v>
      </c>
      <c r="CY367" t="s">
        <v>400</v>
      </c>
      <c r="CZ367">
        <v>0</v>
      </c>
      <c r="DD367">
        <v>25000</v>
      </c>
      <c r="DE367" t="s">
        <v>439</v>
      </c>
      <c r="DF367" t="s">
        <v>2640</v>
      </c>
      <c r="DH367">
        <v>1</v>
      </c>
      <c r="DI367">
        <v>3</v>
      </c>
      <c r="DK367" t="s">
        <v>7333</v>
      </c>
      <c r="DL367">
        <v>0</v>
      </c>
      <c r="DM367" t="s">
        <v>410</v>
      </c>
      <c r="DN367" t="s">
        <v>451</v>
      </c>
      <c r="DO367" t="s">
        <v>1037</v>
      </c>
      <c r="DP367" t="s">
        <v>609</v>
      </c>
      <c r="DT367" t="s">
        <v>450</v>
      </c>
      <c r="DX367" t="s">
        <v>448</v>
      </c>
      <c r="DY367" t="s">
        <v>2083</v>
      </c>
      <c r="DZ367" t="s">
        <v>980</v>
      </c>
      <c r="EA367" t="s">
        <v>1037</v>
      </c>
      <c r="EG367" t="s">
        <v>1556</v>
      </c>
      <c r="EP367" t="s">
        <v>1038</v>
      </c>
      <c r="EQ367" t="s">
        <v>1162</v>
      </c>
    </row>
    <row r="368" spans="1:291" x14ac:dyDescent="0.25">
      <c r="A368" t="s">
        <v>7334</v>
      </c>
      <c r="B368" t="str">
        <f>"801542770945"</f>
        <v>801542770945</v>
      </c>
      <c r="C368" t="s">
        <v>7313</v>
      </c>
      <c r="D368" t="s">
        <v>583</v>
      </c>
      <c r="E368" t="s">
        <v>2244</v>
      </c>
      <c r="G368" t="str">
        <f>"77"</f>
        <v>77</v>
      </c>
      <c r="H368" t="str">
        <f>"34"</f>
        <v>34</v>
      </c>
      <c r="I368" t="str">
        <f>"27"</f>
        <v>27</v>
      </c>
      <c r="J368" t="str">
        <f>"88.18"</f>
        <v>88.18</v>
      </c>
      <c r="K368" t="s">
        <v>7314</v>
      </c>
      <c r="L368" t="s">
        <v>1875</v>
      </c>
      <c r="N368" t="s">
        <v>7315</v>
      </c>
      <c r="O368" t="s">
        <v>7316</v>
      </c>
      <c r="P368" t="s">
        <v>1876</v>
      </c>
      <c r="T368" t="s">
        <v>373</v>
      </c>
      <c r="U368" t="s">
        <v>402</v>
      </c>
      <c r="V368" t="s">
        <v>7317</v>
      </c>
      <c r="W368" t="s">
        <v>7335</v>
      </c>
      <c r="X368" t="s">
        <v>7336</v>
      </c>
      <c r="Y368" t="s">
        <v>7337</v>
      </c>
      <c r="Z368" t="s">
        <v>7338</v>
      </c>
      <c r="AA368" t="s">
        <v>7339</v>
      </c>
      <c r="AB368" t="s">
        <v>7340</v>
      </c>
      <c r="AC368" t="s">
        <v>7341</v>
      </c>
      <c r="AD368" t="s">
        <v>7342</v>
      </c>
      <c r="AE368" t="s">
        <v>7343</v>
      </c>
      <c r="AF368" t="s">
        <v>7344</v>
      </c>
      <c r="AG368" t="s">
        <v>7345</v>
      </c>
      <c r="AH368" t="s">
        <v>7346</v>
      </c>
      <c r="BA368" t="str">
        <f>"1999"</f>
        <v>1999</v>
      </c>
      <c r="BB368" t="str">
        <f>"840"</f>
        <v>840</v>
      </c>
      <c r="BC368" t="s">
        <v>388</v>
      </c>
      <c r="BD368" t="str">
        <f t="shared" si="90"/>
        <v>1</v>
      </c>
      <c r="BE368" t="s">
        <v>389</v>
      </c>
      <c r="BF368" t="str">
        <f>"77.17"</f>
        <v>77.17</v>
      </c>
      <c r="BG368" t="str">
        <f>"33.86"</f>
        <v>33.86</v>
      </c>
      <c r="BH368" t="str">
        <f>"29.13"</f>
        <v>29.13</v>
      </c>
      <c r="BI368" t="str">
        <f>"127.43"</f>
        <v>127.43</v>
      </c>
      <c r="BY368" t="str">
        <f>"44.04"</f>
        <v>44.04</v>
      </c>
      <c r="BZ368" t="str">
        <f>"1.247"</f>
        <v>1.247</v>
      </c>
      <c r="CA368" t="s">
        <v>495</v>
      </c>
      <c r="CH368" t="s">
        <v>1553</v>
      </c>
      <c r="CI368" t="s">
        <v>797</v>
      </c>
      <c r="CJ368" t="s">
        <v>2926</v>
      </c>
      <c r="CK368" t="s">
        <v>1553</v>
      </c>
      <c r="CL368" t="s">
        <v>396</v>
      </c>
      <c r="CN368">
        <v>0</v>
      </c>
      <c r="CO368">
        <v>0</v>
      </c>
      <c r="CP368" t="s">
        <v>437</v>
      </c>
      <c r="CQ368" t="s">
        <v>631</v>
      </c>
      <c r="CX368" t="s">
        <v>403</v>
      </c>
      <c r="CY368" t="s">
        <v>400</v>
      </c>
      <c r="CZ368">
        <v>0</v>
      </c>
      <c r="DD368">
        <v>25000</v>
      </c>
      <c r="DE368" t="s">
        <v>439</v>
      </c>
      <c r="DF368" t="s">
        <v>2640</v>
      </c>
      <c r="DH368">
        <v>1</v>
      </c>
      <c r="DI368">
        <v>1</v>
      </c>
      <c r="DK368" t="s">
        <v>7333</v>
      </c>
      <c r="DL368">
        <v>0</v>
      </c>
      <c r="DM368" t="s">
        <v>538</v>
      </c>
      <c r="DN368" t="s">
        <v>451</v>
      </c>
      <c r="DO368" t="s">
        <v>1037</v>
      </c>
      <c r="DP368" t="s">
        <v>609</v>
      </c>
      <c r="DT368" t="s">
        <v>450</v>
      </c>
      <c r="DX368" t="s">
        <v>448</v>
      </c>
      <c r="DY368" t="s">
        <v>2083</v>
      </c>
      <c r="DZ368" t="s">
        <v>980</v>
      </c>
      <c r="EA368" t="s">
        <v>1037</v>
      </c>
      <c r="EG368" t="s">
        <v>1556</v>
      </c>
      <c r="EP368" t="s">
        <v>1038</v>
      </c>
      <c r="EQ368" t="s">
        <v>1162</v>
      </c>
    </row>
    <row r="369" spans="1:251" x14ac:dyDescent="0.25">
      <c r="A369" t="s">
        <v>7347</v>
      </c>
      <c r="B369" t="str">
        <f>"801542723354"</f>
        <v>801542723354</v>
      </c>
      <c r="C369" t="s">
        <v>7348</v>
      </c>
      <c r="D369" t="s">
        <v>7349</v>
      </c>
      <c r="E369" t="s">
        <v>459</v>
      </c>
      <c r="G369" t="str">
        <f>"9.75"</f>
        <v>9.75</v>
      </c>
      <c r="H369" t="str">
        <f>"9.75"</f>
        <v>9.75</v>
      </c>
      <c r="I369" t="str">
        <f>"20.75"</f>
        <v>20.75</v>
      </c>
      <c r="J369" t="str">
        <f>"7.72"</f>
        <v>7.72</v>
      </c>
      <c r="K369" t="s">
        <v>7350</v>
      </c>
      <c r="L369" t="s">
        <v>7351</v>
      </c>
      <c r="N369" t="s">
        <v>7352</v>
      </c>
      <c r="O369" t="s">
        <v>1876</v>
      </c>
      <c r="T369" t="s">
        <v>373</v>
      </c>
      <c r="U369" t="s">
        <v>373</v>
      </c>
      <c r="W369" t="s">
        <v>7353</v>
      </c>
      <c r="X369" t="s">
        <v>7354</v>
      </c>
      <c r="Y369" t="s">
        <v>7355</v>
      </c>
      <c r="Z369" t="s">
        <v>7356</v>
      </c>
      <c r="AA369" t="s">
        <v>7357</v>
      </c>
      <c r="AB369" t="s">
        <v>7358</v>
      </c>
      <c r="AC369" t="s">
        <v>7359</v>
      </c>
      <c r="AD369" t="s">
        <v>7360</v>
      </c>
      <c r="AE369" t="s">
        <v>7361</v>
      </c>
      <c r="BA369" t="str">
        <f>"229"</f>
        <v>229</v>
      </c>
      <c r="BB369" t="str">
        <f>"100"</f>
        <v>100</v>
      </c>
      <c r="BC369" t="s">
        <v>6158</v>
      </c>
      <c r="BD369" t="str">
        <f t="shared" si="90"/>
        <v>1</v>
      </c>
      <c r="BE369" t="s">
        <v>389</v>
      </c>
      <c r="BF369" t="str">
        <f>"11.61"</f>
        <v>11.61</v>
      </c>
      <c r="BG369" t="str">
        <f>"11.61"</f>
        <v>11.61</v>
      </c>
      <c r="BH369" t="str">
        <f>"24.21"</f>
        <v>24.21</v>
      </c>
      <c r="BI369" t="str">
        <f>"12.68"</f>
        <v>12.68</v>
      </c>
      <c r="BY369" t="str">
        <f>"1.91"</f>
        <v>1.91</v>
      </c>
      <c r="BZ369" t="str">
        <f>"0.054"</f>
        <v>0.054</v>
      </c>
      <c r="CA369" t="s">
        <v>495</v>
      </c>
      <c r="CR369" t="s">
        <v>400</v>
      </c>
      <c r="CS369">
        <v>0</v>
      </c>
      <c r="CT369" t="s">
        <v>400</v>
      </c>
      <c r="CV369">
        <v>0</v>
      </c>
      <c r="CY369" t="s">
        <v>400</v>
      </c>
      <c r="DC369">
        <v>0</v>
      </c>
      <c r="DJ369" t="s">
        <v>471</v>
      </c>
      <c r="DK369" t="s">
        <v>7362</v>
      </c>
      <c r="DM369" t="s">
        <v>473</v>
      </c>
      <c r="DX369" t="s">
        <v>2082</v>
      </c>
      <c r="EI369" t="s">
        <v>6816</v>
      </c>
      <c r="EJ369" t="s">
        <v>7363</v>
      </c>
      <c r="EK369" t="s">
        <v>6816</v>
      </c>
      <c r="EL369" t="s">
        <v>5144</v>
      </c>
      <c r="EN369">
        <v>0</v>
      </c>
      <c r="EO369">
        <v>0</v>
      </c>
      <c r="EX369" t="s">
        <v>1292</v>
      </c>
    </row>
    <row r="370" spans="1:251" x14ac:dyDescent="0.25">
      <c r="A370" t="s">
        <v>7364</v>
      </c>
      <c r="B370" t="str">
        <f>"801542761011"</f>
        <v>801542761011</v>
      </c>
      <c r="C370" t="s">
        <v>7365</v>
      </c>
      <c r="D370" t="s">
        <v>7349</v>
      </c>
      <c r="E370" t="s">
        <v>459</v>
      </c>
      <c r="G370" t="str">
        <f>"9.75"</f>
        <v>9.75</v>
      </c>
      <c r="H370" t="str">
        <f>"9.75"</f>
        <v>9.75</v>
      </c>
      <c r="I370" t="str">
        <f>"20.75"</f>
        <v>20.75</v>
      </c>
      <c r="J370" t="str">
        <f>"7.72"</f>
        <v>7.72</v>
      </c>
      <c r="K370" t="s">
        <v>7366</v>
      </c>
      <c r="L370" t="s">
        <v>7351</v>
      </c>
      <c r="N370" t="s">
        <v>7352</v>
      </c>
      <c r="O370" t="s">
        <v>1876</v>
      </c>
      <c r="T370" t="s">
        <v>373</v>
      </c>
      <c r="U370" t="s">
        <v>373</v>
      </c>
      <c r="W370" t="s">
        <v>7367</v>
      </c>
      <c r="X370" t="s">
        <v>7368</v>
      </c>
      <c r="Y370" t="s">
        <v>7369</v>
      </c>
      <c r="Z370" t="s">
        <v>7370</v>
      </c>
      <c r="AA370" t="s">
        <v>7371</v>
      </c>
      <c r="AB370" t="s">
        <v>7372</v>
      </c>
      <c r="AC370" t="s">
        <v>7373</v>
      </c>
      <c r="AD370" t="s">
        <v>7374</v>
      </c>
      <c r="AE370" t="s">
        <v>7375</v>
      </c>
      <c r="AF370" t="s">
        <v>7376</v>
      </c>
      <c r="BA370" t="str">
        <f>"229"</f>
        <v>229</v>
      </c>
      <c r="BB370" t="str">
        <f>"100"</f>
        <v>100</v>
      </c>
      <c r="BC370" t="s">
        <v>6158</v>
      </c>
      <c r="BD370" t="str">
        <f t="shared" si="90"/>
        <v>1</v>
      </c>
      <c r="BE370" t="s">
        <v>389</v>
      </c>
      <c r="BF370" t="str">
        <f>"11.61"</f>
        <v>11.61</v>
      </c>
      <c r="BG370" t="str">
        <f>"11.61"</f>
        <v>11.61</v>
      </c>
      <c r="BH370" t="str">
        <f>"24.21"</f>
        <v>24.21</v>
      </c>
      <c r="BI370" t="str">
        <f>"12.68"</f>
        <v>12.68</v>
      </c>
      <c r="BY370" t="str">
        <f>"1.91"</f>
        <v>1.91</v>
      </c>
      <c r="BZ370" t="str">
        <f>"0.054"</f>
        <v>0.054</v>
      </c>
      <c r="CA370" t="s">
        <v>495</v>
      </c>
      <c r="CR370" t="s">
        <v>400</v>
      </c>
      <c r="CS370">
        <v>0</v>
      </c>
      <c r="CT370" t="s">
        <v>400</v>
      </c>
      <c r="CV370">
        <v>0</v>
      </c>
      <c r="CY370" t="s">
        <v>400</v>
      </c>
      <c r="DC370">
        <v>0</v>
      </c>
      <c r="DJ370" t="s">
        <v>471</v>
      </c>
      <c r="DK370" t="s">
        <v>7362</v>
      </c>
      <c r="DM370" t="s">
        <v>473</v>
      </c>
      <c r="DX370" t="s">
        <v>2082</v>
      </c>
      <c r="EI370" t="s">
        <v>6816</v>
      </c>
      <c r="EJ370" t="s">
        <v>7363</v>
      </c>
      <c r="EK370" t="s">
        <v>6816</v>
      </c>
      <c r="EL370" t="s">
        <v>5144</v>
      </c>
      <c r="EN370">
        <v>0</v>
      </c>
      <c r="EO370">
        <v>0</v>
      </c>
      <c r="EX370" t="s">
        <v>1292</v>
      </c>
    </row>
    <row r="371" spans="1:251" x14ac:dyDescent="0.25">
      <c r="A371" t="s">
        <v>7377</v>
      </c>
      <c r="B371" t="str">
        <f>"801542723446"</f>
        <v>801542723446</v>
      </c>
      <c r="C371" t="s">
        <v>7378</v>
      </c>
      <c r="D371" t="s">
        <v>7349</v>
      </c>
      <c r="E371" t="s">
        <v>459</v>
      </c>
      <c r="G371" t="str">
        <f>"13"</f>
        <v>13</v>
      </c>
      <c r="H371" t="str">
        <f>"9.25"</f>
        <v>9.25</v>
      </c>
      <c r="I371" t="str">
        <f>"23.5"</f>
        <v>23.5</v>
      </c>
      <c r="J371" t="str">
        <f>"13.23"</f>
        <v>13.23</v>
      </c>
      <c r="K371" t="s">
        <v>7350</v>
      </c>
      <c r="L371" t="s">
        <v>7351</v>
      </c>
      <c r="N371" t="s">
        <v>7352</v>
      </c>
      <c r="O371" t="s">
        <v>1876</v>
      </c>
      <c r="T371" t="s">
        <v>373</v>
      </c>
      <c r="U371" t="s">
        <v>373</v>
      </c>
      <c r="W371" t="s">
        <v>7379</v>
      </c>
      <c r="X371" t="s">
        <v>7380</v>
      </c>
      <c r="Y371" t="s">
        <v>7381</v>
      </c>
      <c r="Z371" t="s">
        <v>7382</v>
      </c>
      <c r="AA371" t="s">
        <v>7383</v>
      </c>
      <c r="AB371" t="s">
        <v>7384</v>
      </c>
      <c r="AC371" t="s">
        <v>7385</v>
      </c>
      <c r="AD371" t="s">
        <v>7386</v>
      </c>
      <c r="AE371" t="s">
        <v>7387</v>
      </c>
      <c r="AF371" t="s">
        <v>7388</v>
      </c>
      <c r="AG371" t="s">
        <v>7389</v>
      </c>
      <c r="AH371" t="s">
        <v>7390</v>
      </c>
      <c r="BA371" t="str">
        <f>"379"</f>
        <v>379</v>
      </c>
      <c r="BB371" t="str">
        <f>"160"</f>
        <v>160</v>
      </c>
      <c r="BC371" t="s">
        <v>6158</v>
      </c>
      <c r="BD371" t="str">
        <f t="shared" si="90"/>
        <v>1</v>
      </c>
      <c r="BE371" t="s">
        <v>389</v>
      </c>
      <c r="BF371" t="str">
        <f>"15.35"</f>
        <v>15.35</v>
      </c>
      <c r="BG371" t="str">
        <f>"11.81"</f>
        <v>11.81</v>
      </c>
      <c r="BH371" t="str">
        <f>"27.36"</f>
        <v>27.36</v>
      </c>
      <c r="BI371" t="str">
        <f>"18.3"</f>
        <v>18.3</v>
      </c>
      <c r="BY371" t="str">
        <f>"2.86"</f>
        <v>2.86</v>
      </c>
      <c r="BZ371" t="str">
        <f>"0.081"</f>
        <v>0.081</v>
      </c>
      <c r="CA371" t="s">
        <v>495</v>
      </c>
      <c r="CR371" t="s">
        <v>400</v>
      </c>
      <c r="CS371">
        <v>0</v>
      </c>
      <c r="CT371" t="s">
        <v>400</v>
      </c>
      <c r="CV371">
        <v>0</v>
      </c>
      <c r="CY371" t="s">
        <v>400</v>
      </c>
      <c r="DC371">
        <v>0</v>
      </c>
      <c r="DJ371" t="s">
        <v>408</v>
      </c>
      <c r="DK371" t="s">
        <v>7391</v>
      </c>
      <c r="DM371" t="s">
        <v>473</v>
      </c>
      <c r="DZ371" t="s">
        <v>6159</v>
      </c>
      <c r="EI371" t="s">
        <v>951</v>
      </c>
      <c r="EJ371" t="s">
        <v>567</v>
      </c>
      <c r="EK371" t="s">
        <v>613</v>
      </c>
      <c r="EL371" t="s">
        <v>1348</v>
      </c>
      <c r="EN371">
        <v>0</v>
      </c>
      <c r="EO371">
        <v>0</v>
      </c>
    </row>
    <row r="372" spans="1:251" x14ac:dyDescent="0.25">
      <c r="A372" t="s">
        <v>7392</v>
      </c>
      <c r="B372" t="str">
        <f>"801542723316"</f>
        <v>801542723316</v>
      </c>
      <c r="C372" t="s">
        <v>7393</v>
      </c>
      <c r="D372" t="s">
        <v>7349</v>
      </c>
      <c r="E372" t="s">
        <v>459</v>
      </c>
      <c r="G372" t="str">
        <f t="shared" ref="G372:H374" si="91">"8.25"</f>
        <v>8.25</v>
      </c>
      <c r="H372" t="str">
        <f t="shared" si="91"/>
        <v>8.25</v>
      </c>
      <c r="I372" t="str">
        <f>"25"</f>
        <v>25</v>
      </c>
      <c r="J372" t="str">
        <f>"26.46"</f>
        <v>26.46</v>
      </c>
      <c r="K372" t="s">
        <v>7350</v>
      </c>
      <c r="L372" t="s">
        <v>7394</v>
      </c>
      <c r="N372" t="s">
        <v>7352</v>
      </c>
      <c r="O372" t="s">
        <v>1876</v>
      </c>
      <c r="T372" t="s">
        <v>373</v>
      </c>
      <c r="U372" t="s">
        <v>373</v>
      </c>
      <c r="V372" t="s">
        <v>7395</v>
      </c>
      <c r="W372" t="s">
        <v>7396</v>
      </c>
      <c r="X372" t="s">
        <v>7397</v>
      </c>
      <c r="Y372" t="s">
        <v>7398</v>
      </c>
      <c r="Z372" t="s">
        <v>7399</v>
      </c>
      <c r="AA372" t="s">
        <v>7400</v>
      </c>
      <c r="AB372" t="s">
        <v>7401</v>
      </c>
      <c r="AC372" t="s">
        <v>7402</v>
      </c>
      <c r="AD372" t="s">
        <v>7403</v>
      </c>
      <c r="AE372" t="s">
        <v>7404</v>
      </c>
      <c r="AF372" t="s">
        <v>7405</v>
      </c>
      <c r="AG372" t="s">
        <v>7406</v>
      </c>
      <c r="BA372" t="str">
        <f>"399"</f>
        <v>399</v>
      </c>
      <c r="BB372" t="str">
        <f>"170"</f>
        <v>170</v>
      </c>
      <c r="BC372" t="s">
        <v>6158</v>
      </c>
      <c r="BD372" t="str">
        <f t="shared" si="90"/>
        <v>1</v>
      </c>
      <c r="BE372" t="s">
        <v>389</v>
      </c>
      <c r="BF372" t="str">
        <f>"11.81"</f>
        <v>11.81</v>
      </c>
      <c r="BG372" t="str">
        <f>"11.81"</f>
        <v>11.81</v>
      </c>
      <c r="BH372" t="str">
        <f>"29.92"</f>
        <v>29.92</v>
      </c>
      <c r="BI372" t="str">
        <f>"30.86"</f>
        <v>30.86</v>
      </c>
      <c r="BY372" t="str">
        <f>"2.4"</f>
        <v>2.4</v>
      </c>
      <c r="BZ372" t="str">
        <f>"0.068"</f>
        <v>0.068</v>
      </c>
      <c r="CA372" t="s">
        <v>431</v>
      </c>
      <c r="CR372" t="s">
        <v>400</v>
      </c>
      <c r="CS372">
        <v>0</v>
      </c>
      <c r="CT372" t="s">
        <v>400</v>
      </c>
      <c r="CV372">
        <v>0</v>
      </c>
      <c r="CY372" t="s">
        <v>400</v>
      </c>
      <c r="DC372">
        <v>0</v>
      </c>
      <c r="DJ372" t="s">
        <v>471</v>
      </c>
      <c r="DK372" t="s">
        <v>7407</v>
      </c>
      <c r="DM372" t="s">
        <v>473</v>
      </c>
      <c r="DX372" t="s">
        <v>5880</v>
      </c>
      <c r="EI372" t="s">
        <v>1709</v>
      </c>
      <c r="EJ372" t="s">
        <v>566</v>
      </c>
      <c r="EK372" t="s">
        <v>1709</v>
      </c>
      <c r="EL372" t="s">
        <v>1552</v>
      </c>
      <c r="EN372">
        <v>0</v>
      </c>
      <c r="EO372">
        <v>0</v>
      </c>
      <c r="EX372" t="s">
        <v>2125</v>
      </c>
    </row>
    <row r="373" spans="1:251" x14ac:dyDescent="0.25">
      <c r="A373" t="s">
        <v>7408</v>
      </c>
      <c r="B373" t="str">
        <f>"801542723347"</f>
        <v>801542723347</v>
      </c>
      <c r="C373" t="s">
        <v>7409</v>
      </c>
      <c r="D373" t="s">
        <v>7349</v>
      </c>
      <c r="E373" t="s">
        <v>459</v>
      </c>
      <c r="G373" t="str">
        <f t="shared" si="91"/>
        <v>8.25</v>
      </c>
      <c r="H373" t="str">
        <f t="shared" si="91"/>
        <v>8.25</v>
      </c>
      <c r="I373" t="str">
        <f>"25"</f>
        <v>25</v>
      </c>
      <c r="J373" t="str">
        <f>"17.64"</f>
        <v>17.64</v>
      </c>
      <c r="K373" t="s">
        <v>7366</v>
      </c>
      <c r="L373" t="s">
        <v>7394</v>
      </c>
      <c r="N373" t="s">
        <v>7352</v>
      </c>
      <c r="O373" t="s">
        <v>1876</v>
      </c>
      <c r="T373" t="s">
        <v>373</v>
      </c>
      <c r="U373" t="s">
        <v>373</v>
      </c>
      <c r="W373" t="s">
        <v>7410</v>
      </c>
      <c r="X373" t="s">
        <v>7411</v>
      </c>
      <c r="Y373" t="s">
        <v>7412</v>
      </c>
      <c r="Z373" t="s">
        <v>7413</v>
      </c>
      <c r="AA373" t="s">
        <v>7414</v>
      </c>
      <c r="AB373" t="s">
        <v>7415</v>
      </c>
      <c r="AC373" t="s">
        <v>7416</v>
      </c>
      <c r="AD373" t="s">
        <v>7417</v>
      </c>
      <c r="AE373" t="s">
        <v>7418</v>
      </c>
      <c r="AF373" t="s">
        <v>7419</v>
      </c>
      <c r="AG373" t="s">
        <v>7420</v>
      </c>
      <c r="BA373" t="str">
        <f>"399"</f>
        <v>399</v>
      </c>
      <c r="BB373" t="str">
        <f>"170"</f>
        <v>170</v>
      </c>
      <c r="BC373" t="s">
        <v>6158</v>
      </c>
      <c r="BD373" t="str">
        <f t="shared" si="90"/>
        <v>1</v>
      </c>
      <c r="BE373" t="s">
        <v>389</v>
      </c>
      <c r="BF373" t="str">
        <f>"11.81"</f>
        <v>11.81</v>
      </c>
      <c r="BG373" t="str">
        <f>"11.81"</f>
        <v>11.81</v>
      </c>
      <c r="BH373" t="str">
        <f>"29.92"</f>
        <v>29.92</v>
      </c>
      <c r="BI373" t="str">
        <f>"22.05"</f>
        <v>22.05</v>
      </c>
      <c r="BY373" t="str">
        <f>"2.4"</f>
        <v>2.4</v>
      </c>
      <c r="BZ373" t="str">
        <f>"0.068"</f>
        <v>0.068</v>
      </c>
      <c r="CA373" t="s">
        <v>495</v>
      </c>
      <c r="CR373" t="s">
        <v>400</v>
      </c>
      <c r="CS373">
        <v>0</v>
      </c>
      <c r="CT373" t="s">
        <v>400</v>
      </c>
      <c r="CV373">
        <v>0</v>
      </c>
      <c r="CY373" t="s">
        <v>400</v>
      </c>
      <c r="DC373">
        <v>0</v>
      </c>
      <c r="DJ373" t="s">
        <v>471</v>
      </c>
      <c r="DK373" t="s">
        <v>7421</v>
      </c>
      <c r="DM373" t="s">
        <v>473</v>
      </c>
      <c r="DX373" t="s">
        <v>5880</v>
      </c>
      <c r="EI373" t="s">
        <v>1709</v>
      </c>
      <c r="EJ373" t="s">
        <v>566</v>
      </c>
      <c r="EK373" t="s">
        <v>1709</v>
      </c>
      <c r="EL373" t="s">
        <v>1552</v>
      </c>
      <c r="EN373">
        <v>0</v>
      </c>
      <c r="EO373">
        <v>0</v>
      </c>
      <c r="EX373" t="s">
        <v>2125</v>
      </c>
    </row>
    <row r="374" spans="1:251" x14ac:dyDescent="0.25">
      <c r="A374" t="s">
        <v>7422</v>
      </c>
      <c r="B374" t="str">
        <f>"801542061357"</f>
        <v>801542061357</v>
      </c>
      <c r="C374" t="s">
        <v>7423</v>
      </c>
      <c r="D374" t="s">
        <v>7349</v>
      </c>
      <c r="E374" t="s">
        <v>459</v>
      </c>
      <c r="G374" t="str">
        <f t="shared" si="91"/>
        <v>8.25</v>
      </c>
      <c r="H374" t="str">
        <f t="shared" si="91"/>
        <v>8.25</v>
      </c>
      <c r="I374" t="str">
        <f>"25"</f>
        <v>25</v>
      </c>
      <c r="J374" t="str">
        <f>"17.64"</f>
        <v>17.64</v>
      </c>
      <c r="K374" t="s">
        <v>7350</v>
      </c>
      <c r="L374" t="s">
        <v>7394</v>
      </c>
      <c r="N374" t="s">
        <v>7352</v>
      </c>
      <c r="O374" t="s">
        <v>1876</v>
      </c>
      <c r="T374" t="s">
        <v>373</v>
      </c>
      <c r="U374" t="s">
        <v>373</v>
      </c>
      <c r="W374" t="s">
        <v>7424</v>
      </c>
      <c r="X374" t="s">
        <v>7425</v>
      </c>
      <c r="Y374" t="s">
        <v>7426</v>
      </c>
      <c r="Z374" t="s">
        <v>7427</v>
      </c>
      <c r="AA374" t="s">
        <v>7428</v>
      </c>
      <c r="AB374" t="s">
        <v>7429</v>
      </c>
      <c r="AC374" t="s">
        <v>7430</v>
      </c>
      <c r="AD374" t="s">
        <v>7431</v>
      </c>
      <c r="AE374" t="s">
        <v>7432</v>
      </c>
      <c r="AF374" t="s">
        <v>7433</v>
      </c>
      <c r="BA374" t="str">
        <f>"399"</f>
        <v>399</v>
      </c>
      <c r="BB374" t="str">
        <f>"170"</f>
        <v>170</v>
      </c>
      <c r="BC374" t="s">
        <v>6158</v>
      </c>
      <c r="BD374" t="str">
        <f t="shared" si="90"/>
        <v>1</v>
      </c>
      <c r="BE374" t="s">
        <v>389</v>
      </c>
      <c r="BF374" t="str">
        <f>"11.81"</f>
        <v>11.81</v>
      </c>
      <c r="BG374" t="str">
        <f>"11.81"</f>
        <v>11.81</v>
      </c>
      <c r="BH374" t="str">
        <f>"29.92"</f>
        <v>29.92</v>
      </c>
      <c r="BI374" t="str">
        <f>"22.05"</f>
        <v>22.05</v>
      </c>
      <c r="BY374" t="str">
        <f>"2.4"</f>
        <v>2.4</v>
      </c>
      <c r="BZ374" t="str">
        <f>"0.068"</f>
        <v>0.068</v>
      </c>
      <c r="CA374" t="s">
        <v>495</v>
      </c>
      <c r="CR374" t="s">
        <v>400</v>
      </c>
      <c r="CS374">
        <v>0</v>
      </c>
      <c r="CT374" t="s">
        <v>400</v>
      </c>
      <c r="CV374">
        <v>0</v>
      </c>
      <c r="CY374" t="s">
        <v>400</v>
      </c>
      <c r="DC374">
        <v>0</v>
      </c>
      <c r="DJ374" t="s">
        <v>471</v>
      </c>
      <c r="DK374" t="s">
        <v>7421</v>
      </c>
      <c r="DM374" t="s">
        <v>473</v>
      </c>
      <c r="DX374" t="s">
        <v>5880</v>
      </c>
      <c r="EI374" t="s">
        <v>1709</v>
      </c>
      <c r="EJ374" t="s">
        <v>566</v>
      </c>
      <c r="EK374" t="s">
        <v>1709</v>
      </c>
      <c r="EL374" t="s">
        <v>1552</v>
      </c>
      <c r="EN374">
        <v>0</v>
      </c>
      <c r="EO374">
        <v>0</v>
      </c>
      <c r="EX374" t="s">
        <v>2125</v>
      </c>
    </row>
    <row r="375" spans="1:251" x14ac:dyDescent="0.25">
      <c r="A375" t="s">
        <v>7434</v>
      </c>
      <c r="B375" t="str">
        <f>"801542723323"</f>
        <v>801542723323</v>
      </c>
      <c r="C375" t="s">
        <v>7435</v>
      </c>
      <c r="D375" t="s">
        <v>7349</v>
      </c>
      <c r="E375" t="s">
        <v>459</v>
      </c>
      <c r="G375" t="str">
        <f>"11.75"</f>
        <v>11.75</v>
      </c>
      <c r="H375" t="str">
        <f>"11.75"</f>
        <v>11.75</v>
      </c>
      <c r="I375" t="str">
        <f>"15.75"</f>
        <v>15.75</v>
      </c>
      <c r="J375" t="str">
        <f>"198.41"</f>
        <v>198.41</v>
      </c>
      <c r="K375" t="s">
        <v>7350</v>
      </c>
      <c r="N375" t="s">
        <v>7352</v>
      </c>
      <c r="T375" t="s">
        <v>373</v>
      </c>
      <c r="U375" t="s">
        <v>373</v>
      </c>
      <c r="V375" t="s">
        <v>7436</v>
      </c>
      <c r="W375" t="s">
        <v>7437</v>
      </c>
      <c r="X375" t="s">
        <v>7438</v>
      </c>
      <c r="Y375" t="s">
        <v>7439</v>
      </c>
      <c r="Z375" t="s">
        <v>7440</v>
      </c>
      <c r="AA375" t="s">
        <v>7441</v>
      </c>
      <c r="AB375" t="s">
        <v>7442</v>
      </c>
      <c r="AC375" t="s">
        <v>7443</v>
      </c>
      <c r="AD375" t="s">
        <v>7444</v>
      </c>
      <c r="AE375" t="s">
        <v>7445</v>
      </c>
      <c r="AF375" t="s">
        <v>7446</v>
      </c>
      <c r="AG375" t="s">
        <v>7447</v>
      </c>
      <c r="AH375" t="s">
        <v>7448</v>
      </c>
      <c r="AI375" t="s">
        <v>7449</v>
      </c>
      <c r="BA375" t="str">
        <f>"849"</f>
        <v>849</v>
      </c>
      <c r="BB375" t="str">
        <f>"360"</f>
        <v>360</v>
      </c>
      <c r="BC375" t="s">
        <v>6158</v>
      </c>
      <c r="BD375" t="str">
        <f t="shared" si="90"/>
        <v>1</v>
      </c>
      <c r="BE375" t="s">
        <v>389</v>
      </c>
      <c r="BF375" t="str">
        <f>"18.9"</f>
        <v>18.9</v>
      </c>
      <c r="BG375" t="str">
        <f>"17.32"</f>
        <v>17.32</v>
      </c>
      <c r="BH375" t="str">
        <f>"22.83"</f>
        <v>22.83</v>
      </c>
      <c r="BI375" t="str">
        <f>"220.46"</f>
        <v>220.46</v>
      </c>
      <c r="BY375" t="str">
        <f>"4.31"</f>
        <v>4.31</v>
      </c>
      <c r="BZ375" t="str">
        <f>"0.122"</f>
        <v>0.122</v>
      </c>
      <c r="CA375" t="s">
        <v>431</v>
      </c>
      <c r="CR375" t="s">
        <v>400</v>
      </c>
      <c r="CS375">
        <v>0</v>
      </c>
      <c r="CT375" t="s">
        <v>400</v>
      </c>
      <c r="CV375">
        <v>0</v>
      </c>
      <c r="CY375" t="s">
        <v>400</v>
      </c>
      <c r="DC375">
        <v>0</v>
      </c>
      <c r="DJ375" t="s">
        <v>1132</v>
      </c>
      <c r="DK375" t="s">
        <v>7450</v>
      </c>
      <c r="DM375" t="s">
        <v>473</v>
      </c>
      <c r="EI375" t="s">
        <v>540</v>
      </c>
      <c r="EJ375" t="s">
        <v>1055</v>
      </c>
      <c r="EK375" t="s">
        <v>540</v>
      </c>
      <c r="EN375">
        <v>0</v>
      </c>
      <c r="EO375">
        <v>0</v>
      </c>
    </row>
    <row r="376" spans="1:251" x14ac:dyDescent="0.25">
      <c r="A376" t="s">
        <v>7451</v>
      </c>
      <c r="B376" t="str">
        <f>"801542732585"</f>
        <v>801542732585</v>
      </c>
      <c r="C376" t="s">
        <v>7452</v>
      </c>
      <c r="D376" t="s">
        <v>1592</v>
      </c>
      <c r="E376" t="s">
        <v>2006</v>
      </c>
      <c r="F376" t="s">
        <v>2007</v>
      </c>
      <c r="G376" t="str">
        <f>"65"</f>
        <v>65</v>
      </c>
      <c r="H376" t="str">
        <f>"86"</f>
        <v>86</v>
      </c>
      <c r="I376" t="str">
        <f>"46.5"</f>
        <v>46.5</v>
      </c>
      <c r="J376" t="str">
        <f>"194"</f>
        <v>194</v>
      </c>
      <c r="K376" t="s">
        <v>7453</v>
      </c>
      <c r="L376" t="s">
        <v>2365</v>
      </c>
      <c r="N376" t="s">
        <v>912</v>
      </c>
      <c r="O376" t="s">
        <v>913</v>
      </c>
      <c r="P376" t="s">
        <v>775</v>
      </c>
      <c r="T376" t="s">
        <v>373</v>
      </c>
      <c r="U376" t="s">
        <v>402</v>
      </c>
      <c r="V376" t="s">
        <v>7454</v>
      </c>
      <c r="W376" t="s">
        <v>7455</v>
      </c>
      <c r="X376" t="s">
        <v>7456</v>
      </c>
      <c r="Y376" t="s">
        <v>7457</v>
      </c>
      <c r="Z376" t="s">
        <v>7458</v>
      </c>
      <c r="AA376" t="s">
        <v>7459</v>
      </c>
      <c r="AB376" t="s">
        <v>7460</v>
      </c>
      <c r="AC376" t="s">
        <v>7461</v>
      </c>
      <c r="AD376" t="s">
        <v>7462</v>
      </c>
      <c r="AE376" t="s">
        <v>7463</v>
      </c>
      <c r="AF376" t="s">
        <v>7464</v>
      </c>
      <c r="AG376" t="s">
        <v>7465</v>
      </c>
      <c r="AH376" t="s">
        <v>7466</v>
      </c>
      <c r="AI376" t="s">
        <v>7467</v>
      </c>
      <c r="AJ376" t="s">
        <v>7468</v>
      </c>
      <c r="BA376" t="str">
        <f>"1799"</f>
        <v>1799</v>
      </c>
      <c r="BB376" t="str">
        <f>"760"</f>
        <v>760</v>
      </c>
      <c r="BC376" t="s">
        <v>665</v>
      </c>
      <c r="BD376" t="str">
        <f>"3"</f>
        <v>3</v>
      </c>
      <c r="BE376" t="s">
        <v>2163</v>
      </c>
      <c r="BF376" t="str">
        <f>"66.73"</f>
        <v>66.73</v>
      </c>
      <c r="BG376" t="str">
        <f>"48.43"</f>
        <v>48.43</v>
      </c>
      <c r="BH376" t="str">
        <f>"7.87"</f>
        <v>7.87</v>
      </c>
      <c r="BI376" t="str">
        <f>"102.51"</f>
        <v>102.51</v>
      </c>
      <c r="BJ376" t="s">
        <v>2806</v>
      </c>
      <c r="BK376" t="str">
        <f>"66.73"</f>
        <v>66.73</v>
      </c>
      <c r="BL376" t="str">
        <f>"12.99"</f>
        <v>12.99</v>
      </c>
      <c r="BM376" t="str">
        <f>"5.91"</f>
        <v>5.91</v>
      </c>
      <c r="BN376" t="str">
        <f>"55.12"</f>
        <v>55.12</v>
      </c>
      <c r="BO376" t="s">
        <v>2026</v>
      </c>
      <c r="BP376" t="str">
        <f>"83.07"</f>
        <v>83.07</v>
      </c>
      <c r="BQ376" t="str">
        <f>"12.99"</f>
        <v>12.99</v>
      </c>
      <c r="BR376" t="str">
        <f>"7.87"</f>
        <v>7.87</v>
      </c>
      <c r="BS376" t="str">
        <f>"61.73"</f>
        <v>61.73</v>
      </c>
      <c r="BY376" t="str">
        <f>"22.6"</f>
        <v>22.6</v>
      </c>
      <c r="BZ376" t="str">
        <f>"0.64"</f>
        <v>0.64</v>
      </c>
      <c r="CA376" t="s">
        <v>431</v>
      </c>
      <c r="CQ376" t="s">
        <v>631</v>
      </c>
      <c r="CR376" t="s">
        <v>400</v>
      </c>
      <c r="CS376">
        <v>0</v>
      </c>
      <c r="CT376" t="s">
        <v>400</v>
      </c>
      <c r="CV376">
        <v>0</v>
      </c>
      <c r="CX376" t="s">
        <v>1609</v>
      </c>
      <c r="CY376" t="s">
        <v>400</v>
      </c>
      <c r="DA376">
        <v>0</v>
      </c>
      <c r="DB376">
        <v>0</v>
      </c>
      <c r="DC376">
        <v>0</v>
      </c>
      <c r="DD376">
        <v>15000</v>
      </c>
      <c r="DK376" t="s">
        <v>7469</v>
      </c>
      <c r="DM376" t="s">
        <v>2028</v>
      </c>
      <c r="EG376" t="s">
        <v>2128</v>
      </c>
      <c r="EN376">
        <v>0</v>
      </c>
      <c r="ET376" t="s">
        <v>643</v>
      </c>
      <c r="HN376" t="s">
        <v>675</v>
      </c>
      <c r="HO376" t="s">
        <v>675</v>
      </c>
      <c r="HP376" t="s">
        <v>675</v>
      </c>
      <c r="HQ376" t="s">
        <v>7470</v>
      </c>
      <c r="HR376" t="s">
        <v>3638</v>
      </c>
      <c r="HS376" t="s">
        <v>2192</v>
      </c>
      <c r="HT376" t="s">
        <v>7471</v>
      </c>
      <c r="HU376" t="s">
        <v>2170</v>
      </c>
      <c r="HV376" t="s">
        <v>2192</v>
      </c>
      <c r="HW376" t="s">
        <v>2171</v>
      </c>
      <c r="HX376" t="s">
        <v>395</v>
      </c>
      <c r="HY376" t="s">
        <v>3273</v>
      </c>
      <c r="HZ376" t="s">
        <v>3188</v>
      </c>
      <c r="IA376" t="s">
        <v>6976</v>
      </c>
      <c r="IB376" t="s">
        <v>3638</v>
      </c>
      <c r="IC376" t="s">
        <v>402</v>
      </c>
      <c r="ID376" t="s">
        <v>5252</v>
      </c>
      <c r="IE376" t="s">
        <v>2037</v>
      </c>
      <c r="IF376" t="s">
        <v>2177</v>
      </c>
      <c r="IG376" t="s">
        <v>2007</v>
      </c>
      <c r="IM376" t="s">
        <v>395</v>
      </c>
      <c r="IN376" t="s">
        <v>3257</v>
      </c>
      <c r="IO376" t="s">
        <v>395</v>
      </c>
      <c r="IP376" t="s">
        <v>402</v>
      </c>
      <c r="IQ376" t="s">
        <v>3522</v>
      </c>
    </row>
    <row r="377" spans="1:251" x14ac:dyDescent="0.25">
      <c r="A377" t="s">
        <v>7472</v>
      </c>
      <c r="B377" t="str">
        <f>"801542732547"</f>
        <v>801542732547</v>
      </c>
      <c r="C377" t="s">
        <v>7452</v>
      </c>
      <c r="D377" t="s">
        <v>1592</v>
      </c>
      <c r="E377" t="s">
        <v>2006</v>
      </c>
      <c r="F377" t="s">
        <v>2040</v>
      </c>
      <c r="G377" t="str">
        <f>"81"</f>
        <v>81</v>
      </c>
      <c r="H377" t="str">
        <f>"86"</f>
        <v>86</v>
      </c>
      <c r="I377" t="str">
        <f>"46.5"</f>
        <v>46.5</v>
      </c>
      <c r="J377" t="str">
        <f>"228.18"</f>
        <v>228.18</v>
      </c>
      <c r="K377" t="s">
        <v>7453</v>
      </c>
      <c r="L377" t="s">
        <v>2365</v>
      </c>
      <c r="N377" t="s">
        <v>912</v>
      </c>
      <c r="O377" t="s">
        <v>913</v>
      </c>
      <c r="P377" t="s">
        <v>775</v>
      </c>
      <c r="T377" t="s">
        <v>373</v>
      </c>
      <c r="U377" t="s">
        <v>402</v>
      </c>
      <c r="V377" t="s">
        <v>7454</v>
      </c>
      <c r="W377" t="s">
        <v>7473</v>
      </c>
      <c r="X377" t="s">
        <v>7474</v>
      </c>
      <c r="Y377" t="s">
        <v>7475</v>
      </c>
      <c r="Z377" t="s">
        <v>7476</v>
      </c>
      <c r="AA377" t="s">
        <v>7459</v>
      </c>
      <c r="AB377" t="s">
        <v>7477</v>
      </c>
      <c r="AC377" t="s">
        <v>7478</v>
      </c>
      <c r="AD377" t="s">
        <v>7479</v>
      </c>
      <c r="AE377" t="s">
        <v>7480</v>
      </c>
      <c r="AF377" t="s">
        <v>7481</v>
      </c>
      <c r="AG377" t="s">
        <v>7482</v>
      </c>
      <c r="AH377" t="s">
        <v>7483</v>
      </c>
      <c r="AI377" t="s">
        <v>7484</v>
      </c>
      <c r="AJ377" t="s">
        <v>7485</v>
      </c>
      <c r="BA377" t="str">
        <f>"1999"</f>
        <v>1999</v>
      </c>
      <c r="BB377" t="str">
        <f>"840"</f>
        <v>840</v>
      </c>
      <c r="BC377" t="s">
        <v>665</v>
      </c>
      <c r="BD377" t="str">
        <f>"3"</f>
        <v>3</v>
      </c>
      <c r="BE377" t="s">
        <v>2163</v>
      </c>
      <c r="BF377" t="str">
        <f>"82.87"</f>
        <v>82.87</v>
      </c>
      <c r="BG377" t="str">
        <f>"48.43"</f>
        <v>48.43</v>
      </c>
      <c r="BH377" t="str">
        <f>"7.87"</f>
        <v>7.87</v>
      </c>
      <c r="BI377" t="str">
        <f>"112.43"</f>
        <v>112.43</v>
      </c>
      <c r="BJ377" t="s">
        <v>2806</v>
      </c>
      <c r="BK377" t="str">
        <f>"82.87"</f>
        <v>82.87</v>
      </c>
      <c r="BL377" t="str">
        <f>"5.91"</f>
        <v>5.91</v>
      </c>
      <c r="BM377" t="str">
        <f>"12.99"</f>
        <v>12.99</v>
      </c>
      <c r="BN377" t="str">
        <f>"72.75"</f>
        <v>72.75</v>
      </c>
      <c r="BO377" t="s">
        <v>2026</v>
      </c>
      <c r="BP377" t="str">
        <f>"83.07"</f>
        <v>83.07</v>
      </c>
      <c r="BQ377" t="str">
        <f>"12.99"</f>
        <v>12.99</v>
      </c>
      <c r="BR377" t="str">
        <f>"7.87"</f>
        <v>7.87</v>
      </c>
      <c r="BS377" t="str">
        <f>"70.55"</f>
        <v>70.55</v>
      </c>
      <c r="BY377" t="str">
        <f>"26.87"</f>
        <v>26.87</v>
      </c>
      <c r="BZ377" t="str">
        <f>"0.761"</f>
        <v>0.761</v>
      </c>
      <c r="CA377" t="s">
        <v>431</v>
      </c>
      <c r="CQ377" t="s">
        <v>631</v>
      </c>
      <c r="CR377" t="s">
        <v>400</v>
      </c>
      <c r="CS377">
        <v>0</v>
      </c>
      <c r="CT377" t="s">
        <v>400</v>
      </c>
      <c r="CV377">
        <v>0</v>
      </c>
      <c r="CX377" t="s">
        <v>1609</v>
      </c>
      <c r="CY377" t="s">
        <v>400</v>
      </c>
      <c r="DA377">
        <v>0</v>
      </c>
      <c r="DB377">
        <v>0</v>
      </c>
      <c r="DC377">
        <v>0</v>
      </c>
      <c r="DD377">
        <v>15000</v>
      </c>
      <c r="DK377" t="s">
        <v>7469</v>
      </c>
      <c r="DM377" t="s">
        <v>2028</v>
      </c>
      <c r="EG377" t="s">
        <v>2128</v>
      </c>
      <c r="EN377">
        <v>0</v>
      </c>
      <c r="ET377" t="s">
        <v>643</v>
      </c>
      <c r="HN377" t="s">
        <v>675</v>
      </c>
      <c r="HO377" t="s">
        <v>675</v>
      </c>
      <c r="HP377" t="s">
        <v>675</v>
      </c>
      <c r="HQ377" t="s">
        <v>7470</v>
      </c>
      <c r="HR377" t="s">
        <v>3638</v>
      </c>
      <c r="HS377" t="s">
        <v>2168</v>
      </c>
      <c r="HT377" t="s">
        <v>7471</v>
      </c>
      <c r="HU377" t="s">
        <v>2170</v>
      </c>
      <c r="HV377" t="s">
        <v>2168</v>
      </c>
      <c r="HW377" t="s">
        <v>2171</v>
      </c>
      <c r="HX377" t="s">
        <v>395</v>
      </c>
      <c r="HY377" t="s">
        <v>3255</v>
      </c>
      <c r="HZ377" t="s">
        <v>3188</v>
      </c>
      <c r="IA377" t="s">
        <v>6976</v>
      </c>
      <c r="IB377" t="s">
        <v>3638</v>
      </c>
      <c r="IC377" t="s">
        <v>402</v>
      </c>
      <c r="ID377" t="s">
        <v>5252</v>
      </c>
      <c r="IE377" t="s">
        <v>2037</v>
      </c>
      <c r="IF377" t="s">
        <v>2177</v>
      </c>
      <c r="IG377" t="s">
        <v>2040</v>
      </c>
      <c r="IM377" t="s">
        <v>395</v>
      </c>
      <c r="IN377" t="s">
        <v>3257</v>
      </c>
      <c r="IO377" t="s">
        <v>395</v>
      </c>
      <c r="IP377" t="s">
        <v>402</v>
      </c>
      <c r="IQ377" t="s">
        <v>3522</v>
      </c>
    </row>
    <row r="378" spans="1:251" x14ac:dyDescent="0.25">
      <c r="A378" t="s">
        <v>7486</v>
      </c>
      <c r="B378" t="str">
        <f>"801542965938"</f>
        <v>801542965938</v>
      </c>
      <c r="C378" t="s">
        <v>7487</v>
      </c>
      <c r="D378" t="s">
        <v>1592</v>
      </c>
      <c r="E378" t="s">
        <v>2006</v>
      </c>
      <c r="F378" t="s">
        <v>2007</v>
      </c>
      <c r="G378" t="str">
        <f>"65"</f>
        <v>65</v>
      </c>
      <c r="H378" t="str">
        <f>"86"</f>
        <v>86</v>
      </c>
      <c r="I378" t="str">
        <f>"46.5"</f>
        <v>46.5</v>
      </c>
      <c r="J378" t="str">
        <f>"194"</f>
        <v>194</v>
      </c>
      <c r="K378" t="s">
        <v>806</v>
      </c>
      <c r="L378" t="s">
        <v>2365</v>
      </c>
      <c r="N378" t="s">
        <v>808</v>
      </c>
      <c r="O378" t="s">
        <v>809</v>
      </c>
      <c r="P378" t="s">
        <v>810</v>
      </c>
      <c r="Q378" t="s">
        <v>775</v>
      </c>
      <c r="T378" t="s">
        <v>373</v>
      </c>
      <c r="U378" t="s">
        <v>402</v>
      </c>
      <c r="V378" t="s">
        <v>7488</v>
      </c>
      <c r="W378" t="s">
        <v>7489</v>
      </c>
      <c r="X378" t="s">
        <v>7490</v>
      </c>
      <c r="Y378" t="s">
        <v>7491</v>
      </c>
      <c r="Z378" t="s">
        <v>7492</v>
      </c>
      <c r="AA378" t="s">
        <v>7493</v>
      </c>
      <c r="AB378" t="s">
        <v>7494</v>
      </c>
      <c r="AC378" t="s">
        <v>7495</v>
      </c>
      <c r="AD378" t="s">
        <v>7496</v>
      </c>
      <c r="AE378" t="s">
        <v>7497</v>
      </c>
      <c r="AF378" t="s">
        <v>7498</v>
      </c>
      <c r="AG378" t="s">
        <v>7499</v>
      </c>
      <c r="AH378" t="s">
        <v>7500</v>
      </c>
      <c r="BA378" t="str">
        <f>"1799"</f>
        <v>1799</v>
      </c>
      <c r="BB378" t="str">
        <f>"760"</f>
        <v>760</v>
      </c>
      <c r="BC378" t="s">
        <v>665</v>
      </c>
      <c r="BD378" t="str">
        <f>"3"</f>
        <v>3</v>
      </c>
      <c r="BE378" t="s">
        <v>2163</v>
      </c>
      <c r="BF378" t="str">
        <f>"66.73"</f>
        <v>66.73</v>
      </c>
      <c r="BG378" t="str">
        <f>"48.43"</f>
        <v>48.43</v>
      </c>
      <c r="BH378" t="str">
        <f>"7.87"</f>
        <v>7.87</v>
      </c>
      <c r="BI378" t="str">
        <f>"102.51"</f>
        <v>102.51</v>
      </c>
      <c r="BJ378" t="s">
        <v>2806</v>
      </c>
      <c r="BK378" t="str">
        <f>"66.73"</f>
        <v>66.73</v>
      </c>
      <c r="BL378" t="str">
        <f>"12.99"</f>
        <v>12.99</v>
      </c>
      <c r="BM378" t="str">
        <f>"5.91"</f>
        <v>5.91</v>
      </c>
      <c r="BN378" t="str">
        <f>"55.12"</f>
        <v>55.12</v>
      </c>
      <c r="BO378" t="s">
        <v>2026</v>
      </c>
      <c r="BP378" t="str">
        <f>"83.07"</f>
        <v>83.07</v>
      </c>
      <c r="BQ378" t="str">
        <f>"12.99"</f>
        <v>12.99</v>
      </c>
      <c r="BR378" t="str">
        <f>"7.87"</f>
        <v>7.87</v>
      </c>
      <c r="BS378" t="str">
        <f>"61.73"</f>
        <v>61.73</v>
      </c>
      <c r="BY378" t="str">
        <f>"22.6"</f>
        <v>22.6</v>
      </c>
      <c r="BZ378" t="str">
        <f>"0.64"</f>
        <v>0.64</v>
      </c>
      <c r="CA378" t="s">
        <v>495</v>
      </c>
      <c r="CQ378" t="s">
        <v>631</v>
      </c>
      <c r="CR378" t="s">
        <v>400</v>
      </c>
      <c r="CS378">
        <v>0</v>
      </c>
      <c r="CT378" t="s">
        <v>400</v>
      </c>
      <c r="CV378">
        <v>0</v>
      </c>
      <c r="CX378" t="s">
        <v>1609</v>
      </c>
      <c r="CY378" t="s">
        <v>400</v>
      </c>
      <c r="DA378">
        <v>0</v>
      </c>
      <c r="DB378">
        <v>0</v>
      </c>
      <c r="DC378">
        <v>0</v>
      </c>
      <c r="DD378">
        <v>25000</v>
      </c>
      <c r="DK378" t="s">
        <v>7469</v>
      </c>
      <c r="DM378" t="s">
        <v>2028</v>
      </c>
      <c r="EG378" t="s">
        <v>2128</v>
      </c>
      <c r="EN378">
        <v>0</v>
      </c>
      <c r="ET378" t="s">
        <v>643</v>
      </c>
      <c r="HN378" t="s">
        <v>675</v>
      </c>
      <c r="HO378" t="s">
        <v>675</v>
      </c>
      <c r="HP378" t="s">
        <v>675</v>
      </c>
      <c r="HQ378" t="s">
        <v>7470</v>
      </c>
      <c r="HR378" t="s">
        <v>3638</v>
      </c>
      <c r="HS378" t="s">
        <v>2192</v>
      </c>
      <c r="HT378" t="s">
        <v>7471</v>
      </c>
      <c r="HU378" t="s">
        <v>2170</v>
      </c>
      <c r="HV378" t="s">
        <v>2192</v>
      </c>
      <c r="HW378" t="s">
        <v>2171</v>
      </c>
      <c r="HX378" t="s">
        <v>395</v>
      </c>
      <c r="HY378" t="s">
        <v>3273</v>
      </c>
      <c r="HZ378" t="s">
        <v>3188</v>
      </c>
      <c r="IA378" t="s">
        <v>6976</v>
      </c>
      <c r="IB378" t="s">
        <v>3638</v>
      </c>
      <c r="IC378" t="s">
        <v>402</v>
      </c>
      <c r="ID378" t="s">
        <v>5252</v>
      </c>
      <c r="IE378" t="s">
        <v>2037</v>
      </c>
      <c r="IF378" t="s">
        <v>2177</v>
      </c>
      <c r="IG378" t="s">
        <v>2007</v>
      </c>
      <c r="IM378" t="s">
        <v>395</v>
      </c>
      <c r="IN378" t="s">
        <v>3257</v>
      </c>
      <c r="IO378" t="s">
        <v>395</v>
      </c>
      <c r="IP378" t="s">
        <v>402</v>
      </c>
      <c r="IQ378" t="s">
        <v>3522</v>
      </c>
    </row>
    <row r="379" spans="1:251" x14ac:dyDescent="0.25">
      <c r="A379" t="s">
        <v>7501</v>
      </c>
      <c r="B379" t="str">
        <f>"801542965921"</f>
        <v>801542965921</v>
      </c>
      <c r="C379" t="s">
        <v>7487</v>
      </c>
      <c r="D379" t="s">
        <v>1592</v>
      </c>
      <c r="E379" t="s">
        <v>2006</v>
      </c>
      <c r="F379" t="s">
        <v>2040</v>
      </c>
      <c r="G379" t="str">
        <f>"81"</f>
        <v>81</v>
      </c>
      <c r="H379" t="str">
        <f>"86"</f>
        <v>86</v>
      </c>
      <c r="I379" t="str">
        <f>"46.5"</f>
        <v>46.5</v>
      </c>
      <c r="J379" t="str">
        <f>"228.18"</f>
        <v>228.18</v>
      </c>
      <c r="K379" t="s">
        <v>806</v>
      </c>
      <c r="L379" t="s">
        <v>2365</v>
      </c>
      <c r="N379" t="s">
        <v>808</v>
      </c>
      <c r="O379" t="s">
        <v>809</v>
      </c>
      <c r="P379" t="s">
        <v>810</v>
      </c>
      <c r="Q379" t="s">
        <v>775</v>
      </c>
      <c r="T379" t="s">
        <v>373</v>
      </c>
      <c r="U379" t="s">
        <v>402</v>
      </c>
      <c r="V379" t="s">
        <v>7502</v>
      </c>
      <c r="W379" t="s">
        <v>7503</v>
      </c>
      <c r="X379" t="s">
        <v>7504</v>
      </c>
      <c r="Y379" t="s">
        <v>7505</v>
      </c>
      <c r="Z379" t="s">
        <v>7506</v>
      </c>
      <c r="AA379" t="s">
        <v>7507</v>
      </c>
      <c r="AB379" t="s">
        <v>7508</v>
      </c>
      <c r="AC379" t="s">
        <v>7509</v>
      </c>
      <c r="AD379" t="s">
        <v>7510</v>
      </c>
      <c r="AE379" t="s">
        <v>7511</v>
      </c>
      <c r="AF379" t="s">
        <v>7512</v>
      </c>
      <c r="AG379" t="s">
        <v>7513</v>
      </c>
      <c r="AH379" t="s">
        <v>7514</v>
      </c>
      <c r="AI379" t="s">
        <v>7515</v>
      </c>
      <c r="BA379" t="str">
        <f>"1999"</f>
        <v>1999</v>
      </c>
      <c r="BB379" t="str">
        <f>"840"</f>
        <v>840</v>
      </c>
      <c r="BC379" t="s">
        <v>665</v>
      </c>
      <c r="BD379" t="str">
        <f>"3"</f>
        <v>3</v>
      </c>
      <c r="BE379" t="s">
        <v>2163</v>
      </c>
      <c r="BF379" t="str">
        <f>"82.87"</f>
        <v>82.87</v>
      </c>
      <c r="BG379" t="str">
        <f>"48.43"</f>
        <v>48.43</v>
      </c>
      <c r="BH379" t="str">
        <f>"7.87"</f>
        <v>7.87</v>
      </c>
      <c r="BI379" t="str">
        <f>"112.44"</f>
        <v>112.44</v>
      </c>
      <c r="BJ379" t="s">
        <v>2806</v>
      </c>
      <c r="BK379" t="str">
        <f>"82.87"</f>
        <v>82.87</v>
      </c>
      <c r="BL379" t="str">
        <f>"12.99"</f>
        <v>12.99</v>
      </c>
      <c r="BM379" t="str">
        <f>"5.91"</f>
        <v>5.91</v>
      </c>
      <c r="BN379" t="str">
        <f>"72.75"</f>
        <v>72.75</v>
      </c>
      <c r="BO379" t="s">
        <v>2026</v>
      </c>
      <c r="BP379" t="str">
        <f>"83.07"</f>
        <v>83.07</v>
      </c>
      <c r="BQ379" t="str">
        <f>"12.99"</f>
        <v>12.99</v>
      </c>
      <c r="BR379" t="str">
        <f>"7.87"</f>
        <v>7.87</v>
      </c>
      <c r="BS379" t="str">
        <f>"70.55"</f>
        <v>70.55</v>
      </c>
      <c r="BY379" t="str">
        <f>"26.87"</f>
        <v>26.87</v>
      </c>
      <c r="BZ379" t="str">
        <f>"0.761"</f>
        <v>0.761</v>
      </c>
      <c r="CA379" t="s">
        <v>431</v>
      </c>
      <c r="CQ379" t="s">
        <v>631</v>
      </c>
      <c r="CR379" t="s">
        <v>400</v>
      </c>
      <c r="CS379">
        <v>0</v>
      </c>
      <c r="CT379" t="s">
        <v>400</v>
      </c>
      <c r="CV379">
        <v>0</v>
      </c>
      <c r="CX379" t="s">
        <v>1609</v>
      </c>
      <c r="CY379" t="s">
        <v>400</v>
      </c>
      <c r="DA379">
        <v>0</v>
      </c>
      <c r="DB379">
        <v>0</v>
      </c>
      <c r="DC379">
        <v>0</v>
      </c>
      <c r="DD379">
        <v>25000</v>
      </c>
      <c r="DK379" t="s">
        <v>7469</v>
      </c>
      <c r="DM379" t="s">
        <v>2028</v>
      </c>
      <c r="EG379" t="s">
        <v>2128</v>
      </c>
      <c r="EN379">
        <v>0</v>
      </c>
      <c r="ET379" t="s">
        <v>643</v>
      </c>
      <c r="HN379" t="s">
        <v>675</v>
      </c>
      <c r="HO379" t="s">
        <v>675</v>
      </c>
      <c r="HP379" t="s">
        <v>675</v>
      </c>
      <c r="HQ379" t="s">
        <v>7470</v>
      </c>
      <c r="HR379" t="s">
        <v>3638</v>
      </c>
      <c r="HS379" t="s">
        <v>2168</v>
      </c>
      <c r="HT379" t="s">
        <v>7471</v>
      </c>
      <c r="HU379" t="s">
        <v>2170</v>
      </c>
      <c r="HV379" t="s">
        <v>2168</v>
      </c>
      <c r="HW379" t="s">
        <v>2171</v>
      </c>
      <c r="HX379" t="s">
        <v>395</v>
      </c>
      <c r="HY379" t="s">
        <v>3255</v>
      </c>
      <c r="HZ379" t="s">
        <v>3188</v>
      </c>
      <c r="IA379" t="s">
        <v>6976</v>
      </c>
      <c r="IB379" t="s">
        <v>3638</v>
      </c>
      <c r="IC379" t="s">
        <v>402</v>
      </c>
      <c r="ID379" t="s">
        <v>5252</v>
      </c>
      <c r="IE379" t="s">
        <v>2037</v>
      </c>
      <c r="IF379" t="s">
        <v>2177</v>
      </c>
      <c r="IG379" t="s">
        <v>2040</v>
      </c>
      <c r="IM379" t="s">
        <v>395</v>
      </c>
      <c r="IN379" t="s">
        <v>3257</v>
      </c>
      <c r="IO379" t="s">
        <v>395</v>
      </c>
      <c r="IP379" t="s">
        <v>402</v>
      </c>
      <c r="IQ379" t="s">
        <v>3522</v>
      </c>
    </row>
    <row r="380" spans="1:251" x14ac:dyDescent="0.25">
      <c r="A380" t="s">
        <v>7516</v>
      </c>
      <c r="B380" t="str">
        <f>"801542729417"</f>
        <v>801542729417</v>
      </c>
      <c r="C380" t="s">
        <v>7517</v>
      </c>
      <c r="D380" t="s">
        <v>1420</v>
      </c>
      <c r="E380" t="s">
        <v>1077</v>
      </c>
      <c r="G380" t="str">
        <f>"51"</f>
        <v>51</v>
      </c>
      <c r="H380" t="str">
        <f>"27"</f>
        <v>27</v>
      </c>
      <c r="I380" t="str">
        <f>"17"</f>
        <v>17</v>
      </c>
      <c r="J380" t="str">
        <f>"52.91"</f>
        <v>52.91</v>
      </c>
      <c r="K380" t="s">
        <v>7518</v>
      </c>
      <c r="L380" t="s">
        <v>7519</v>
      </c>
      <c r="N380" t="s">
        <v>1423</v>
      </c>
      <c r="O380" t="s">
        <v>1424</v>
      </c>
      <c r="T380" t="s">
        <v>402</v>
      </c>
      <c r="U380" t="s">
        <v>373</v>
      </c>
      <c r="V380" t="s">
        <v>7520</v>
      </c>
      <c r="W380" t="s">
        <v>7521</v>
      </c>
      <c r="X380" t="s">
        <v>7522</v>
      </c>
      <c r="Y380" t="s">
        <v>7523</v>
      </c>
      <c r="Z380" t="s">
        <v>7524</v>
      </c>
      <c r="AA380" t="s">
        <v>7525</v>
      </c>
      <c r="AB380" t="s">
        <v>7526</v>
      </c>
      <c r="AC380" t="s">
        <v>7527</v>
      </c>
      <c r="AD380" t="s">
        <v>7528</v>
      </c>
      <c r="AE380" t="s">
        <v>7529</v>
      </c>
      <c r="AF380" t="s">
        <v>7530</v>
      </c>
      <c r="BA380" t="str">
        <f>"799"</f>
        <v>799</v>
      </c>
      <c r="BB380" t="str">
        <f>"340"</f>
        <v>340</v>
      </c>
      <c r="BC380" t="s">
        <v>665</v>
      </c>
      <c r="BD380" t="str">
        <f t="shared" ref="BD380:BD385" si="92">"2"</f>
        <v>2</v>
      </c>
      <c r="BE380" t="s">
        <v>1089</v>
      </c>
      <c r="BF380" t="str">
        <f>"55.12"</f>
        <v>55.12</v>
      </c>
      <c r="BG380" t="str">
        <f t="shared" ref="BG380:BG385" si="93">"4.72"</f>
        <v>4.72</v>
      </c>
      <c r="BH380" t="str">
        <f>"31.1"</f>
        <v>31.1</v>
      </c>
      <c r="BI380" t="str">
        <f>"37.48"</f>
        <v>37.48</v>
      </c>
      <c r="BJ380" t="s">
        <v>6351</v>
      </c>
      <c r="BK380" t="str">
        <f t="shared" ref="BK380:BL383" si="94">"21.65"</f>
        <v>21.65</v>
      </c>
      <c r="BL380" t="str">
        <f t="shared" si="94"/>
        <v>21.65</v>
      </c>
      <c r="BM380" t="str">
        <f>"19.69"</f>
        <v>19.69</v>
      </c>
      <c r="BN380" t="str">
        <f>"31.97"</f>
        <v>31.97</v>
      </c>
      <c r="BY380" t="str">
        <f>"10.03"</f>
        <v>10.03</v>
      </c>
      <c r="BZ380" t="str">
        <f>"0.284"</f>
        <v>0.284</v>
      </c>
      <c r="CA380" t="s">
        <v>431</v>
      </c>
      <c r="CR380" t="s">
        <v>400</v>
      </c>
      <c r="CS380">
        <v>0</v>
      </c>
      <c r="CT380" t="s">
        <v>400</v>
      </c>
      <c r="CV380">
        <v>0</v>
      </c>
      <c r="CX380" t="s">
        <v>953</v>
      </c>
      <c r="CY380" t="s">
        <v>400</v>
      </c>
      <c r="DC380">
        <v>0</v>
      </c>
      <c r="DJ380" t="s">
        <v>1437</v>
      </c>
      <c r="DK380" t="s">
        <v>1438</v>
      </c>
      <c r="DM380" t="s">
        <v>473</v>
      </c>
      <c r="DX380" t="s">
        <v>7531</v>
      </c>
      <c r="DY380" t="s">
        <v>3193</v>
      </c>
      <c r="DZ380" t="s">
        <v>7532</v>
      </c>
      <c r="EI380" t="s">
        <v>3193</v>
      </c>
      <c r="EJ380" t="s">
        <v>7531</v>
      </c>
      <c r="EK380" t="s">
        <v>7533</v>
      </c>
      <c r="EL380" t="s">
        <v>1441</v>
      </c>
      <c r="EM380" t="s">
        <v>402</v>
      </c>
      <c r="EN380">
        <v>0</v>
      </c>
      <c r="EO380">
        <v>0</v>
      </c>
      <c r="EX380" t="s">
        <v>7534</v>
      </c>
    </row>
    <row r="381" spans="1:251" x14ac:dyDescent="0.25">
      <c r="A381" t="s">
        <v>7535</v>
      </c>
      <c r="B381" t="str">
        <f>"801542763206"</f>
        <v>801542763206</v>
      </c>
      <c r="C381" t="s">
        <v>7536</v>
      </c>
      <c r="D381" t="s">
        <v>1420</v>
      </c>
      <c r="E381" t="s">
        <v>1077</v>
      </c>
      <c r="G381" t="str">
        <f>"51"</f>
        <v>51</v>
      </c>
      <c r="H381" t="str">
        <f>"27"</f>
        <v>27</v>
      </c>
      <c r="I381" t="str">
        <f>"17"</f>
        <v>17</v>
      </c>
      <c r="J381" t="str">
        <f>"52.91"</f>
        <v>52.91</v>
      </c>
      <c r="K381" t="s">
        <v>1421</v>
      </c>
      <c r="L381" t="s">
        <v>1422</v>
      </c>
      <c r="N381" t="s">
        <v>1423</v>
      </c>
      <c r="O381" t="s">
        <v>1424</v>
      </c>
      <c r="T381" t="s">
        <v>402</v>
      </c>
      <c r="U381" t="s">
        <v>373</v>
      </c>
      <c r="V381" t="s">
        <v>7537</v>
      </c>
      <c r="W381" t="s">
        <v>7538</v>
      </c>
      <c r="X381" t="s">
        <v>7539</v>
      </c>
      <c r="Y381" t="s">
        <v>7540</v>
      </c>
      <c r="Z381" t="s">
        <v>7541</v>
      </c>
      <c r="AA381" t="s">
        <v>7542</v>
      </c>
      <c r="AB381" t="s">
        <v>7543</v>
      </c>
      <c r="AC381" t="s">
        <v>7544</v>
      </c>
      <c r="AD381" t="s">
        <v>7545</v>
      </c>
      <c r="AE381" t="s">
        <v>7546</v>
      </c>
      <c r="AF381" t="s">
        <v>7547</v>
      </c>
      <c r="BA381" t="str">
        <f>"799"</f>
        <v>799</v>
      </c>
      <c r="BB381" t="str">
        <f>"340"</f>
        <v>340</v>
      </c>
      <c r="BC381" t="s">
        <v>665</v>
      </c>
      <c r="BD381" t="str">
        <f t="shared" si="92"/>
        <v>2</v>
      </c>
      <c r="BE381" t="s">
        <v>1089</v>
      </c>
      <c r="BF381" t="str">
        <f>"55.12"</f>
        <v>55.12</v>
      </c>
      <c r="BG381" t="str">
        <f t="shared" si="93"/>
        <v>4.72</v>
      </c>
      <c r="BH381" t="str">
        <f>"31.1"</f>
        <v>31.1</v>
      </c>
      <c r="BI381" t="str">
        <f>"37.48"</f>
        <v>37.48</v>
      </c>
      <c r="BJ381" t="s">
        <v>6351</v>
      </c>
      <c r="BK381" t="str">
        <f t="shared" si="94"/>
        <v>21.65</v>
      </c>
      <c r="BL381" t="str">
        <f t="shared" si="94"/>
        <v>21.65</v>
      </c>
      <c r="BM381" t="str">
        <f>"19.69"</f>
        <v>19.69</v>
      </c>
      <c r="BN381" t="str">
        <f>"31.97"</f>
        <v>31.97</v>
      </c>
      <c r="BY381" t="str">
        <f>"10.03"</f>
        <v>10.03</v>
      </c>
      <c r="BZ381" t="str">
        <f>"0.284"</f>
        <v>0.284</v>
      </c>
      <c r="CA381" t="s">
        <v>495</v>
      </c>
      <c r="CR381" t="s">
        <v>400</v>
      </c>
      <c r="CS381">
        <v>0</v>
      </c>
      <c r="CT381" t="s">
        <v>400</v>
      </c>
      <c r="CV381">
        <v>0</v>
      </c>
      <c r="CX381" t="s">
        <v>953</v>
      </c>
      <c r="CY381" t="s">
        <v>400</v>
      </c>
      <c r="DC381">
        <v>0</v>
      </c>
      <c r="DJ381" t="s">
        <v>1437</v>
      </c>
      <c r="DK381" t="s">
        <v>1438</v>
      </c>
      <c r="DM381" t="s">
        <v>473</v>
      </c>
      <c r="DX381" t="s">
        <v>7531</v>
      </c>
      <c r="DY381" t="s">
        <v>3193</v>
      </c>
      <c r="DZ381" t="s">
        <v>7532</v>
      </c>
      <c r="EI381" t="s">
        <v>3193</v>
      </c>
      <c r="EJ381" t="s">
        <v>7531</v>
      </c>
      <c r="EK381" t="s">
        <v>7533</v>
      </c>
      <c r="EL381" t="s">
        <v>1441</v>
      </c>
      <c r="EM381" t="s">
        <v>402</v>
      </c>
      <c r="EN381">
        <v>0</v>
      </c>
      <c r="EO381">
        <v>0</v>
      </c>
      <c r="EX381" t="s">
        <v>7534</v>
      </c>
    </row>
    <row r="382" spans="1:251" x14ac:dyDescent="0.25">
      <c r="A382" t="s">
        <v>7548</v>
      </c>
      <c r="B382" t="str">
        <f>"801542060176"</f>
        <v>801542060176</v>
      </c>
      <c r="C382" t="s">
        <v>7549</v>
      </c>
      <c r="D382" t="s">
        <v>1420</v>
      </c>
      <c r="E382" t="s">
        <v>1077</v>
      </c>
      <c r="G382" t="str">
        <f>"51"</f>
        <v>51</v>
      </c>
      <c r="H382" t="str">
        <f>"27"</f>
        <v>27</v>
      </c>
      <c r="I382" t="str">
        <f>"17"</f>
        <v>17</v>
      </c>
      <c r="J382" t="str">
        <f>"52.91"</f>
        <v>52.91</v>
      </c>
      <c r="K382" t="s">
        <v>1446</v>
      </c>
      <c r="L382" t="s">
        <v>1447</v>
      </c>
      <c r="N382" t="s">
        <v>1423</v>
      </c>
      <c r="O382" t="s">
        <v>1424</v>
      </c>
      <c r="T382" t="s">
        <v>402</v>
      </c>
      <c r="U382" t="s">
        <v>373</v>
      </c>
      <c r="V382" t="s">
        <v>7550</v>
      </c>
      <c r="W382" t="s">
        <v>7551</v>
      </c>
      <c r="X382" t="s">
        <v>7552</v>
      </c>
      <c r="Y382" t="s">
        <v>7553</v>
      </c>
      <c r="Z382" t="s">
        <v>7554</v>
      </c>
      <c r="AA382" t="s">
        <v>7555</v>
      </c>
      <c r="AB382" t="s">
        <v>7556</v>
      </c>
      <c r="AC382" t="s">
        <v>7557</v>
      </c>
      <c r="AD382" t="s">
        <v>7558</v>
      </c>
      <c r="AE382" t="s">
        <v>7559</v>
      </c>
      <c r="AF382" t="s">
        <v>7560</v>
      </c>
      <c r="BA382" t="str">
        <f>"799"</f>
        <v>799</v>
      </c>
      <c r="BB382" t="str">
        <f>"340"</f>
        <v>340</v>
      </c>
      <c r="BC382" t="s">
        <v>665</v>
      </c>
      <c r="BD382" t="str">
        <f t="shared" si="92"/>
        <v>2</v>
      </c>
      <c r="BE382" t="s">
        <v>1089</v>
      </c>
      <c r="BF382" t="str">
        <f>"55.12"</f>
        <v>55.12</v>
      </c>
      <c r="BG382" t="str">
        <f t="shared" si="93"/>
        <v>4.72</v>
      </c>
      <c r="BH382" t="str">
        <f>"31.1"</f>
        <v>31.1</v>
      </c>
      <c r="BI382" t="str">
        <f>"37.48"</f>
        <v>37.48</v>
      </c>
      <c r="BJ382" t="s">
        <v>6351</v>
      </c>
      <c r="BK382" t="str">
        <f t="shared" si="94"/>
        <v>21.65</v>
      </c>
      <c r="BL382" t="str">
        <f t="shared" si="94"/>
        <v>21.65</v>
      </c>
      <c r="BM382" t="str">
        <f>"19.69"</f>
        <v>19.69</v>
      </c>
      <c r="BN382" t="str">
        <f>"31.97"</f>
        <v>31.97</v>
      </c>
      <c r="BY382" t="str">
        <f>"10.03"</f>
        <v>10.03</v>
      </c>
      <c r="BZ382" t="str">
        <f>"0.284"</f>
        <v>0.284</v>
      </c>
      <c r="CA382" t="s">
        <v>495</v>
      </c>
      <c r="CR382" t="s">
        <v>400</v>
      </c>
      <c r="CS382">
        <v>0</v>
      </c>
      <c r="CT382" t="s">
        <v>400</v>
      </c>
      <c r="CV382">
        <v>0</v>
      </c>
      <c r="CX382" t="s">
        <v>953</v>
      </c>
      <c r="CY382" t="s">
        <v>400</v>
      </c>
      <c r="DC382">
        <v>0</v>
      </c>
      <c r="DJ382" t="s">
        <v>1437</v>
      </c>
      <c r="DK382" t="s">
        <v>1438</v>
      </c>
      <c r="DM382" t="s">
        <v>473</v>
      </c>
      <c r="DX382" t="s">
        <v>7531</v>
      </c>
      <c r="DY382" t="s">
        <v>3193</v>
      </c>
      <c r="DZ382" t="s">
        <v>7532</v>
      </c>
      <c r="EI382" t="s">
        <v>3193</v>
      </c>
      <c r="EJ382" t="s">
        <v>7531</v>
      </c>
      <c r="EK382" t="s">
        <v>7533</v>
      </c>
      <c r="EL382" t="s">
        <v>1441</v>
      </c>
      <c r="EM382" t="s">
        <v>402</v>
      </c>
      <c r="EN382">
        <v>0</v>
      </c>
      <c r="EO382">
        <v>0</v>
      </c>
      <c r="EX382" t="s">
        <v>7534</v>
      </c>
    </row>
    <row r="383" spans="1:251" x14ac:dyDescent="0.25">
      <c r="A383" t="s">
        <v>7561</v>
      </c>
      <c r="B383" t="str">
        <f>"198394019699"</f>
        <v>198394019699</v>
      </c>
      <c r="C383" t="s">
        <v>7562</v>
      </c>
      <c r="D383" t="s">
        <v>1420</v>
      </c>
      <c r="E383" t="s">
        <v>1077</v>
      </c>
      <c r="G383" t="str">
        <f>"51"</f>
        <v>51</v>
      </c>
      <c r="H383" t="str">
        <f>"27"</f>
        <v>27</v>
      </c>
      <c r="I383" t="str">
        <f>"17"</f>
        <v>17</v>
      </c>
      <c r="J383" t="str">
        <f>"71.65"</f>
        <v>71.65</v>
      </c>
      <c r="K383" t="s">
        <v>1462</v>
      </c>
      <c r="N383" t="s">
        <v>1463</v>
      </c>
      <c r="O383" t="s">
        <v>372</v>
      </c>
      <c r="T383" t="s">
        <v>402</v>
      </c>
      <c r="U383" t="s">
        <v>373</v>
      </c>
      <c r="V383" t="s">
        <v>7563</v>
      </c>
      <c r="W383" t="s">
        <v>7564</v>
      </c>
      <c r="X383" t="s">
        <v>7565</v>
      </c>
      <c r="Y383" t="s">
        <v>7566</v>
      </c>
      <c r="Z383" t="s">
        <v>7567</v>
      </c>
      <c r="AA383" t="s">
        <v>7568</v>
      </c>
      <c r="AB383" t="s">
        <v>7569</v>
      </c>
      <c r="AC383" t="s">
        <v>7570</v>
      </c>
      <c r="AD383" t="s">
        <v>7571</v>
      </c>
      <c r="AE383" t="s">
        <v>7572</v>
      </c>
      <c r="AF383" t="s">
        <v>7573</v>
      </c>
      <c r="BA383" t="str">
        <f>"899"</f>
        <v>899</v>
      </c>
      <c r="BB383" t="str">
        <f>"380"</f>
        <v>380</v>
      </c>
      <c r="BC383" t="s">
        <v>665</v>
      </c>
      <c r="BD383" t="str">
        <f t="shared" si="92"/>
        <v>2</v>
      </c>
      <c r="BE383" t="s">
        <v>1089</v>
      </c>
      <c r="BF383" t="str">
        <f>"55.12"</f>
        <v>55.12</v>
      </c>
      <c r="BG383" t="str">
        <f t="shared" si="93"/>
        <v>4.72</v>
      </c>
      <c r="BH383" t="str">
        <f>"31.1"</f>
        <v>31.1</v>
      </c>
      <c r="BI383" t="str">
        <f>"51.81"</f>
        <v>51.81</v>
      </c>
      <c r="BJ383" t="s">
        <v>6351</v>
      </c>
      <c r="BK383" t="str">
        <f t="shared" si="94"/>
        <v>21.65</v>
      </c>
      <c r="BL383" t="str">
        <f t="shared" si="94"/>
        <v>21.65</v>
      </c>
      <c r="BM383" t="str">
        <f>"19.69"</f>
        <v>19.69</v>
      </c>
      <c r="BN383" t="str">
        <f>"36.38"</f>
        <v>36.38</v>
      </c>
      <c r="BY383" t="str">
        <f>"10.03"</f>
        <v>10.03</v>
      </c>
      <c r="BZ383" t="str">
        <f>"0.284"</f>
        <v>0.284</v>
      </c>
      <c r="CA383" t="s">
        <v>495</v>
      </c>
      <c r="CR383" t="s">
        <v>400</v>
      </c>
      <c r="CS383">
        <v>0</v>
      </c>
      <c r="CT383" t="s">
        <v>400</v>
      </c>
      <c r="CV383">
        <v>0</v>
      </c>
      <c r="CX383" t="s">
        <v>953</v>
      </c>
      <c r="CY383" t="s">
        <v>400</v>
      </c>
      <c r="DC383">
        <v>0</v>
      </c>
      <c r="DJ383" t="s">
        <v>1437</v>
      </c>
      <c r="DK383" t="s">
        <v>1438</v>
      </c>
      <c r="DM383" t="s">
        <v>473</v>
      </c>
      <c r="DX383" t="s">
        <v>7531</v>
      </c>
      <c r="DY383" t="s">
        <v>3193</v>
      </c>
      <c r="DZ383" t="s">
        <v>7532</v>
      </c>
      <c r="EI383" t="s">
        <v>3193</v>
      </c>
      <c r="EJ383" t="s">
        <v>7531</v>
      </c>
      <c r="EK383" t="s">
        <v>7533</v>
      </c>
      <c r="EL383" t="s">
        <v>1441</v>
      </c>
      <c r="EM383" t="s">
        <v>402</v>
      </c>
      <c r="EN383">
        <v>0</v>
      </c>
      <c r="EO383">
        <v>0</v>
      </c>
      <c r="EX383" t="s">
        <v>7534</v>
      </c>
    </row>
    <row r="384" spans="1:251" x14ac:dyDescent="0.25">
      <c r="A384" t="s">
        <v>7574</v>
      </c>
      <c r="B384" t="str">
        <f>"801542060237"</f>
        <v>801542060237</v>
      </c>
      <c r="C384" t="s">
        <v>7575</v>
      </c>
      <c r="D384" t="s">
        <v>1420</v>
      </c>
      <c r="E384" t="s">
        <v>459</v>
      </c>
      <c r="G384" t="str">
        <f t="shared" ref="G384:I385" si="95">"22"</f>
        <v>22</v>
      </c>
      <c r="H384" t="str">
        <f t="shared" si="95"/>
        <v>22</v>
      </c>
      <c r="I384" t="str">
        <f t="shared" si="95"/>
        <v>22</v>
      </c>
      <c r="J384" t="str">
        <f>"25.35"</f>
        <v>25.35</v>
      </c>
      <c r="K384" t="s">
        <v>1446</v>
      </c>
      <c r="L384" t="s">
        <v>1447</v>
      </c>
      <c r="N384" t="s">
        <v>1423</v>
      </c>
      <c r="O384" t="s">
        <v>1424</v>
      </c>
      <c r="T384" t="s">
        <v>402</v>
      </c>
      <c r="U384" t="s">
        <v>373</v>
      </c>
      <c r="V384" t="s">
        <v>7576</v>
      </c>
      <c r="W384" t="s">
        <v>7577</v>
      </c>
      <c r="X384" t="s">
        <v>7578</v>
      </c>
      <c r="Y384" t="s">
        <v>7579</v>
      </c>
      <c r="Z384" t="s">
        <v>7580</v>
      </c>
      <c r="AA384" t="s">
        <v>7581</v>
      </c>
      <c r="AB384" t="s">
        <v>7582</v>
      </c>
      <c r="AC384" t="s">
        <v>7583</v>
      </c>
      <c r="AD384" t="s">
        <v>7584</v>
      </c>
      <c r="AE384" t="s">
        <v>7585</v>
      </c>
      <c r="BA384" t="str">
        <f>"479"</f>
        <v>479</v>
      </c>
      <c r="BB384" t="str">
        <f>"205"</f>
        <v>205</v>
      </c>
      <c r="BC384" t="s">
        <v>665</v>
      </c>
      <c r="BD384" t="str">
        <f t="shared" si="92"/>
        <v>2</v>
      </c>
      <c r="BE384" t="s">
        <v>7586</v>
      </c>
      <c r="BF384" t="str">
        <f>"25.98"</f>
        <v>25.98</v>
      </c>
      <c r="BG384" t="str">
        <f t="shared" si="93"/>
        <v>4.72</v>
      </c>
      <c r="BH384" t="str">
        <f>"25.98"</f>
        <v>25.98</v>
      </c>
      <c r="BI384" t="str">
        <f>"15.43"</f>
        <v>15.43</v>
      </c>
      <c r="BJ384" t="s">
        <v>6351</v>
      </c>
      <c r="BK384" t="str">
        <f>"14.57"</f>
        <v>14.57</v>
      </c>
      <c r="BL384" t="str">
        <f>"14.57"</f>
        <v>14.57</v>
      </c>
      <c r="BM384" t="str">
        <f>"24.8"</f>
        <v>24.8</v>
      </c>
      <c r="BN384" t="str">
        <f>"22.05"</f>
        <v>22.05</v>
      </c>
      <c r="BY384" t="str">
        <f>"4.87"</f>
        <v>4.87</v>
      </c>
      <c r="BZ384" t="str">
        <f>"0.138"</f>
        <v>0.138</v>
      </c>
      <c r="CA384" t="s">
        <v>495</v>
      </c>
      <c r="CR384" t="s">
        <v>400</v>
      </c>
      <c r="CS384">
        <v>0</v>
      </c>
      <c r="CT384" t="s">
        <v>400</v>
      </c>
      <c r="CV384">
        <v>0</v>
      </c>
      <c r="CX384" t="s">
        <v>953</v>
      </c>
      <c r="CY384" t="s">
        <v>400</v>
      </c>
      <c r="DC384">
        <v>0</v>
      </c>
      <c r="DJ384" t="s">
        <v>1437</v>
      </c>
      <c r="DK384" t="s">
        <v>1438</v>
      </c>
      <c r="DM384" t="s">
        <v>473</v>
      </c>
      <c r="DX384" t="s">
        <v>2124</v>
      </c>
      <c r="DZ384" t="s">
        <v>7587</v>
      </c>
      <c r="EI384" t="s">
        <v>676</v>
      </c>
      <c r="EJ384" t="s">
        <v>6907</v>
      </c>
      <c r="EK384" t="s">
        <v>7588</v>
      </c>
      <c r="EL384" t="s">
        <v>1441</v>
      </c>
      <c r="EM384" t="s">
        <v>402</v>
      </c>
      <c r="EN384">
        <v>0</v>
      </c>
      <c r="EO384">
        <v>0</v>
      </c>
      <c r="EX384" t="s">
        <v>7589</v>
      </c>
    </row>
    <row r="385" spans="1:293" x14ac:dyDescent="0.25">
      <c r="A385" t="s">
        <v>7590</v>
      </c>
      <c r="B385" t="str">
        <f>"198394019729"</f>
        <v>198394019729</v>
      </c>
      <c r="C385" t="s">
        <v>7591</v>
      </c>
      <c r="D385" t="s">
        <v>1420</v>
      </c>
      <c r="E385" t="s">
        <v>459</v>
      </c>
      <c r="G385" t="str">
        <f t="shared" si="95"/>
        <v>22</v>
      </c>
      <c r="H385" t="str">
        <f t="shared" si="95"/>
        <v>22</v>
      </c>
      <c r="I385" t="str">
        <f t="shared" si="95"/>
        <v>22</v>
      </c>
      <c r="J385" t="str">
        <f>"33.07"</f>
        <v>33.07</v>
      </c>
      <c r="K385" t="s">
        <v>1462</v>
      </c>
      <c r="N385" t="s">
        <v>1463</v>
      </c>
      <c r="O385" t="s">
        <v>372</v>
      </c>
      <c r="T385" t="s">
        <v>402</v>
      </c>
      <c r="U385" t="s">
        <v>373</v>
      </c>
      <c r="V385" t="s">
        <v>7592</v>
      </c>
      <c r="W385" t="s">
        <v>7593</v>
      </c>
      <c r="X385" t="s">
        <v>7594</v>
      </c>
      <c r="Y385" t="s">
        <v>7595</v>
      </c>
      <c r="Z385" t="s">
        <v>7596</v>
      </c>
      <c r="AA385" t="s">
        <v>7597</v>
      </c>
      <c r="AB385" t="s">
        <v>7598</v>
      </c>
      <c r="AC385" t="s">
        <v>7599</v>
      </c>
      <c r="AD385" t="s">
        <v>7600</v>
      </c>
      <c r="AE385" t="s">
        <v>7601</v>
      </c>
      <c r="BA385" t="str">
        <f>"549"</f>
        <v>549</v>
      </c>
      <c r="BB385" t="str">
        <f>"235"</f>
        <v>235</v>
      </c>
      <c r="BC385" t="s">
        <v>665</v>
      </c>
      <c r="BD385" t="str">
        <f t="shared" si="92"/>
        <v>2</v>
      </c>
      <c r="BE385" t="s">
        <v>7586</v>
      </c>
      <c r="BF385" t="str">
        <f>"25.98"</f>
        <v>25.98</v>
      </c>
      <c r="BG385" t="str">
        <f t="shared" si="93"/>
        <v>4.72</v>
      </c>
      <c r="BH385" t="str">
        <f>"25.98"</f>
        <v>25.98</v>
      </c>
      <c r="BI385" t="str">
        <f>"19.84"</f>
        <v>19.84</v>
      </c>
      <c r="BJ385" t="s">
        <v>6351</v>
      </c>
      <c r="BK385" t="str">
        <f>"14.57"</f>
        <v>14.57</v>
      </c>
      <c r="BL385" t="str">
        <f>"14.57"</f>
        <v>14.57</v>
      </c>
      <c r="BM385" t="str">
        <f>"24.8"</f>
        <v>24.8</v>
      </c>
      <c r="BN385" t="str">
        <f>"25.35"</f>
        <v>25.35</v>
      </c>
      <c r="BY385" t="str">
        <f>"4.87"</f>
        <v>4.87</v>
      </c>
      <c r="BZ385" t="str">
        <f>"0.138"</f>
        <v>0.138</v>
      </c>
      <c r="CA385" t="s">
        <v>495</v>
      </c>
      <c r="CR385" t="s">
        <v>400</v>
      </c>
      <c r="CS385">
        <v>0</v>
      </c>
      <c r="CT385" t="s">
        <v>400</v>
      </c>
      <c r="CV385">
        <v>0</v>
      </c>
      <c r="CX385" t="s">
        <v>953</v>
      </c>
      <c r="CY385" t="s">
        <v>400</v>
      </c>
      <c r="DC385">
        <v>0</v>
      </c>
      <c r="DJ385" t="s">
        <v>1437</v>
      </c>
      <c r="DK385" t="s">
        <v>1438</v>
      </c>
      <c r="DM385" t="s">
        <v>473</v>
      </c>
      <c r="DX385" t="s">
        <v>2124</v>
      </c>
      <c r="DZ385" t="s">
        <v>7587</v>
      </c>
      <c r="EI385" t="s">
        <v>676</v>
      </c>
      <c r="EJ385" t="s">
        <v>6907</v>
      </c>
      <c r="EK385" t="s">
        <v>7588</v>
      </c>
      <c r="EL385" t="s">
        <v>1441</v>
      </c>
      <c r="EM385" t="s">
        <v>402</v>
      </c>
      <c r="EN385">
        <v>0</v>
      </c>
      <c r="EO385">
        <v>0</v>
      </c>
      <c r="EX385" t="s">
        <v>7589</v>
      </c>
    </row>
    <row r="386" spans="1:293" x14ac:dyDescent="0.25">
      <c r="A386" t="s">
        <v>7602</v>
      </c>
      <c r="B386" t="str">
        <f>"801542726218"</f>
        <v>801542726218</v>
      </c>
      <c r="C386" t="s">
        <v>7603</v>
      </c>
      <c r="D386" t="s">
        <v>722</v>
      </c>
      <c r="E386" t="s">
        <v>964</v>
      </c>
      <c r="F386" t="s">
        <v>6640</v>
      </c>
      <c r="G386" t="str">
        <f>"35"</f>
        <v>35</v>
      </c>
      <c r="H386" t="str">
        <f>"16"</f>
        <v>16</v>
      </c>
      <c r="I386" t="str">
        <f>"34.75"</f>
        <v>34.75</v>
      </c>
      <c r="J386" t="str">
        <f>"74.96"</f>
        <v>74.96</v>
      </c>
      <c r="K386" t="s">
        <v>752</v>
      </c>
      <c r="L386" t="s">
        <v>724</v>
      </c>
      <c r="N386" t="s">
        <v>372</v>
      </c>
      <c r="T386" t="s">
        <v>373</v>
      </c>
      <c r="U386" t="s">
        <v>373</v>
      </c>
      <c r="V386" t="s">
        <v>7604</v>
      </c>
      <c r="W386" t="s">
        <v>7605</v>
      </c>
      <c r="X386" t="s">
        <v>7606</v>
      </c>
      <c r="Y386" t="s">
        <v>7607</v>
      </c>
      <c r="Z386" t="s">
        <v>7608</v>
      </c>
      <c r="AA386" t="s">
        <v>7609</v>
      </c>
      <c r="AB386" t="s">
        <v>7610</v>
      </c>
      <c r="AC386" t="s">
        <v>7611</v>
      </c>
      <c r="AD386" t="s">
        <v>7612</v>
      </c>
      <c r="AE386" t="s">
        <v>7613</v>
      </c>
      <c r="AF386" t="s">
        <v>7614</v>
      </c>
      <c r="AG386" t="s">
        <v>7615</v>
      </c>
      <c r="AH386" t="s">
        <v>7616</v>
      </c>
      <c r="AI386" t="s">
        <v>7617</v>
      </c>
      <c r="AJ386" t="s">
        <v>7618</v>
      </c>
      <c r="AK386" t="s">
        <v>7619</v>
      </c>
      <c r="AL386" t="s">
        <v>7620</v>
      </c>
      <c r="BA386" t="str">
        <f>"1449"</f>
        <v>1449</v>
      </c>
      <c r="BB386" t="str">
        <f>"610"</f>
        <v>610</v>
      </c>
      <c r="BC386" t="s">
        <v>388</v>
      </c>
      <c r="BD386" t="str">
        <f>"1"</f>
        <v>1</v>
      </c>
      <c r="BE386" t="s">
        <v>389</v>
      </c>
      <c r="BF386" t="str">
        <f>"38.19"</f>
        <v>38.19</v>
      </c>
      <c r="BG386" t="str">
        <f>"19.29"</f>
        <v>19.29</v>
      </c>
      <c r="BH386" t="str">
        <f>"38.98"</f>
        <v>38.98</v>
      </c>
      <c r="BI386" t="str">
        <f>"92.59"</f>
        <v>92.59</v>
      </c>
      <c r="BY386" t="str">
        <f>"16.63"</f>
        <v>16.63</v>
      </c>
      <c r="BZ386" t="str">
        <f>"0.471"</f>
        <v>0.471</v>
      </c>
      <c r="CA386" t="s">
        <v>495</v>
      </c>
      <c r="CE386" t="s">
        <v>1039</v>
      </c>
      <c r="CF386" t="s">
        <v>612</v>
      </c>
      <c r="CG386" t="s">
        <v>7621</v>
      </c>
      <c r="CR386" t="s">
        <v>400</v>
      </c>
      <c r="CS386">
        <v>0</v>
      </c>
      <c r="CT386" t="s">
        <v>400</v>
      </c>
      <c r="CV386">
        <v>0</v>
      </c>
      <c r="CX386" t="s">
        <v>403</v>
      </c>
      <c r="CY386" t="s">
        <v>954</v>
      </c>
      <c r="DA386">
        <v>18.14</v>
      </c>
      <c r="DB386">
        <v>40</v>
      </c>
      <c r="DC386">
        <v>1</v>
      </c>
      <c r="DJ386" t="s">
        <v>982</v>
      </c>
      <c r="DK386" t="s">
        <v>7622</v>
      </c>
      <c r="DX386" t="s">
        <v>1358</v>
      </c>
      <c r="EM386" t="s">
        <v>402</v>
      </c>
      <c r="EN386">
        <v>1</v>
      </c>
      <c r="EZ386" t="s">
        <v>7623</v>
      </c>
      <c r="FA386" t="s">
        <v>5144</v>
      </c>
      <c r="FB386" t="s">
        <v>7624</v>
      </c>
      <c r="FC386" t="s">
        <v>1039</v>
      </c>
      <c r="FD386" t="s">
        <v>6662</v>
      </c>
      <c r="FE386" t="s">
        <v>7621</v>
      </c>
      <c r="FF386">
        <v>0</v>
      </c>
      <c r="FG386" t="s">
        <v>402</v>
      </c>
      <c r="FH386" t="s">
        <v>959</v>
      </c>
      <c r="FI386">
        <v>2</v>
      </c>
      <c r="FJ386" t="s">
        <v>960</v>
      </c>
      <c r="FK386" t="s">
        <v>1611</v>
      </c>
      <c r="FL386">
        <v>0</v>
      </c>
      <c r="FM386" t="s">
        <v>402</v>
      </c>
      <c r="FN386" t="s">
        <v>6664</v>
      </c>
      <c r="FO386" t="s">
        <v>5044</v>
      </c>
      <c r="FQ386">
        <v>0</v>
      </c>
      <c r="HI386" t="s">
        <v>402</v>
      </c>
      <c r="JJ386" t="s">
        <v>1357</v>
      </c>
    </row>
    <row r="387" spans="1:293" x14ac:dyDescent="0.25">
      <c r="A387" t="s">
        <v>7625</v>
      </c>
      <c r="B387" t="str">
        <f>"801542739966"</f>
        <v>801542739966</v>
      </c>
      <c r="C387" t="s">
        <v>7626</v>
      </c>
      <c r="D387" t="s">
        <v>1420</v>
      </c>
      <c r="E387" t="s">
        <v>1319</v>
      </c>
      <c r="F387" t="s">
        <v>1320</v>
      </c>
      <c r="G387" t="str">
        <f>"68"</f>
        <v>68</v>
      </c>
      <c r="H387" t="str">
        <f>"27"</f>
        <v>27</v>
      </c>
      <c r="I387" t="str">
        <f>"31"</f>
        <v>31</v>
      </c>
      <c r="J387" t="str">
        <f>"189.6"</f>
        <v>189.6</v>
      </c>
      <c r="K387" t="s">
        <v>5112</v>
      </c>
      <c r="L387" t="s">
        <v>5052</v>
      </c>
      <c r="N387" t="s">
        <v>1463</v>
      </c>
      <c r="O387" t="s">
        <v>555</v>
      </c>
      <c r="T387" t="s">
        <v>373</v>
      </c>
      <c r="U387" t="s">
        <v>373</v>
      </c>
      <c r="V387" t="s">
        <v>7627</v>
      </c>
      <c r="W387" t="s">
        <v>7628</v>
      </c>
      <c r="X387" t="s">
        <v>7629</v>
      </c>
      <c r="Y387" t="s">
        <v>7630</v>
      </c>
      <c r="Z387" t="s">
        <v>7631</v>
      </c>
      <c r="AA387" t="s">
        <v>7632</v>
      </c>
      <c r="AB387" t="s">
        <v>7633</v>
      </c>
      <c r="AC387" t="s">
        <v>7634</v>
      </c>
      <c r="AD387" t="s">
        <v>7635</v>
      </c>
      <c r="AE387" t="s">
        <v>7636</v>
      </c>
      <c r="AF387" t="s">
        <v>7637</v>
      </c>
      <c r="AG387" t="s">
        <v>7638</v>
      </c>
      <c r="AH387" t="s">
        <v>7639</v>
      </c>
      <c r="AI387" t="s">
        <v>7640</v>
      </c>
      <c r="AJ387" t="s">
        <v>7641</v>
      </c>
      <c r="BA387" t="str">
        <f>"2099"</f>
        <v>2099</v>
      </c>
      <c r="BB387" t="str">
        <f>"885"</f>
        <v>885</v>
      </c>
      <c r="BC387" t="s">
        <v>665</v>
      </c>
      <c r="BD387" t="str">
        <f>"1"</f>
        <v>1</v>
      </c>
      <c r="BE387" t="s">
        <v>1266</v>
      </c>
      <c r="BF387" t="str">
        <f>"70.28"</f>
        <v>70.28</v>
      </c>
      <c r="BG387" t="str">
        <f>"30.71"</f>
        <v>30.71</v>
      </c>
      <c r="BH387" t="str">
        <f>"30.91"</f>
        <v>30.91</v>
      </c>
      <c r="BI387" t="str">
        <f>"233.69"</f>
        <v>233.69</v>
      </c>
      <c r="BY387" t="str">
        <f>"38.6"</f>
        <v>38.6</v>
      </c>
      <c r="BZ387" t="str">
        <f>"1.093"</f>
        <v>1.093</v>
      </c>
      <c r="CA387" t="s">
        <v>495</v>
      </c>
      <c r="CE387" t="s">
        <v>2071</v>
      </c>
      <c r="CF387" t="s">
        <v>676</v>
      </c>
      <c r="CG387" t="s">
        <v>396</v>
      </c>
      <c r="CR387" t="s">
        <v>5068</v>
      </c>
      <c r="CS387">
        <v>4</v>
      </c>
      <c r="CT387" t="s">
        <v>400</v>
      </c>
      <c r="CV387">
        <v>0</v>
      </c>
      <c r="CX387" t="s">
        <v>953</v>
      </c>
      <c r="CY387" t="s">
        <v>954</v>
      </c>
      <c r="DC387">
        <v>1</v>
      </c>
      <c r="DJ387" t="s">
        <v>1345</v>
      </c>
      <c r="DK387" t="s">
        <v>5069</v>
      </c>
      <c r="DM387" t="s">
        <v>473</v>
      </c>
      <c r="DX387" t="s">
        <v>5070</v>
      </c>
      <c r="DY387" t="s">
        <v>603</v>
      </c>
      <c r="DZ387" t="s">
        <v>7642</v>
      </c>
      <c r="EI387" t="s">
        <v>956</v>
      </c>
      <c r="EJ387" t="s">
        <v>3188</v>
      </c>
      <c r="EK387" t="s">
        <v>956</v>
      </c>
      <c r="EL387" t="s">
        <v>4614</v>
      </c>
      <c r="EM387" t="s">
        <v>402</v>
      </c>
      <c r="EN387">
        <v>1</v>
      </c>
      <c r="EW387" t="s">
        <v>5934</v>
      </c>
      <c r="EZ387" t="s">
        <v>7643</v>
      </c>
      <c r="FA387" t="s">
        <v>4614</v>
      </c>
      <c r="FB387" t="s">
        <v>396</v>
      </c>
      <c r="FC387" t="s">
        <v>2071</v>
      </c>
      <c r="FD387" t="s">
        <v>4614</v>
      </c>
      <c r="FE387" t="s">
        <v>396</v>
      </c>
      <c r="FG387" t="s">
        <v>402</v>
      </c>
      <c r="FH387" t="s">
        <v>4905</v>
      </c>
      <c r="FI387">
        <v>1</v>
      </c>
      <c r="FJ387" t="s">
        <v>960</v>
      </c>
      <c r="FK387" t="s">
        <v>1246</v>
      </c>
      <c r="FM387" t="s">
        <v>402</v>
      </c>
      <c r="FO387" t="s">
        <v>984</v>
      </c>
      <c r="FP387" t="s">
        <v>402</v>
      </c>
      <c r="FR387" t="s">
        <v>3805</v>
      </c>
      <c r="FS387" t="s">
        <v>3805</v>
      </c>
      <c r="FT387" t="s">
        <v>7644</v>
      </c>
      <c r="FU387" t="s">
        <v>6634</v>
      </c>
      <c r="FV387" t="s">
        <v>5047</v>
      </c>
      <c r="FW387" t="s">
        <v>5047</v>
      </c>
      <c r="FX387" t="s">
        <v>4210</v>
      </c>
      <c r="FZ387" t="s">
        <v>1018</v>
      </c>
      <c r="GE387">
        <v>1</v>
      </c>
      <c r="GX387" t="s">
        <v>1290</v>
      </c>
      <c r="GY387" t="s">
        <v>3805</v>
      </c>
      <c r="HA387" t="s">
        <v>7644</v>
      </c>
      <c r="HC387" t="s">
        <v>3192</v>
      </c>
      <c r="HH387" t="s">
        <v>402</v>
      </c>
      <c r="HI387" t="s">
        <v>402</v>
      </c>
    </row>
    <row r="388" spans="1:293" x14ac:dyDescent="0.25">
      <c r="A388" t="s">
        <v>7645</v>
      </c>
      <c r="B388" t="str">
        <f>"801542004484"</f>
        <v>801542004484</v>
      </c>
      <c r="C388" t="s">
        <v>7646</v>
      </c>
      <c r="D388" t="s">
        <v>1420</v>
      </c>
      <c r="E388" t="s">
        <v>1319</v>
      </c>
      <c r="F388" t="s">
        <v>1320</v>
      </c>
      <c r="G388" t="str">
        <f>"68"</f>
        <v>68</v>
      </c>
      <c r="H388" t="str">
        <f>"27"</f>
        <v>27</v>
      </c>
      <c r="I388" t="str">
        <f>"31"</f>
        <v>31</v>
      </c>
      <c r="J388" t="str">
        <f>"189.6"</f>
        <v>189.6</v>
      </c>
      <c r="K388" t="s">
        <v>5051</v>
      </c>
      <c r="L388" t="s">
        <v>5052</v>
      </c>
      <c r="N388" t="s">
        <v>1463</v>
      </c>
      <c r="O388" t="s">
        <v>555</v>
      </c>
      <c r="T388" t="s">
        <v>373</v>
      </c>
      <c r="U388" t="s">
        <v>373</v>
      </c>
      <c r="V388" t="s">
        <v>7647</v>
      </c>
      <c r="W388" t="s">
        <v>7648</v>
      </c>
      <c r="X388" t="s">
        <v>7649</v>
      </c>
      <c r="Y388" t="s">
        <v>7650</v>
      </c>
      <c r="Z388" t="s">
        <v>7651</v>
      </c>
      <c r="AA388" t="s">
        <v>7652</v>
      </c>
      <c r="AB388" t="s">
        <v>7653</v>
      </c>
      <c r="AC388" t="s">
        <v>7654</v>
      </c>
      <c r="AD388" t="s">
        <v>7655</v>
      </c>
      <c r="AE388" t="s">
        <v>7656</v>
      </c>
      <c r="AF388" t="s">
        <v>7657</v>
      </c>
      <c r="AG388" t="s">
        <v>7658</v>
      </c>
      <c r="AH388" t="s">
        <v>7659</v>
      </c>
      <c r="AI388" t="s">
        <v>7660</v>
      </c>
      <c r="AJ388" t="s">
        <v>7661</v>
      </c>
      <c r="BA388" t="str">
        <f>"2099"</f>
        <v>2099</v>
      </c>
      <c r="BB388" t="str">
        <f>"885"</f>
        <v>885</v>
      </c>
      <c r="BC388" t="s">
        <v>665</v>
      </c>
      <c r="BD388" t="str">
        <f>"1"</f>
        <v>1</v>
      </c>
      <c r="BE388" t="s">
        <v>1266</v>
      </c>
      <c r="BF388" t="str">
        <f>"70.28"</f>
        <v>70.28</v>
      </c>
      <c r="BG388" t="str">
        <f>"30.71"</f>
        <v>30.71</v>
      </c>
      <c r="BH388" t="str">
        <f>"30.91"</f>
        <v>30.91</v>
      </c>
      <c r="BI388" t="str">
        <f>"233.69"</f>
        <v>233.69</v>
      </c>
      <c r="BY388" t="str">
        <f>"38.6"</f>
        <v>38.6</v>
      </c>
      <c r="BZ388" t="str">
        <f>"1.093"</f>
        <v>1.093</v>
      </c>
      <c r="CA388" t="s">
        <v>495</v>
      </c>
      <c r="CE388" t="s">
        <v>2071</v>
      </c>
      <c r="CF388" t="s">
        <v>676</v>
      </c>
      <c r="CG388" t="s">
        <v>396</v>
      </c>
      <c r="CR388" t="s">
        <v>5068</v>
      </c>
      <c r="CS388">
        <v>4</v>
      </c>
      <c r="CT388" t="s">
        <v>400</v>
      </c>
      <c r="CV388">
        <v>0</v>
      </c>
      <c r="CX388" t="s">
        <v>953</v>
      </c>
      <c r="CY388" t="s">
        <v>954</v>
      </c>
      <c r="DC388">
        <v>1</v>
      </c>
      <c r="DJ388" t="s">
        <v>1345</v>
      </c>
      <c r="DK388" t="s">
        <v>5069</v>
      </c>
      <c r="DM388" t="s">
        <v>473</v>
      </c>
      <c r="DX388" t="s">
        <v>5070</v>
      </c>
      <c r="DY388" t="s">
        <v>603</v>
      </c>
      <c r="DZ388" t="s">
        <v>7642</v>
      </c>
      <c r="EI388" t="s">
        <v>956</v>
      </c>
      <c r="EJ388" t="s">
        <v>3188</v>
      </c>
      <c r="EK388" t="s">
        <v>956</v>
      </c>
      <c r="EL388" t="s">
        <v>4614</v>
      </c>
      <c r="EM388" t="s">
        <v>402</v>
      </c>
      <c r="EN388">
        <v>1</v>
      </c>
      <c r="EW388" t="s">
        <v>5934</v>
      </c>
      <c r="EZ388" t="s">
        <v>7643</v>
      </c>
      <c r="FA388" t="s">
        <v>4614</v>
      </c>
      <c r="FB388" t="s">
        <v>396</v>
      </c>
      <c r="FC388" t="s">
        <v>2071</v>
      </c>
      <c r="FD388" t="s">
        <v>4614</v>
      </c>
      <c r="FE388" t="s">
        <v>396</v>
      </c>
      <c r="FG388" t="s">
        <v>402</v>
      </c>
      <c r="FH388" t="s">
        <v>4905</v>
      </c>
      <c r="FI388">
        <v>1</v>
      </c>
      <c r="FJ388" t="s">
        <v>960</v>
      </c>
      <c r="FK388" t="s">
        <v>1246</v>
      </c>
      <c r="FM388" t="s">
        <v>402</v>
      </c>
      <c r="FO388" t="s">
        <v>984</v>
      </c>
      <c r="FP388" t="s">
        <v>402</v>
      </c>
      <c r="FR388" t="s">
        <v>3805</v>
      </c>
      <c r="FS388" t="s">
        <v>3805</v>
      </c>
      <c r="FT388" t="s">
        <v>7644</v>
      </c>
      <c r="FU388" t="s">
        <v>6634</v>
      </c>
      <c r="FV388" t="s">
        <v>5047</v>
      </c>
      <c r="FW388" t="s">
        <v>5047</v>
      </c>
      <c r="FX388" t="s">
        <v>4210</v>
      </c>
      <c r="FZ388" t="s">
        <v>1018</v>
      </c>
      <c r="GE388">
        <v>1</v>
      </c>
      <c r="GX388" t="s">
        <v>1290</v>
      </c>
      <c r="GY388" t="s">
        <v>3805</v>
      </c>
      <c r="HA388" t="s">
        <v>7644</v>
      </c>
      <c r="HC388" t="s">
        <v>3192</v>
      </c>
      <c r="HH388" t="s">
        <v>402</v>
      </c>
      <c r="HI388" t="s">
        <v>402</v>
      </c>
    </row>
    <row r="389" spans="1:293" x14ac:dyDescent="0.25">
      <c r="A389" t="s">
        <v>7662</v>
      </c>
      <c r="B389" t="str">
        <f>"801542037185"</f>
        <v>801542037185</v>
      </c>
      <c r="C389" t="s">
        <v>7663</v>
      </c>
      <c r="D389" t="s">
        <v>1276</v>
      </c>
      <c r="E389" t="s">
        <v>988</v>
      </c>
      <c r="G389" t="str">
        <f>"72"</f>
        <v>72</v>
      </c>
      <c r="H389" t="str">
        <f>"20"</f>
        <v>20</v>
      </c>
      <c r="I389" t="str">
        <f>"33.5"</f>
        <v>33.5</v>
      </c>
      <c r="J389" t="str">
        <f>"228.18"</f>
        <v>228.18</v>
      </c>
      <c r="K389" t="s">
        <v>7043</v>
      </c>
      <c r="N389" t="s">
        <v>1970</v>
      </c>
      <c r="O389" t="s">
        <v>372</v>
      </c>
      <c r="T389" t="s">
        <v>373</v>
      </c>
      <c r="U389" t="s">
        <v>373</v>
      </c>
      <c r="V389" t="s">
        <v>7664</v>
      </c>
      <c r="W389" t="s">
        <v>7665</v>
      </c>
      <c r="X389" t="s">
        <v>7666</v>
      </c>
      <c r="Y389" t="s">
        <v>7667</v>
      </c>
      <c r="Z389" t="s">
        <v>7668</v>
      </c>
      <c r="AA389" t="s">
        <v>7669</v>
      </c>
      <c r="AB389" t="s">
        <v>7670</v>
      </c>
      <c r="AC389" t="s">
        <v>7671</v>
      </c>
      <c r="AD389" t="s">
        <v>7672</v>
      </c>
      <c r="AE389" t="s">
        <v>7673</v>
      </c>
      <c r="AF389" t="s">
        <v>7674</v>
      </c>
      <c r="AG389" t="s">
        <v>7675</v>
      </c>
      <c r="AH389" t="s">
        <v>7676</v>
      </c>
      <c r="BA389" t="str">
        <f>"2399"</f>
        <v>2399</v>
      </c>
      <c r="BB389" t="str">
        <f>"1010"</f>
        <v>1010</v>
      </c>
      <c r="BC389" t="s">
        <v>665</v>
      </c>
      <c r="BD389" t="str">
        <f>"1"</f>
        <v>1</v>
      </c>
      <c r="BE389" t="s">
        <v>7677</v>
      </c>
      <c r="BF389" t="str">
        <f>"75.79"</f>
        <v>75.79</v>
      </c>
      <c r="BG389" t="str">
        <f>"23.62"</f>
        <v>23.62</v>
      </c>
      <c r="BH389" t="str">
        <f>"40.16"</f>
        <v>40.16</v>
      </c>
      <c r="BI389" t="str">
        <f>"276.68"</f>
        <v>276.68</v>
      </c>
      <c r="BY389" t="str">
        <f>"41.6"</f>
        <v>41.6</v>
      </c>
      <c r="BZ389" t="str">
        <f>"1.178"</f>
        <v>1.178</v>
      </c>
      <c r="CA389" t="s">
        <v>390</v>
      </c>
      <c r="CR389" t="s">
        <v>1007</v>
      </c>
      <c r="CS389">
        <v>6</v>
      </c>
      <c r="CT389" t="s">
        <v>400</v>
      </c>
      <c r="CV389">
        <v>0</v>
      </c>
      <c r="CX389" t="s">
        <v>1980</v>
      </c>
      <c r="CY389" t="s">
        <v>1009</v>
      </c>
      <c r="DC389">
        <v>0</v>
      </c>
      <c r="DJ389" t="s">
        <v>1010</v>
      </c>
      <c r="DK389" t="s">
        <v>7066</v>
      </c>
      <c r="DM389" t="s">
        <v>669</v>
      </c>
      <c r="DX389" t="s">
        <v>1290</v>
      </c>
      <c r="EN389">
        <v>0</v>
      </c>
      <c r="FI389">
        <v>0</v>
      </c>
      <c r="FJ389" t="s">
        <v>1012</v>
      </c>
      <c r="FR389" t="s">
        <v>4675</v>
      </c>
      <c r="FT389" t="s">
        <v>7678</v>
      </c>
      <c r="FV389" t="s">
        <v>7679</v>
      </c>
      <c r="FX389" t="s">
        <v>1017</v>
      </c>
      <c r="FZ389" t="s">
        <v>1018</v>
      </c>
    </row>
    <row r="390" spans="1:293" x14ac:dyDescent="0.25">
      <c r="A390" t="s">
        <v>7680</v>
      </c>
      <c r="B390" t="str">
        <f>"801542048358"</f>
        <v>801542048358</v>
      </c>
      <c r="C390" t="s">
        <v>7681</v>
      </c>
      <c r="D390" t="s">
        <v>1592</v>
      </c>
      <c r="E390" t="s">
        <v>2006</v>
      </c>
      <c r="F390" t="s">
        <v>2007</v>
      </c>
      <c r="G390" t="str">
        <f>"70.25"</f>
        <v>70.25</v>
      </c>
      <c r="H390" t="str">
        <f>"88.5"</f>
        <v>88.5</v>
      </c>
      <c r="I390" t="str">
        <f>"46"</f>
        <v>46</v>
      </c>
      <c r="J390" t="str">
        <f>"182.98"</f>
        <v>182.98</v>
      </c>
      <c r="K390" t="s">
        <v>4353</v>
      </c>
      <c r="L390" t="s">
        <v>2365</v>
      </c>
      <c r="N390" t="s">
        <v>1170</v>
      </c>
      <c r="O390" t="s">
        <v>2269</v>
      </c>
      <c r="P390" t="s">
        <v>775</v>
      </c>
      <c r="T390" t="s">
        <v>373</v>
      </c>
      <c r="U390" t="s">
        <v>402</v>
      </c>
      <c r="V390" t="s">
        <v>7682</v>
      </c>
      <c r="W390" t="s">
        <v>7683</v>
      </c>
      <c r="X390" t="s">
        <v>7684</v>
      </c>
      <c r="Y390" t="s">
        <v>7685</v>
      </c>
      <c r="Z390" t="s">
        <v>7686</v>
      </c>
      <c r="AA390" t="s">
        <v>7687</v>
      </c>
      <c r="AB390" t="s">
        <v>7688</v>
      </c>
      <c r="AC390" t="s">
        <v>7689</v>
      </c>
      <c r="AD390" t="s">
        <v>7690</v>
      </c>
      <c r="AE390" t="s">
        <v>7691</v>
      </c>
      <c r="AF390" t="s">
        <v>7692</v>
      </c>
      <c r="AG390" t="s">
        <v>7693</v>
      </c>
      <c r="AH390" t="s">
        <v>7694</v>
      </c>
      <c r="BA390" t="str">
        <f>"1599"</f>
        <v>1599</v>
      </c>
      <c r="BB390" t="str">
        <f>"675"</f>
        <v>675</v>
      </c>
      <c r="BC390" t="s">
        <v>665</v>
      </c>
      <c r="BD390" t="str">
        <f>"3"</f>
        <v>3</v>
      </c>
      <c r="BE390" t="s">
        <v>7695</v>
      </c>
      <c r="BF390" t="str">
        <f>"82.09"</f>
        <v>82.09</v>
      </c>
      <c r="BG390" t="str">
        <f>"11.22"</f>
        <v>11.22</v>
      </c>
      <c r="BH390" t="str">
        <f>"7.87"</f>
        <v>7.87</v>
      </c>
      <c r="BI390" t="str">
        <f>"61.73"</f>
        <v>61.73</v>
      </c>
      <c r="BJ390" t="s">
        <v>2163</v>
      </c>
      <c r="BK390" t="str">
        <f>"73.03"</f>
        <v>73.03</v>
      </c>
      <c r="BL390" t="str">
        <f>"50.59"</f>
        <v>50.59</v>
      </c>
      <c r="BM390" t="str">
        <f>"6.69"</f>
        <v>6.69</v>
      </c>
      <c r="BN390" t="str">
        <f>"77.82"</f>
        <v>77.82</v>
      </c>
      <c r="BO390" t="s">
        <v>3245</v>
      </c>
      <c r="BP390" t="str">
        <f>"73.03"</f>
        <v>73.03</v>
      </c>
      <c r="BQ390" t="str">
        <f>"16.34"</f>
        <v>16.34</v>
      </c>
      <c r="BR390" t="str">
        <f>"5.12"</f>
        <v>5.12</v>
      </c>
      <c r="BS390" t="str">
        <f>"70.99"</f>
        <v>70.99</v>
      </c>
      <c r="BY390" t="str">
        <f>"22.04"</f>
        <v>22.04</v>
      </c>
      <c r="BZ390" t="str">
        <f>"0.624"</f>
        <v>0.624</v>
      </c>
      <c r="CA390" t="s">
        <v>431</v>
      </c>
      <c r="CQ390" t="s">
        <v>631</v>
      </c>
      <c r="CR390" t="s">
        <v>400</v>
      </c>
      <c r="CS390">
        <v>0</v>
      </c>
      <c r="CT390" t="s">
        <v>400</v>
      </c>
      <c r="CV390">
        <v>0</v>
      </c>
      <c r="CX390" t="s">
        <v>1609</v>
      </c>
      <c r="CY390" t="s">
        <v>400</v>
      </c>
      <c r="DA390">
        <v>0</v>
      </c>
      <c r="DB390">
        <v>0</v>
      </c>
      <c r="DC390">
        <v>0</v>
      </c>
      <c r="DD390">
        <v>25000</v>
      </c>
      <c r="DK390" t="s">
        <v>7696</v>
      </c>
      <c r="DM390" t="s">
        <v>2028</v>
      </c>
      <c r="EG390" t="s">
        <v>1513</v>
      </c>
      <c r="EN390">
        <v>0</v>
      </c>
      <c r="HN390" t="s">
        <v>3079</v>
      </c>
      <c r="HO390" t="s">
        <v>3079</v>
      </c>
      <c r="HP390" t="s">
        <v>3079</v>
      </c>
      <c r="HQ390" t="s">
        <v>979</v>
      </c>
      <c r="HR390" t="s">
        <v>675</v>
      </c>
      <c r="HS390" t="s">
        <v>7697</v>
      </c>
      <c r="HT390" t="s">
        <v>7698</v>
      </c>
      <c r="HU390" t="s">
        <v>542</v>
      </c>
      <c r="HV390" t="s">
        <v>7697</v>
      </c>
      <c r="HW390" t="s">
        <v>2171</v>
      </c>
      <c r="HX390" t="s">
        <v>7699</v>
      </c>
      <c r="HY390" t="s">
        <v>3273</v>
      </c>
      <c r="HZ390" t="s">
        <v>7700</v>
      </c>
      <c r="IA390" t="s">
        <v>7701</v>
      </c>
      <c r="IB390" t="s">
        <v>675</v>
      </c>
      <c r="IC390" t="s">
        <v>402</v>
      </c>
      <c r="ID390" t="s">
        <v>5252</v>
      </c>
      <c r="IE390" t="s">
        <v>2037</v>
      </c>
      <c r="IF390" t="s">
        <v>2177</v>
      </c>
      <c r="IG390" t="s">
        <v>2007</v>
      </c>
      <c r="IM390" t="s">
        <v>395</v>
      </c>
      <c r="IN390" t="s">
        <v>7702</v>
      </c>
      <c r="IO390" t="s">
        <v>395</v>
      </c>
      <c r="IP390" t="s">
        <v>402</v>
      </c>
      <c r="IQ390" t="s">
        <v>3522</v>
      </c>
    </row>
    <row r="391" spans="1:293" x14ac:dyDescent="0.25">
      <c r="A391" t="s">
        <v>7703</v>
      </c>
      <c r="B391" t="str">
        <f>"801542048327"</f>
        <v>801542048327</v>
      </c>
      <c r="C391" t="s">
        <v>7681</v>
      </c>
      <c r="D391" t="s">
        <v>1592</v>
      </c>
      <c r="E391" t="s">
        <v>2006</v>
      </c>
      <c r="F391" t="s">
        <v>2040</v>
      </c>
      <c r="G391" t="str">
        <f>"86.5"</f>
        <v>86.5</v>
      </c>
      <c r="H391" t="str">
        <f>"88.5"</f>
        <v>88.5</v>
      </c>
      <c r="I391" t="str">
        <f>"46"</f>
        <v>46</v>
      </c>
      <c r="J391" t="str">
        <f>"203.93"</f>
        <v>203.93</v>
      </c>
      <c r="K391" t="s">
        <v>4353</v>
      </c>
      <c r="L391" t="s">
        <v>2365</v>
      </c>
      <c r="N391" t="s">
        <v>1170</v>
      </c>
      <c r="O391" t="s">
        <v>2269</v>
      </c>
      <c r="P391" t="s">
        <v>775</v>
      </c>
      <c r="T391" t="s">
        <v>373</v>
      </c>
      <c r="U391" t="s">
        <v>402</v>
      </c>
      <c r="V391" t="s">
        <v>7704</v>
      </c>
      <c r="W391" t="s">
        <v>7705</v>
      </c>
      <c r="X391" t="s">
        <v>7706</v>
      </c>
      <c r="Y391" t="s">
        <v>7707</v>
      </c>
      <c r="Z391" t="s">
        <v>7708</v>
      </c>
      <c r="AA391" t="s">
        <v>7687</v>
      </c>
      <c r="AB391" t="s">
        <v>7709</v>
      </c>
      <c r="AC391" t="s">
        <v>7710</v>
      </c>
      <c r="AD391" t="s">
        <v>7711</v>
      </c>
      <c r="AE391" t="s">
        <v>7712</v>
      </c>
      <c r="AF391" t="s">
        <v>7713</v>
      </c>
      <c r="AG391" t="s">
        <v>7714</v>
      </c>
      <c r="AH391" t="s">
        <v>7715</v>
      </c>
      <c r="BA391" t="str">
        <f>"1799"</f>
        <v>1799</v>
      </c>
      <c r="BB391" t="str">
        <f>"760"</f>
        <v>760</v>
      </c>
      <c r="BC391" t="s">
        <v>665</v>
      </c>
      <c r="BD391" t="str">
        <f>"3"</f>
        <v>3</v>
      </c>
      <c r="BE391" t="s">
        <v>7695</v>
      </c>
      <c r="BF391" t="str">
        <f>"82.09"</f>
        <v>82.09</v>
      </c>
      <c r="BG391" t="str">
        <f>"11.22"</f>
        <v>11.22</v>
      </c>
      <c r="BH391" t="str">
        <f>"7.87"</f>
        <v>7.87</v>
      </c>
      <c r="BI391" t="str">
        <f>"63.93"</f>
        <v>63.93</v>
      </c>
      <c r="BJ391" t="s">
        <v>2163</v>
      </c>
      <c r="BK391" t="str">
        <f>"89.17"</f>
        <v>89.17</v>
      </c>
      <c r="BL391" t="str">
        <f>"50.59"</f>
        <v>50.59</v>
      </c>
      <c r="BM391" t="str">
        <f>"6.69"</f>
        <v>6.69</v>
      </c>
      <c r="BN391" t="str">
        <f>"95.9"</f>
        <v>95.9</v>
      </c>
      <c r="BO391" t="s">
        <v>3245</v>
      </c>
      <c r="BP391" t="str">
        <f>"89.17"</f>
        <v>89.17</v>
      </c>
      <c r="BQ391" t="str">
        <f>"16.34"</f>
        <v>16.34</v>
      </c>
      <c r="BR391" t="str">
        <f>"5.12"</f>
        <v>5.12</v>
      </c>
      <c r="BS391" t="str">
        <f>"76.06"</f>
        <v>76.06</v>
      </c>
      <c r="BY391" t="str">
        <f>"25.99"</f>
        <v>25.99</v>
      </c>
      <c r="BZ391" t="str">
        <f>"0.736"</f>
        <v>0.736</v>
      </c>
      <c r="CA391" t="s">
        <v>431</v>
      </c>
      <c r="CQ391" t="s">
        <v>631</v>
      </c>
      <c r="CR391" t="s">
        <v>400</v>
      </c>
      <c r="CS391">
        <v>0</v>
      </c>
      <c r="CT391" t="s">
        <v>400</v>
      </c>
      <c r="CV391">
        <v>0</v>
      </c>
      <c r="CX391" t="s">
        <v>1609</v>
      </c>
      <c r="CY391" t="s">
        <v>400</v>
      </c>
      <c r="DA391">
        <v>0</v>
      </c>
      <c r="DB391">
        <v>0</v>
      </c>
      <c r="DC391">
        <v>0</v>
      </c>
      <c r="DD391">
        <v>25000</v>
      </c>
      <c r="DK391" t="s">
        <v>7696</v>
      </c>
      <c r="DM391" t="s">
        <v>2028</v>
      </c>
      <c r="EG391" t="s">
        <v>1513</v>
      </c>
      <c r="EN391">
        <v>0</v>
      </c>
      <c r="HN391" t="s">
        <v>3079</v>
      </c>
      <c r="HO391" t="s">
        <v>3079</v>
      </c>
      <c r="HP391" t="s">
        <v>3079</v>
      </c>
      <c r="HQ391" t="s">
        <v>979</v>
      </c>
      <c r="HR391" t="s">
        <v>675</v>
      </c>
      <c r="HS391" t="s">
        <v>7716</v>
      </c>
      <c r="HT391" t="s">
        <v>7698</v>
      </c>
      <c r="HU391" t="s">
        <v>542</v>
      </c>
      <c r="HV391" t="s">
        <v>7716</v>
      </c>
      <c r="HW391" t="s">
        <v>2171</v>
      </c>
      <c r="HX391" t="s">
        <v>7699</v>
      </c>
      <c r="HY391" t="s">
        <v>2173</v>
      </c>
      <c r="HZ391" t="s">
        <v>7700</v>
      </c>
      <c r="IA391" t="s">
        <v>7701</v>
      </c>
      <c r="IB391" t="s">
        <v>675</v>
      </c>
      <c r="IC391" t="s">
        <v>402</v>
      </c>
      <c r="ID391" t="s">
        <v>5252</v>
      </c>
      <c r="IE391" t="s">
        <v>2037</v>
      </c>
      <c r="IF391" t="s">
        <v>2177</v>
      </c>
      <c r="IG391" t="s">
        <v>2040</v>
      </c>
      <c r="IM391" t="s">
        <v>395</v>
      </c>
      <c r="IN391" t="s">
        <v>7702</v>
      </c>
      <c r="IO391" t="s">
        <v>395</v>
      </c>
      <c r="IP391" t="s">
        <v>402</v>
      </c>
      <c r="IQ391" t="s">
        <v>3522</v>
      </c>
    </row>
    <row r="392" spans="1:293" x14ac:dyDescent="0.25">
      <c r="A392" t="s">
        <v>7717</v>
      </c>
      <c r="B392" t="str">
        <f>"801542871963"</f>
        <v>801542871963</v>
      </c>
      <c r="C392" t="s">
        <v>7718</v>
      </c>
      <c r="D392" t="s">
        <v>1165</v>
      </c>
      <c r="E392" t="s">
        <v>413</v>
      </c>
      <c r="G392" t="str">
        <f>"88.5"</f>
        <v>88.5</v>
      </c>
      <c r="H392" t="str">
        <f>"39"</f>
        <v>39</v>
      </c>
      <c r="I392" t="str">
        <f>"32.5"</f>
        <v>32.5</v>
      </c>
      <c r="J392" t="str">
        <f>"227.07"</f>
        <v>227.07</v>
      </c>
      <c r="K392" t="s">
        <v>1168</v>
      </c>
      <c r="L392" t="s">
        <v>1169</v>
      </c>
      <c r="N392" t="s">
        <v>1170</v>
      </c>
      <c r="O392" t="s">
        <v>1171</v>
      </c>
      <c r="P392" t="s">
        <v>1172</v>
      </c>
      <c r="T392" t="s">
        <v>373</v>
      </c>
      <c r="U392" t="s">
        <v>373</v>
      </c>
      <c r="V392" t="s">
        <v>7719</v>
      </c>
      <c r="W392" t="s">
        <v>7720</v>
      </c>
      <c r="X392" t="s">
        <v>7721</v>
      </c>
      <c r="Y392" t="s">
        <v>7722</v>
      </c>
      <c r="Z392" t="s">
        <v>7723</v>
      </c>
      <c r="AA392" t="s">
        <v>7724</v>
      </c>
      <c r="AB392" t="s">
        <v>7725</v>
      </c>
      <c r="AC392" t="s">
        <v>7726</v>
      </c>
      <c r="AD392" t="s">
        <v>7727</v>
      </c>
      <c r="AE392" t="s">
        <v>7728</v>
      </c>
      <c r="AF392" t="s">
        <v>7729</v>
      </c>
      <c r="AG392" t="s">
        <v>7730</v>
      </c>
      <c r="AH392" t="s">
        <v>7731</v>
      </c>
      <c r="AI392" t="s">
        <v>7732</v>
      </c>
      <c r="AJ392" t="s">
        <v>7733</v>
      </c>
      <c r="AK392" t="s">
        <v>7734</v>
      </c>
      <c r="AL392" t="s">
        <v>7735</v>
      </c>
      <c r="AM392" t="s">
        <v>7736</v>
      </c>
      <c r="BA392" t="str">
        <f>"3399"</f>
        <v>3399</v>
      </c>
      <c r="BB392" t="str">
        <f>"1430"</f>
        <v>1430</v>
      </c>
      <c r="BC392" t="s">
        <v>1149</v>
      </c>
      <c r="BD392" t="str">
        <f>"1"</f>
        <v>1</v>
      </c>
      <c r="BE392" t="s">
        <v>389</v>
      </c>
      <c r="BF392" t="str">
        <f>"94.09"</f>
        <v>94.09</v>
      </c>
      <c r="BG392" t="str">
        <f>"43.31"</f>
        <v>43.31</v>
      </c>
      <c r="BH392" t="str">
        <f>"27.56"</f>
        <v>27.56</v>
      </c>
      <c r="BI392" t="str">
        <f>"248.15"</f>
        <v>248.15</v>
      </c>
      <c r="BY392" t="str">
        <f>"64.98"</f>
        <v>64.98</v>
      </c>
      <c r="BZ392" t="str">
        <f>"1.84"</f>
        <v>1.84</v>
      </c>
      <c r="CA392" t="s">
        <v>431</v>
      </c>
      <c r="CH392" t="s">
        <v>612</v>
      </c>
      <c r="CI392" t="s">
        <v>5405</v>
      </c>
      <c r="CJ392" t="s">
        <v>7737</v>
      </c>
      <c r="CK392" t="s">
        <v>1510</v>
      </c>
      <c r="CL392" t="s">
        <v>791</v>
      </c>
      <c r="CM392" t="s">
        <v>7738</v>
      </c>
      <c r="CN392">
        <v>0</v>
      </c>
      <c r="CO392">
        <v>2</v>
      </c>
      <c r="CP392" t="s">
        <v>437</v>
      </c>
      <c r="CQ392" t="s">
        <v>1152</v>
      </c>
      <c r="CU392" t="s">
        <v>1187</v>
      </c>
      <c r="CX392" t="s">
        <v>403</v>
      </c>
      <c r="CY392" t="s">
        <v>3672</v>
      </c>
      <c r="CZ392">
        <v>0</v>
      </c>
      <c r="DD392">
        <v>30000</v>
      </c>
      <c r="DE392" t="s">
        <v>5385</v>
      </c>
      <c r="DF392" t="s">
        <v>406</v>
      </c>
      <c r="DG392" t="s">
        <v>407</v>
      </c>
      <c r="DH392">
        <v>2</v>
      </c>
      <c r="DI392">
        <v>4</v>
      </c>
      <c r="DK392" t="s">
        <v>1189</v>
      </c>
      <c r="DL392">
        <v>0</v>
      </c>
      <c r="DM392" t="s">
        <v>795</v>
      </c>
      <c r="DN392" t="s">
        <v>600</v>
      </c>
      <c r="DO392" t="s">
        <v>446</v>
      </c>
      <c r="DP392" t="s">
        <v>2996</v>
      </c>
      <c r="DT392" t="s">
        <v>3025</v>
      </c>
      <c r="DU392" t="s">
        <v>442</v>
      </c>
      <c r="DV392" t="s">
        <v>449</v>
      </c>
      <c r="DW392" t="s">
        <v>7737</v>
      </c>
      <c r="DX392" t="s">
        <v>827</v>
      </c>
      <c r="DY392" t="s">
        <v>578</v>
      </c>
      <c r="DZ392" t="s">
        <v>3253</v>
      </c>
      <c r="EA392" t="s">
        <v>446</v>
      </c>
      <c r="ED392" t="s">
        <v>406</v>
      </c>
      <c r="EE392" t="s">
        <v>407</v>
      </c>
      <c r="EF392" t="s">
        <v>1190</v>
      </c>
      <c r="EG392" t="s">
        <v>749</v>
      </c>
      <c r="ET392" t="s">
        <v>832</v>
      </c>
      <c r="IG392" t="s">
        <v>2007</v>
      </c>
      <c r="JD392" t="s">
        <v>435</v>
      </c>
      <c r="JE392" t="s">
        <v>7739</v>
      </c>
      <c r="JF392" t="s">
        <v>6354</v>
      </c>
    </row>
    <row r="393" spans="1:293" x14ac:dyDescent="0.25">
      <c r="A393" t="s">
        <v>7740</v>
      </c>
      <c r="B393" t="str">
        <f>"801542908218"</f>
        <v>801542908218</v>
      </c>
      <c r="C393" t="s">
        <v>7741</v>
      </c>
      <c r="D393" t="s">
        <v>1165</v>
      </c>
      <c r="E393" t="s">
        <v>413</v>
      </c>
      <c r="G393" t="str">
        <f>"88.5"</f>
        <v>88.5</v>
      </c>
      <c r="H393" t="str">
        <f>"39"</f>
        <v>39</v>
      </c>
      <c r="I393" t="str">
        <f>"32.5"</f>
        <v>32.5</v>
      </c>
      <c r="J393" t="str">
        <f>"227.07"</f>
        <v>227.07</v>
      </c>
      <c r="K393" t="s">
        <v>1195</v>
      </c>
      <c r="L393" t="s">
        <v>1169</v>
      </c>
      <c r="N393" t="s">
        <v>371</v>
      </c>
      <c r="O393" t="s">
        <v>1172</v>
      </c>
      <c r="T393" t="s">
        <v>373</v>
      </c>
      <c r="U393" t="s">
        <v>402</v>
      </c>
      <c r="V393" t="s">
        <v>7742</v>
      </c>
      <c r="W393" t="s">
        <v>7743</v>
      </c>
      <c r="X393" t="s">
        <v>7744</v>
      </c>
      <c r="Y393" t="s">
        <v>7745</v>
      </c>
      <c r="Z393" t="s">
        <v>7746</v>
      </c>
      <c r="AA393" t="s">
        <v>7747</v>
      </c>
      <c r="AB393" t="s">
        <v>7748</v>
      </c>
      <c r="AC393" t="s">
        <v>7749</v>
      </c>
      <c r="AD393" t="s">
        <v>7750</v>
      </c>
      <c r="AE393" t="s">
        <v>7751</v>
      </c>
      <c r="AF393" t="s">
        <v>7752</v>
      </c>
      <c r="AG393" t="s">
        <v>7753</v>
      </c>
      <c r="AH393" t="s">
        <v>7754</v>
      </c>
      <c r="AI393" t="s">
        <v>7755</v>
      </c>
      <c r="AJ393" t="s">
        <v>7756</v>
      </c>
      <c r="AK393" t="s">
        <v>7757</v>
      </c>
      <c r="AL393" t="s">
        <v>7758</v>
      </c>
      <c r="AM393" t="s">
        <v>7759</v>
      </c>
      <c r="AN393" t="s">
        <v>7760</v>
      </c>
      <c r="BA393" t="str">
        <f>"3499"</f>
        <v>3499</v>
      </c>
      <c r="BB393" t="str">
        <f>"1470"</f>
        <v>1470</v>
      </c>
      <c r="BC393" t="s">
        <v>1149</v>
      </c>
      <c r="BD393" t="str">
        <f>"1"</f>
        <v>1</v>
      </c>
      <c r="BE393" t="s">
        <v>389</v>
      </c>
      <c r="BF393" t="str">
        <f>"94.09"</f>
        <v>94.09</v>
      </c>
      <c r="BG393" t="str">
        <f>"43.31"</f>
        <v>43.31</v>
      </c>
      <c r="BH393" t="str">
        <f>"27.56"</f>
        <v>27.56</v>
      </c>
      <c r="BI393" t="str">
        <f>"248.24"</f>
        <v>248.24</v>
      </c>
      <c r="BY393" t="str">
        <f>"64.98"</f>
        <v>64.98</v>
      </c>
      <c r="BZ393" t="str">
        <f>"1.84"</f>
        <v>1.84</v>
      </c>
      <c r="CA393" t="s">
        <v>431</v>
      </c>
      <c r="CH393" t="s">
        <v>612</v>
      </c>
      <c r="CI393" t="s">
        <v>5405</v>
      </c>
      <c r="CJ393" t="s">
        <v>7737</v>
      </c>
      <c r="CK393" t="s">
        <v>1510</v>
      </c>
      <c r="CL393" t="s">
        <v>791</v>
      </c>
      <c r="CM393" t="s">
        <v>7738</v>
      </c>
      <c r="CN393">
        <v>0</v>
      </c>
      <c r="CO393">
        <v>2</v>
      </c>
      <c r="CP393" t="s">
        <v>437</v>
      </c>
      <c r="CQ393" t="s">
        <v>1152</v>
      </c>
      <c r="CU393" t="s">
        <v>1187</v>
      </c>
      <c r="CX393" t="s">
        <v>403</v>
      </c>
      <c r="CY393" t="s">
        <v>3672</v>
      </c>
      <c r="CZ393">
        <v>0</v>
      </c>
      <c r="DD393">
        <v>15000</v>
      </c>
      <c r="DE393" t="s">
        <v>5385</v>
      </c>
      <c r="DF393" t="s">
        <v>406</v>
      </c>
      <c r="DG393" t="s">
        <v>407</v>
      </c>
      <c r="DH393">
        <v>2</v>
      </c>
      <c r="DI393">
        <v>4</v>
      </c>
      <c r="DK393" t="s">
        <v>1189</v>
      </c>
      <c r="DL393">
        <v>0</v>
      </c>
      <c r="DM393" t="s">
        <v>795</v>
      </c>
      <c r="DN393" t="s">
        <v>600</v>
      </c>
      <c r="DO393" t="s">
        <v>446</v>
      </c>
      <c r="DP393" t="s">
        <v>2996</v>
      </c>
      <c r="DT393" t="s">
        <v>3025</v>
      </c>
      <c r="DU393" t="s">
        <v>442</v>
      </c>
      <c r="DV393" t="s">
        <v>449</v>
      </c>
      <c r="DW393" t="s">
        <v>7737</v>
      </c>
      <c r="DX393" t="s">
        <v>827</v>
      </c>
      <c r="DY393" t="s">
        <v>578</v>
      </c>
      <c r="DZ393" t="s">
        <v>3253</v>
      </c>
      <c r="EA393" t="s">
        <v>446</v>
      </c>
      <c r="ED393" t="s">
        <v>406</v>
      </c>
      <c r="EE393" t="s">
        <v>407</v>
      </c>
      <c r="EF393" t="s">
        <v>1190</v>
      </c>
      <c r="EG393" t="s">
        <v>749</v>
      </c>
      <c r="ET393" t="s">
        <v>832</v>
      </c>
      <c r="IG393" t="s">
        <v>2007</v>
      </c>
      <c r="JD393" t="s">
        <v>435</v>
      </c>
      <c r="JE393" t="s">
        <v>7739</v>
      </c>
      <c r="JF393" t="s">
        <v>6354</v>
      </c>
    </row>
    <row r="394" spans="1:293" x14ac:dyDescent="0.25">
      <c r="A394" t="s">
        <v>7761</v>
      </c>
      <c r="B394" t="str">
        <f>"801542694159"</f>
        <v>801542694159</v>
      </c>
      <c r="C394" t="s">
        <v>7762</v>
      </c>
      <c r="D394" t="s">
        <v>1967</v>
      </c>
      <c r="E394" t="s">
        <v>647</v>
      </c>
      <c r="F394" t="s">
        <v>648</v>
      </c>
      <c r="G394" t="str">
        <f>"55"</f>
        <v>55</v>
      </c>
      <c r="H394" t="str">
        <f>"55"</f>
        <v>55</v>
      </c>
      <c r="I394" t="str">
        <f>"30"</f>
        <v>30</v>
      </c>
      <c r="J394" t="str">
        <f>"282.19"</f>
        <v>282.19</v>
      </c>
      <c r="K394" t="s">
        <v>7763</v>
      </c>
      <c r="L394" t="s">
        <v>7764</v>
      </c>
      <c r="N394" t="s">
        <v>6002</v>
      </c>
      <c r="O394" t="s">
        <v>372</v>
      </c>
      <c r="T394" t="s">
        <v>373</v>
      </c>
      <c r="U394" t="s">
        <v>373</v>
      </c>
      <c r="V394" t="s">
        <v>7765</v>
      </c>
      <c r="W394" t="s">
        <v>7766</v>
      </c>
      <c r="X394" t="s">
        <v>7767</v>
      </c>
      <c r="Y394" t="s">
        <v>7768</v>
      </c>
      <c r="Z394" t="s">
        <v>7769</v>
      </c>
      <c r="AA394" t="s">
        <v>7770</v>
      </c>
      <c r="AB394" t="s">
        <v>7771</v>
      </c>
      <c r="AC394" t="s">
        <v>7772</v>
      </c>
      <c r="AD394" t="s">
        <v>7773</v>
      </c>
      <c r="BA394" t="str">
        <f>"3699"</f>
        <v>3699</v>
      </c>
      <c r="BB394" t="str">
        <f>"1555"</f>
        <v>1555</v>
      </c>
      <c r="BC394" t="s">
        <v>388</v>
      </c>
      <c r="BD394" t="str">
        <f>"2"</f>
        <v>2</v>
      </c>
      <c r="BE394" t="s">
        <v>1089</v>
      </c>
      <c r="BF394" t="str">
        <f>"60.43"</f>
        <v>60.43</v>
      </c>
      <c r="BG394" t="str">
        <f>"8.46"</f>
        <v>8.46</v>
      </c>
      <c r="BH394" t="str">
        <f>"60.43"</f>
        <v>60.43</v>
      </c>
      <c r="BI394" t="str">
        <f>"297.62"</f>
        <v>297.62</v>
      </c>
      <c r="BJ394" t="s">
        <v>1090</v>
      </c>
      <c r="BK394" t="str">
        <f>"27.17"</f>
        <v>27.17</v>
      </c>
      <c r="BL394" t="str">
        <f>"27.17"</f>
        <v>27.17</v>
      </c>
      <c r="BM394" t="str">
        <f>"30.71"</f>
        <v>30.71</v>
      </c>
      <c r="BN394" t="str">
        <f>"88.18"</f>
        <v>88.18</v>
      </c>
      <c r="BY394" t="str">
        <f>"31.01"</f>
        <v>31.01</v>
      </c>
      <c r="BZ394" t="str">
        <f>"0.878"</f>
        <v>0.878</v>
      </c>
      <c r="CA394" t="s">
        <v>495</v>
      </c>
      <c r="CR394" t="s">
        <v>400</v>
      </c>
      <c r="CS394">
        <v>0</v>
      </c>
      <c r="CT394" t="s">
        <v>400</v>
      </c>
      <c r="CV394">
        <v>0</v>
      </c>
      <c r="CX394" t="s">
        <v>1980</v>
      </c>
      <c r="CY394" t="s">
        <v>400</v>
      </c>
      <c r="DA394">
        <v>0</v>
      </c>
      <c r="DB394">
        <v>0</v>
      </c>
      <c r="DC394">
        <v>0</v>
      </c>
      <c r="DI394">
        <v>6</v>
      </c>
      <c r="DJ394" t="s">
        <v>471</v>
      </c>
      <c r="DK394" t="s">
        <v>7774</v>
      </c>
      <c r="DM394" t="s">
        <v>473</v>
      </c>
      <c r="EI394" t="s">
        <v>548</v>
      </c>
      <c r="EJ394" t="s">
        <v>7775</v>
      </c>
      <c r="EK394" t="s">
        <v>548</v>
      </c>
      <c r="EL394" t="s">
        <v>1292</v>
      </c>
      <c r="EM394" t="s">
        <v>402</v>
      </c>
      <c r="EN394">
        <v>0</v>
      </c>
      <c r="EO394">
        <v>0</v>
      </c>
      <c r="EW394" t="s">
        <v>7775</v>
      </c>
      <c r="EX394" t="s">
        <v>7776</v>
      </c>
      <c r="EY394" t="s">
        <v>1115</v>
      </c>
    </row>
    <row r="395" spans="1:293" x14ac:dyDescent="0.25">
      <c r="A395" t="s">
        <v>7777</v>
      </c>
      <c r="B395" t="str">
        <f>"801542731472"</f>
        <v>801542731472</v>
      </c>
      <c r="C395" t="s">
        <v>7778</v>
      </c>
      <c r="D395" t="s">
        <v>1276</v>
      </c>
      <c r="E395" t="s">
        <v>988</v>
      </c>
      <c r="G395" t="str">
        <f>"70"</f>
        <v>70</v>
      </c>
      <c r="H395" t="str">
        <f>"19"</f>
        <v>19</v>
      </c>
      <c r="I395" t="str">
        <f>"33"</f>
        <v>33</v>
      </c>
      <c r="J395" t="str">
        <f>"276.68"</f>
        <v>276.68</v>
      </c>
      <c r="K395" t="s">
        <v>1017</v>
      </c>
      <c r="L395" t="s">
        <v>1277</v>
      </c>
      <c r="N395" t="s">
        <v>555</v>
      </c>
      <c r="T395" t="s">
        <v>402</v>
      </c>
      <c r="U395" t="s">
        <v>373</v>
      </c>
      <c r="V395" t="s">
        <v>7779</v>
      </c>
      <c r="W395" t="s">
        <v>7780</v>
      </c>
      <c r="X395" t="s">
        <v>7781</v>
      </c>
      <c r="Y395" t="s">
        <v>7782</v>
      </c>
      <c r="Z395" t="s">
        <v>7783</v>
      </c>
      <c r="AA395" t="s">
        <v>7784</v>
      </c>
      <c r="AB395" t="s">
        <v>7785</v>
      </c>
      <c r="AC395" t="s">
        <v>7786</v>
      </c>
      <c r="AD395" t="s">
        <v>7787</v>
      </c>
      <c r="AE395" t="s">
        <v>7788</v>
      </c>
      <c r="AF395" t="s">
        <v>7789</v>
      </c>
      <c r="AG395" t="s">
        <v>7790</v>
      </c>
      <c r="AH395" t="s">
        <v>7791</v>
      </c>
      <c r="AI395" t="s">
        <v>7792</v>
      </c>
      <c r="AJ395" t="s">
        <v>7793</v>
      </c>
      <c r="AK395" t="s">
        <v>7794</v>
      </c>
      <c r="BA395" t="str">
        <f>"2599"</f>
        <v>2599</v>
      </c>
      <c r="BB395" t="str">
        <f>"1095"</f>
        <v>1095</v>
      </c>
      <c r="BC395" t="s">
        <v>665</v>
      </c>
      <c r="BD395" t="str">
        <f>"1"</f>
        <v>1</v>
      </c>
      <c r="BE395" t="s">
        <v>1266</v>
      </c>
      <c r="BF395" t="str">
        <f>"74.25"</f>
        <v>74.25</v>
      </c>
      <c r="BG395" t="str">
        <f>"23.37"</f>
        <v>23.37</v>
      </c>
      <c r="BH395" t="str">
        <f>"46.5"</f>
        <v>46.5</v>
      </c>
      <c r="BI395" t="str">
        <f>"386.91"</f>
        <v>386.91</v>
      </c>
      <c r="BY395" t="str">
        <f>"46.69"</f>
        <v>46.69</v>
      </c>
      <c r="BZ395" t="str">
        <f>"1.322"</f>
        <v>1.322</v>
      </c>
      <c r="CA395" t="s">
        <v>431</v>
      </c>
      <c r="CR395" t="s">
        <v>1007</v>
      </c>
      <c r="CS395">
        <v>8</v>
      </c>
      <c r="CT395" t="s">
        <v>400</v>
      </c>
      <c r="CV395">
        <v>0</v>
      </c>
      <c r="CY395" t="s">
        <v>1009</v>
      </c>
      <c r="DC395">
        <v>0</v>
      </c>
      <c r="DJ395" t="s">
        <v>1010</v>
      </c>
      <c r="DK395" t="s">
        <v>7795</v>
      </c>
      <c r="DM395" t="s">
        <v>473</v>
      </c>
      <c r="DX395" t="s">
        <v>3079</v>
      </c>
      <c r="EM395" t="s">
        <v>402</v>
      </c>
      <c r="EN395">
        <v>0</v>
      </c>
      <c r="FI395">
        <v>0</v>
      </c>
      <c r="FJ395" t="s">
        <v>1012</v>
      </c>
      <c r="FR395" t="s">
        <v>7796</v>
      </c>
      <c r="FS395" t="s">
        <v>7796</v>
      </c>
      <c r="FT395" t="s">
        <v>7797</v>
      </c>
      <c r="FU395" t="s">
        <v>7798</v>
      </c>
      <c r="FV395" t="s">
        <v>1732</v>
      </c>
      <c r="FW395" t="s">
        <v>5826</v>
      </c>
      <c r="FX395" t="s">
        <v>1017</v>
      </c>
    </row>
    <row r="396" spans="1:293" x14ac:dyDescent="0.25">
      <c r="A396" t="s">
        <v>7799</v>
      </c>
      <c r="B396" t="str">
        <f>"801542010881"</f>
        <v>801542010881</v>
      </c>
      <c r="C396" t="s">
        <v>7800</v>
      </c>
      <c r="D396" t="s">
        <v>1420</v>
      </c>
      <c r="E396" t="s">
        <v>930</v>
      </c>
      <c r="G396" t="str">
        <f>"75.5"</f>
        <v>75.5</v>
      </c>
      <c r="H396" t="str">
        <f>"20.5"</f>
        <v>20.5</v>
      </c>
      <c r="I396" t="str">
        <f>"31.5"</f>
        <v>31.5</v>
      </c>
      <c r="J396" t="str">
        <f>"160.94"</f>
        <v>160.94</v>
      </c>
      <c r="K396" t="s">
        <v>5051</v>
      </c>
      <c r="L396" t="s">
        <v>5052</v>
      </c>
      <c r="N396" t="s">
        <v>1463</v>
      </c>
      <c r="O396" t="s">
        <v>555</v>
      </c>
      <c r="T396" t="s">
        <v>373</v>
      </c>
      <c r="U396" t="s">
        <v>373</v>
      </c>
      <c r="V396" t="s">
        <v>7801</v>
      </c>
      <c r="W396" t="s">
        <v>7802</v>
      </c>
      <c r="X396" t="s">
        <v>7803</v>
      </c>
      <c r="Y396" t="s">
        <v>7804</v>
      </c>
      <c r="Z396" t="s">
        <v>7805</v>
      </c>
      <c r="AA396" t="s">
        <v>7806</v>
      </c>
      <c r="AB396" t="s">
        <v>7807</v>
      </c>
      <c r="AC396" t="s">
        <v>7808</v>
      </c>
      <c r="AD396" t="s">
        <v>7809</v>
      </c>
      <c r="AE396" t="s">
        <v>7810</v>
      </c>
      <c r="AF396" t="s">
        <v>7811</v>
      </c>
      <c r="AG396" t="s">
        <v>7812</v>
      </c>
      <c r="AH396" t="s">
        <v>7813</v>
      </c>
      <c r="AI396" t="s">
        <v>7814</v>
      </c>
      <c r="AJ396" t="s">
        <v>7815</v>
      </c>
      <c r="AK396" t="s">
        <v>7816</v>
      </c>
      <c r="BA396" t="str">
        <f>"1899"</f>
        <v>1899</v>
      </c>
      <c r="BB396" t="str">
        <f>"800"</f>
        <v>800</v>
      </c>
      <c r="BC396" t="s">
        <v>665</v>
      </c>
      <c r="BD396" t="str">
        <f>"1"</f>
        <v>1</v>
      </c>
      <c r="BE396" t="s">
        <v>389</v>
      </c>
      <c r="BF396" t="str">
        <f>"78.35"</f>
        <v>78.35</v>
      </c>
      <c r="BG396" t="str">
        <f>"24.41"</f>
        <v>24.41</v>
      </c>
      <c r="BH396" t="str">
        <f>"31.69"</f>
        <v>31.69</v>
      </c>
      <c r="BI396" t="str">
        <f>"199.52"</f>
        <v>199.52</v>
      </c>
      <c r="BY396" t="str">
        <f>"35.07"</f>
        <v>35.07</v>
      </c>
      <c r="BZ396" t="str">
        <f>"0.993"</f>
        <v>0.993</v>
      </c>
      <c r="CA396" t="s">
        <v>495</v>
      </c>
      <c r="CE396" t="s">
        <v>2286</v>
      </c>
      <c r="CF396" t="s">
        <v>4670</v>
      </c>
      <c r="CG396" t="s">
        <v>7817</v>
      </c>
      <c r="CR396" t="s">
        <v>400</v>
      </c>
      <c r="CS396">
        <v>0</v>
      </c>
      <c r="CT396" t="s">
        <v>400</v>
      </c>
      <c r="CV396">
        <v>0</v>
      </c>
      <c r="CX396" t="s">
        <v>953</v>
      </c>
      <c r="CY396" t="s">
        <v>954</v>
      </c>
      <c r="DA396">
        <v>18.14</v>
      </c>
      <c r="DB396">
        <v>40</v>
      </c>
      <c r="DC396">
        <v>2</v>
      </c>
      <c r="DK396" t="s">
        <v>5069</v>
      </c>
      <c r="DM396" t="s">
        <v>669</v>
      </c>
      <c r="DX396" t="s">
        <v>5070</v>
      </c>
      <c r="EM396" t="s">
        <v>402</v>
      </c>
      <c r="EN396">
        <v>2</v>
      </c>
      <c r="EZ396" t="s">
        <v>536</v>
      </c>
      <c r="FA396" t="s">
        <v>4614</v>
      </c>
      <c r="FB396" t="s">
        <v>2595</v>
      </c>
      <c r="FC396" t="s">
        <v>2286</v>
      </c>
      <c r="FD396" t="s">
        <v>4614</v>
      </c>
      <c r="FE396" t="s">
        <v>7817</v>
      </c>
      <c r="FF396">
        <v>0</v>
      </c>
      <c r="FH396" t="s">
        <v>959</v>
      </c>
      <c r="FI396">
        <v>4</v>
      </c>
      <c r="FJ396" t="s">
        <v>7818</v>
      </c>
      <c r="FK396" t="s">
        <v>1246</v>
      </c>
      <c r="FL396">
        <v>0</v>
      </c>
      <c r="FM396" t="s">
        <v>402</v>
      </c>
      <c r="FO396" t="s">
        <v>984</v>
      </c>
      <c r="GB396" t="s">
        <v>2286</v>
      </c>
      <c r="GC396" t="s">
        <v>4670</v>
      </c>
      <c r="GD396" t="s">
        <v>7817</v>
      </c>
      <c r="GX396" t="s">
        <v>392</v>
      </c>
      <c r="HI396" t="s">
        <v>402</v>
      </c>
      <c r="KG396" t="s">
        <v>1008</v>
      </c>
    </row>
    <row r="397" spans="1:293" x14ac:dyDescent="0.25">
      <c r="A397" t="s">
        <v>7819</v>
      </c>
      <c r="B397" t="str">
        <f>"801542729554"</f>
        <v>801542729554</v>
      </c>
      <c r="C397" t="s">
        <v>7820</v>
      </c>
      <c r="D397" t="s">
        <v>1318</v>
      </c>
      <c r="E397" t="s">
        <v>459</v>
      </c>
      <c r="G397" t="str">
        <f>"25"</f>
        <v>25</v>
      </c>
      <c r="H397" t="str">
        <f>"25"</f>
        <v>25</v>
      </c>
      <c r="I397" t="str">
        <f>"21"</f>
        <v>21</v>
      </c>
      <c r="J397" t="str">
        <f>"76.06"</f>
        <v>76.06</v>
      </c>
      <c r="K397" t="s">
        <v>7821</v>
      </c>
      <c r="L397" t="s">
        <v>7822</v>
      </c>
      <c r="M397" t="s">
        <v>4075</v>
      </c>
      <c r="N397" t="s">
        <v>6002</v>
      </c>
      <c r="O397" t="s">
        <v>372</v>
      </c>
      <c r="P397" t="s">
        <v>1463</v>
      </c>
      <c r="T397" t="s">
        <v>402</v>
      </c>
      <c r="U397" t="s">
        <v>373</v>
      </c>
      <c r="V397" t="s">
        <v>7823</v>
      </c>
      <c r="W397" t="s">
        <v>7824</v>
      </c>
      <c r="X397" t="s">
        <v>7825</v>
      </c>
      <c r="Y397" t="s">
        <v>7826</v>
      </c>
      <c r="Z397" t="s">
        <v>7827</v>
      </c>
      <c r="AA397" t="s">
        <v>7828</v>
      </c>
      <c r="AB397" t="s">
        <v>7829</v>
      </c>
      <c r="AC397" t="s">
        <v>7830</v>
      </c>
      <c r="AD397" t="s">
        <v>7831</v>
      </c>
      <c r="AE397" t="s">
        <v>7832</v>
      </c>
      <c r="AF397" t="s">
        <v>7833</v>
      </c>
      <c r="AG397" t="s">
        <v>7834</v>
      </c>
      <c r="AH397" t="s">
        <v>7835</v>
      </c>
      <c r="BA397" t="str">
        <f>"949"</f>
        <v>949</v>
      </c>
      <c r="BB397" t="str">
        <f>"400"</f>
        <v>400</v>
      </c>
      <c r="BC397" t="s">
        <v>665</v>
      </c>
      <c r="BD397" t="str">
        <f>"2"</f>
        <v>2</v>
      </c>
      <c r="BE397" t="s">
        <v>7586</v>
      </c>
      <c r="BF397" t="str">
        <f>"30.31"</f>
        <v>30.31</v>
      </c>
      <c r="BG397" t="str">
        <f>"30.31"</f>
        <v>30.31</v>
      </c>
      <c r="BH397" t="str">
        <f>"5.91"</f>
        <v>5.91</v>
      </c>
      <c r="BI397" t="str">
        <f>"71.65"</f>
        <v>71.65</v>
      </c>
      <c r="BJ397" t="s">
        <v>6351</v>
      </c>
      <c r="BK397" t="str">
        <f>"25.2"</f>
        <v>25.2</v>
      </c>
      <c r="BL397" t="str">
        <f>"22.05"</f>
        <v>22.05</v>
      </c>
      <c r="BM397" t="str">
        <f>"24.41"</f>
        <v>24.41</v>
      </c>
      <c r="BN397" t="str">
        <f>"45.19"</f>
        <v>45.19</v>
      </c>
      <c r="BY397" t="str">
        <f>"10.98"</f>
        <v>10.98</v>
      </c>
      <c r="BZ397" t="str">
        <f>"0.311"</f>
        <v>0.311</v>
      </c>
      <c r="CA397" t="s">
        <v>431</v>
      </c>
      <c r="CR397" t="s">
        <v>400</v>
      </c>
      <c r="CS397">
        <v>0</v>
      </c>
      <c r="CT397" t="s">
        <v>400</v>
      </c>
      <c r="CV397">
        <v>0</v>
      </c>
      <c r="CX397" t="s">
        <v>953</v>
      </c>
      <c r="CY397" t="s">
        <v>400</v>
      </c>
      <c r="DC397">
        <v>0</v>
      </c>
      <c r="DJ397" t="s">
        <v>471</v>
      </c>
      <c r="DK397" t="s">
        <v>7836</v>
      </c>
      <c r="DM397" t="s">
        <v>473</v>
      </c>
      <c r="DX397" t="s">
        <v>7837</v>
      </c>
      <c r="DY397" t="s">
        <v>1491</v>
      </c>
      <c r="DZ397" t="s">
        <v>1491</v>
      </c>
      <c r="EI397" t="s">
        <v>1491</v>
      </c>
      <c r="EJ397" t="s">
        <v>7837</v>
      </c>
      <c r="EK397" t="s">
        <v>1491</v>
      </c>
      <c r="EL397" t="s">
        <v>1441</v>
      </c>
      <c r="EM397" t="s">
        <v>402</v>
      </c>
      <c r="EN397">
        <v>0</v>
      </c>
      <c r="EO397">
        <v>0</v>
      </c>
      <c r="EX397" t="s">
        <v>1394</v>
      </c>
    </row>
    <row r="398" spans="1:293" x14ac:dyDescent="0.25">
      <c r="A398" t="s">
        <v>7838</v>
      </c>
      <c r="B398" t="str">
        <f>"801542734534"</f>
        <v>801542734534</v>
      </c>
      <c r="C398" t="s">
        <v>7839</v>
      </c>
      <c r="D398" t="s">
        <v>1318</v>
      </c>
      <c r="E398" t="s">
        <v>930</v>
      </c>
      <c r="G398" t="str">
        <f>"75"</f>
        <v>75</v>
      </c>
      <c r="H398" t="str">
        <f>"20"</f>
        <v>20</v>
      </c>
      <c r="I398" t="str">
        <f>"33.25"</f>
        <v>33.25</v>
      </c>
      <c r="J398" t="str">
        <f>"251.32"</f>
        <v>251.32</v>
      </c>
      <c r="K398" t="s">
        <v>6727</v>
      </c>
      <c r="N398" t="s">
        <v>1463</v>
      </c>
      <c r="T398" t="s">
        <v>373</v>
      </c>
      <c r="U398" t="s">
        <v>373</v>
      </c>
      <c r="V398" t="s">
        <v>7840</v>
      </c>
      <c r="W398" t="s">
        <v>7841</v>
      </c>
      <c r="X398" t="s">
        <v>7842</v>
      </c>
      <c r="Y398" t="s">
        <v>7843</v>
      </c>
      <c r="Z398" t="s">
        <v>7844</v>
      </c>
      <c r="AA398" t="s">
        <v>7845</v>
      </c>
      <c r="AB398" t="s">
        <v>7846</v>
      </c>
      <c r="AC398" t="s">
        <v>7847</v>
      </c>
      <c r="AD398" t="s">
        <v>7848</v>
      </c>
      <c r="AE398" t="s">
        <v>7849</v>
      </c>
      <c r="AF398" t="s">
        <v>7850</v>
      </c>
      <c r="AG398" t="s">
        <v>7851</v>
      </c>
      <c r="AH398" t="s">
        <v>7852</v>
      </c>
      <c r="BA398" t="str">
        <f>"2999"</f>
        <v>2999</v>
      </c>
      <c r="BB398" t="str">
        <f>"1260"</f>
        <v>1260</v>
      </c>
      <c r="BC398" t="s">
        <v>665</v>
      </c>
      <c r="BD398" t="str">
        <f t="shared" ref="BD398:BD403" si="96">"1"</f>
        <v>1</v>
      </c>
      <c r="BE398" t="s">
        <v>7853</v>
      </c>
      <c r="BF398" t="str">
        <f>"78.35"</f>
        <v>78.35</v>
      </c>
      <c r="BG398" t="str">
        <f>"23.43"</f>
        <v>23.43</v>
      </c>
      <c r="BH398" t="str">
        <f>"39.57"</f>
        <v>39.57</v>
      </c>
      <c r="BI398" t="str">
        <f>"297.62"</f>
        <v>297.62</v>
      </c>
      <c r="BY398" t="str">
        <f>"42.02"</f>
        <v>42.02</v>
      </c>
      <c r="BZ398" t="str">
        <f>"1.19"</f>
        <v>1.19</v>
      </c>
      <c r="CA398" t="s">
        <v>390</v>
      </c>
      <c r="CE398" t="s">
        <v>7854</v>
      </c>
      <c r="CF398" t="s">
        <v>7855</v>
      </c>
      <c r="CG398" t="s">
        <v>7856</v>
      </c>
      <c r="CR398" t="s">
        <v>400</v>
      </c>
      <c r="CS398">
        <v>0</v>
      </c>
      <c r="CT398" t="s">
        <v>400</v>
      </c>
      <c r="CV398">
        <v>0</v>
      </c>
      <c r="CX398" t="s">
        <v>953</v>
      </c>
      <c r="CY398" t="s">
        <v>954</v>
      </c>
      <c r="DA398">
        <v>18.14</v>
      </c>
      <c r="DB398">
        <v>40</v>
      </c>
      <c r="DC398">
        <v>4</v>
      </c>
      <c r="DK398" t="s">
        <v>6744</v>
      </c>
      <c r="DM398" t="s">
        <v>669</v>
      </c>
      <c r="DX398" t="s">
        <v>675</v>
      </c>
      <c r="EM398" t="s">
        <v>402</v>
      </c>
      <c r="EN398">
        <v>2</v>
      </c>
      <c r="EZ398" t="s">
        <v>1853</v>
      </c>
      <c r="FA398" t="s">
        <v>3518</v>
      </c>
      <c r="FB398" t="s">
        <v>449</v>
      </c>
      <c r="FC398" t="s">
        <v>7854</v>
      </c>
      <c r="FD398" t="s">
        <v>1348</v>
      </c>
      <c r="FE398" t="s">
        <v>7856</v>
      </c>
      <c r="FF398">
        <v>0</v>
      </c>
      <c r="FG398" t="s">
        <v>402</v>
      </c>
      <c r="FH398" t="s">
        <v>959</v>
      </c>
      <c r="FI398">
        <v>4</v>
      </c>
      <c r="FJ398" t="s">
        <v>960</v>
      </c>
      <c r="FK398" t="s">
        <v>1246</v>
      </c>
      <c r="FL398">
        <v>0</v>
      </c>
      <c r="FM398" t="s">
        <v>402</v>
      </c>
      <c r="FO398" t="s">
        <v>984</v>
      </c>
      <c r="GX398" t="s">
        <v>1358</v>
      </c>
      <c r="HI398" t="s">
        <v>402</v>
      </c>
      <c r="KG398" t="s">
        <v>1312</v>
      </c>
    </row>
    <row r="399" spans="1:293" x14ac:dyDescent="0.25">
      <c r="A399" t="s">
        <v>7857</v>
      </c>
      <c r="B399" t="str">
        <f>"801542003432"</f>
        <v>801542003432</v>
      </c>
      <c r="C399" t="s">
        <v>7858</v>
      </c>
      <c r="D399" t="s">
        <v>1139</v>
      </c>
      <c r="E399" t="s">
        <v>515</v>
      </c>
      <c r="F399" t="s">
        <v>516</v>
      </c>
      <c r="G399" t="str">
        <f>"42"</f>
        <v>42</v>
      </c>
      <c r="H399" t="str">
        <f>"42.5"</f>
        <v>42.5</v>
      </c>
      <c r="I399" t="str">
        <f>"34.5"</f>
        <v>34.5</v>
      </c>
      <c r="J399" t="str">
        <f>"83.77"</f>
        <v>83.77</v>
      </c>
      <c r="K399" t="s">
        <v>7859</v>
      </c>
      <c r="N399" t="s">
        <v>7860</v>
      </c>
      <c r="O399" t="s">
        <v>7861</v>
      </c>
      <c r="T399" t="s">
        <v>402</v>
      </c>
      <c r="U399" t="s">
        <v>402</v>
      </c>
      <c r="V399" t="s">
        <v>7862</v>
      </c>
      <c r="W399" t="s">
        <v>7863</v>
      </c>
      <c r="X399" t="s">
        <v>7864</v>
      </c>
      <c r="Y399" t="s">
        <v>7865</v>
      </c>
      <c r="Z399" t="s">
        <v>7866</v>
      </c>
      <c r="AA399" t="s">
        <v>7867</v>
      </c>
      <c r="AB399" t="s">
        <v>7868</v>
      </c>
      <c r="AC399" t="s">
        <v>7869</v>
      </c>
      <c r="AD399" t="s">
        <v>7870</v>
      </c>
      <c r="AE399" t="s">
        <v>7871</v>
      </c>
      <c r="AF399" t="s">
        <v>7872</v>
      </c>
      <c r="AG399" t="s">
        <v>7873</v>
      </c>
      <c r="AH399" t="s">
        <v>7874</v>
      </c>
      <c r="AI399" t="s">
        <v>7875</v>
      </c>
      <c r="AJ399" t="s">
        <v>7876</v>
      </c>
      <c r="BA399" t="str">
        <f>"1899"</f>
        <v>1899</v>
      </c>
      <c r="BB399" t="str">
        <f>"800"</f>
        <v>800</v>
      </c>
      <c r="BC399" t="s">
        <v>1149</v>
      </c>
      <c r="BD399" t="str">
        <f t="shared" si="96"/>
        <v>1</v>
      </c>
      <c r="BE399" t="s">
        <v>389</v>
      </c>
      <c r="BF399" t="str">
        <f>"43.5"</f>
        <v>43.5</v>
      </c>
      <c r="BG399" t="str">
        <f>"43"</f>
        <v>43</v>
      </c>
      <c r="BH399" t="str">
        <f>"29"</f>
        <v>29</v>
      </c>
      <c r="BI399" t="str">
        <f>"92.59"</f>
        <v>92.59</v>
      </c>
      <c r="BY399" t="str">
        <f>"31.39"</f>
        <v>31.39</v>
      </c>
      <c r="BZ399" t="str">
        <f>"0.889"</f>
        <v>0.889</v>
      </c>
      <c r="CA399" t="s">
        <v>495</v>
      </c>
      <c r="CK399" t="s">
        <v>608</v>
      </c>
      <c r="CL399" t="s">
        <v>791</v>
      </c>
      <c r="CM399" t="s">
        <v>578</v>
      </c>
      <c r="CN399">
        <v>0</v>
      </c>
      <c r="CO399">
        <v>2</v>
      </c>
      <c r="CP399" t="s">
        <v>437</v>
      </c>
      <c r="CQ399" t="s">
        <v>1152</v>
      </c>
      <c r="CU399" t="s">
        <v>1153</v>
      </c>
      <c r="CX399" t="s">
        <v>403</v>
      </c>
      <c r="CY399" t="s">
        <v>1753</v>
      </c>
      <c r="CZ399">
        <v>0</v>
      </c>
      <c r="DD399">
        <v>33000</v>
      </c>
      <c r="DE399" t="s">
        <v>439</v>
      </c>
      <c r="DH399">
        <v>0</v>
      </c>
      <c r="DI399">
        <v>1</v>
      </c>
      <c r="DK399" t="s">
        <v>1154</v>
      </c>
      <c r="DL399">
        <v>0</v>
      </c>
      <c r="DM399" t="s">
        <v>538</v>
      </c>
      <c r="DN399" t="s">
        <v>856</v>
      </c>
      <c r="DO399" t="s">
        <v>797</v>
      </c>
      <c r="DP399" t="s">
        <v>790</v>
      </c>
      <c r="DT399" t="s">
        <v>1156</v>
      </c>
      <c r="DU399" t="s">
        <v>448</v>
      </c>
      <c r="DV399" t="s">
        <v>603</v>
      </c>
      <c r="DW399" t="s">
        <v>603</v>
      </c>
      <c r="DX399" t="s">
        <v>827</v>
      </c>
      <c r="EA399" t="s">
        <v>640</v>
      </c>
      <c r="ED399" t="s">
        <v>406</v>
      </c>
      <c r="EE399" t="s">
        <v>454</v>
      </c>
      <c r="EF399" t="s">
        <v>831</v>
      </c>
      <c r="EG399" t="s">
        <v>1160</v>
      </c>
      <c r="ER399">
        <v>0</v>
      </c>
      <c r="ES399">
        <v>0</v>
      </c>
      <c r="ET399" t="s">
        <v>832</v>
      </c>
      <c r="EU399">
        <v>0</v>
      </c>
      <c r="HM399" t="s">
        <v>1754</v>
      </c>
    </row>
    <row r="400" spans="1:293" x14ac:dyDescent="0.25">
      <c r="A400" t="s">
        <v>7877</v>
      </c>
      <c r="B400" t="str">
        <f>"801542204792"</f>
        <v>801542204792</v>
      </c>
      <c r="C400" t="s">
        <v>7878</v>
      </c>
      <c r="D400" t="s">
        <v>1139</v>
      </c>
      <c r="E400" t="s">
        <v>515</v>
      </c>
      <c r="F400" t="s">
        <v>516</v>
      </c>
      <c r="G400" t="str">
        <f>"42"</f>
        <v>42</v>
      </c>
      <c r="H400" t="str">
        <f>"42.5"</f>
        <v>42.5</v>
      </c>
      <c r="I400" t="str">
        <f>"34.5"</f>
        <v>34.5</v>
      </c>
      <c r="J400" t="str">
        <f>"83.77"</f>
        <v>83.77</v>
      </c>
      <c r="K400" t="s">
        <v>7879</v>
      </c>
      <c r="N400" t="s">
        <v>7880</v>
      </c>
      <c r="O400" t="s">
        <v>7881</v>
      </c>
      <c r="P400" t="s">
        <v>7882</v>
      </c>
      <c r="T400" t="s">
        <v>373</v>
      </c>
      <c r="U400" t="s">
        <v>373</v>
      </c>
      <c r="V400" t="s">
        <v>7883</v>
      </c>
      <c r="W400" t="s">
        <v>7884</v>
      </c>
      <c r="X400" t="s">
        <v>7885</v>
      </c>
      <c r="Y400" t="s">
        <v>7886</v>
      </c>
      <c r="Z400" t="s">
        <v>7887</v>
      </c>
      <c r="AA400" t="s">
        <v>7888</v>
      </c>
      <c r="AB400" t="s">
        <v>7889</v>
      </c>
      <c r="AC400" t="s">
        <v>7890</v>
      </c>
      <c r="AD400" t="s">
        <v>7891</v>
      </c>
      <c r="AE400" t="s">
        <v>7892</v>
      </c>
      <c r="AF400" t="s">
        <v>7893</v>
      </c>
      <c r="AG400" t="s">
        <v>7894</v>
      </c>
      <c r="AH400" t="s">
        <v>7895</v>
      </c>
      <c r="AI400" t="s">
        <v>7896</v>
      </c>
      <c r="AJ400" t="s">
        <v>7897</v>
      </c>
      <c r="BA400" t="str">
        <f>"2399"</f>
        <v>2399</v>
      </c>
      <c r="BB400" t="str">
        <f>"1010"</f>
        <v>1010</v>
      </c>
      <c r="BC400" t="s">
        <v>1149</v>
      </c>
      <c r="BD400" t="str">
        <f t="shared" si="96"/>
        <v>1</v>
      </c>
      <c r="BE400" t="s">
        <v>389</v>
      </c>
      <c r="BF400" t="str">
        <f>"43.5"</f>
        <v>43.5</v>
      </c>
      <c r="BG400" t="str">
        <f>"43"</f>
        <v>43</v>
      </c>
      <c r="BH400" t="str">
        <f>"29"</f>
        <v>29</v>
      </c>
      <c r="BI400" t="str">
        <f>"92.59"</f>
        <v>92.59</v>
      </c>
      <c r="BY400" t="str">
        <f>"31.39"</f>
        <v>31.39</v>
      </c>
      <c r="BZ400" t="str">
        <f>"0.889"</f>
        <v>0.889</v>
      </c>
      <c r="CA400" t="s">
        <v>495</v>
      </c>
      <c r="CK400" t="s">
        <v>608</v>
      </c>
      <c r="CL400" t="s">
        <v>791</v>
      </c>
      <c r="CM400" t="s">
        <v>578</v>
      </c>
      <c r="CN400">
        <v>0</v>
      </c>
      <c r="CO400">
        <v>2</v>
      </c>
      <c r="CP400" t="s">
        <v>437</v>
      </c>
      <c r="CQ400" t="s">
        <v>1152</v>
      </c>
      <c r="CU400" t="s">
        <v>1153</v>
      </c>
      <c r="CX400" t="s">
        <v>403</v>
      </c>
      <c r="CY400" t="s">
        <v>1753</v>
      </c>
      <c r="CZ400">
        <v>0</v>
      </c>
      <c r="DD400">
        <v>50000</v>
      </c>
      <c r="DE400" t="s">
        <v>439</v>
      </c>
      <c r="DH400">
        <v>0</v>
      </c>
      <c r="DI400">
        <v>1</v>
      </c>
      <c r="DK400" t="s">
        <v>1154</v>
      </c>
      <c r="DL400">
        <v>0</v>
      </c>
      <c r="DM400" t="s">
        <v>538</v>
      </c>
      <c r="DN400" t="s">
        <v>856</v>
      </c>
      <c r="DO400" t="s">
        <v>797</v>
      </c>
      <c r="DP400" t="s">
        <v>790</v>
      </c>
      <c r="DT400" t="s">
        <v>1156</v>
      </c>
      <c r="DU400" t="s">
        <v>448</v>
      </c>
      <c r="DV400" t="s">
        <v>603</v>
      </c>
      <c r="DW400" t="s">
        <v>603</v>
      </c>
      <c r="DX400" t="s">
        <v>827</v>
      </c>
      <c r="EA400" t="s">
        <v>640</v>
      </c>
      <c r="ED400" t="s">
        <v>406</v>
      </c>
      <c r="EE400" t="s">
        <v>454</v>
      </c>
      <c r="EF400" t="s">
        <v>831</v>
      </c>
      <c r="EG400" t="s">
        <v>1160</v>
      </c>
      <c r="ER400">
        <v>0</v>
      </c>
      <c r="ES400">
        <v>0</v>
      </c>
      <c r="ET400" t="s">
        <v>832</v>
      </c>
      <c r="EU400">
        <v>0</v>
      </c>
      <c r="HM400" t="s">
        <v>1754</v>
      </c>
    </row>
    <row r="401" spans="1:294" x14ac:dyDescent="0.25">
      <c r="A401" t="s">
        <v>7898</v>
      </c>
      <c r="B401" t="str">
        <f>"801542775667"</f>
        <v>801542775667</v>
      </c>
      <c r="C401" t="s">
        <v>7899</v>
      </c>
      <c r="D401" t="s">
        <v>5460</v>
      </c>
      <c r="E401" t="s">
        <v>930</v>
      </c>
      <c r="G401" t="str">
        <f>"72"</f>
        <v>72</v>
      </c>
      <c r="H401" t="str">
        <f>"18"</f>
        <v>18</v>
      </c>
      <c r="I401" t="str">
        <f>"32"</f>
        <v>32</v>
      </c>
      <c r="J401" t="str">
        <f>"146.61"</f>
        <v>146.61</v>
      </c>
      <c r="K401" t="s">
        <v>7900</v>
      </c>
      <c r="L401" t="s">
        <v>7901</v>
      </c>
      <c r="N401" t="s">
        <v>6858</v>
      </c>
      <c r="O401" t="s">
        <v>7902</v>
      </c>
      <c r="P401" t="s">
        <v>519</v>
      </c>
      <c r="T401" t="s">
        <v>402</v>
      </c>
      <c r="U401" t="s">
        <v>373</v>
      </c>
      <c r="V401" t="s">
        <v>7903</v>
      </c>
      <c r="W401" t="s">
        <v>7904</v>
      </c>
      <c r="X401" t="s">
        <v>7905</v>
      </c>
      <c r="Y401" t="s">
        <v>7906</v>
      </c>
      <c r="Z401" t="s">
        <v>7907</v>
      </c>
      <c r="AA401" t="s">
        <v>7908</v>
      </c>
      <c r="AB401" t="s">
        <v>7909</v>
      </c>
      <c r="AC401" t="s">
        <v>7910</v>
      </c>
      <c r="AD401" t="s">
        <v>7911</v>
      </c>
      <c r="AE401" t="s">
        <v>7912</v>
      </c>
      <c r="AF401" t="s">
        <v>7913</v>
      </c>
      <c r="AG401" t="s">
        <v>7914</v>
      </c>
      <c r="AH401" t="s">
        <v>7915</v>
      </c>
      <c r="AI401" t="s">
        <v>7916</v>
      </c>
      <c r="BA401" t="str">
        <f>"1699"</f>
        <v>1699</v>
      </c>
      <c r="BB401" t="str">
        <f>"715"</f>
        <v>715</v>
      </c>
      <c r="BC401" t="s">
        <v>665</v>
      </c>
      <c r="BD401" t="str">
        <f t="shared" si="96"/>
        <v>1</v>
      </c>
      <c r="BE401" t="s">
        <v>389</v>
      </c>
      <c r="BF401" t="str">
        <f>"75.59"</f>
        <v>75.59</v>
      </c>
      <c r="BG401" t="str">
        <f>"21.65"</f>
        <v>21.65</v>
      </c>
      <c r="BH401" t="str">
        <f>"36.22"</f>
        <v>36.22</v>
      </c>
      <c r="BI401" t="str">
        <f>"181.88"</f>
        <v>181.88</v>
      </c>
      <c r="BY401" t="str">
        <f>"34.33"</f>
        <v>34.33</v>
      </c>
      <c r="BZ401" t="str">
        <f>"0.972"</f>
        <v>0.972</v>
      </c>
      <c r="CA401" t="s">
        <v>431</v>
      </c>
      <c r="CB401" t="s">
        <v>6227</v>
      </c>
      <c r="CC401" t="s">
        <v>7917</v>
      </c>
      <c r="CD401" t="s">
        <v>7918</v>
      </c>
      <c r="CE401" t="s">
        <v>1055</v>
      </c>
      <c r="CF401" t="s">
        <v>4303</v>
      </c>
      <c r="CG401" t="s">
        <v>7919</v>
      </c>
      <c r="CR401" t="s">
        <v>400</v>
      </c>
      <c r="CS401">
        <v>0</v>
      </c>
      <c r="CT401" t="s">
        <v>400</v>
      </c>
      <c r="CV401">
        <v>1</v>
      </c>
      <c r="CW401" t="s">
        <v>402</v>
      </c>
      <c r="CX401" t="s">
        <v>953</v>
      </c>
      <c r="CY401" t="s">
        <v>954</v>
      </c>
      <c r="DA401">
        <v>18.14</v>
      </c>
      <c r="DB401">
        <v>40</v>
      </c>
      <c r="DC401">
        <v>2</v>
      </c>
      <c r="DK401" t="s">
        <v>7920</v>
      </c>
      <c r="DM401" t="s">
        <v>669</v>
      </c>
      <c r="DX401" t="s">
        <v>3521</v>
      </c>
      <c r="EM401" t="s">
        <v>402</v>
      </c>
      <c r="EN401">
        <v>3</v>
      </c>
      <c r="EZ401" t="s">
        <v>7921</v>
      </c>
      <c r="FA401" t="s">
        <v>4614</v>
      </c>
      <c r="FB401" t="s">
        <v>7922</v>
      </c>
      <c r="FC401" t="s">
        <v>1055</v>
      </c>
      <c r="FD401" t="s">
        <v>4614</v>
      </c>
      <c r="FE401" t="s">
        <v>7919</v>
      </c>
      <c r="FF401">
        <v>0</v>
      </c>
      <c r="FG401" t="s">
        <v>402</v>
      </c>
      <c r="FH401" t="s">
        <v>959</v>
      </c>
      <c r="FI401">
        <v>4</v>
      </c>
      <c r="FJ401" t="s">
        <v>960</v>
      </c>
      <c r="FK401" t="s">
        <v>961</v>
      </c>
      <c r="FL401">
        <v>0</v>
      </c>
      <c r="FM401" t="s">
        <v>402</v>
      </c>
      <c r="FO401" t="s">
        <v>984</v>
      </c>
      <c r="GB401" t="s">
        <v>6227</v>
      </c>
      <c r="GC401" t="s">
        <v>7923</v>
      </c>
      <c r="GD401" t="s">
        <v>7918</v>
      </c>
      <c r="GR401" t="s">
        <v>1055</v>
      </c>
      <c r="GT401" t="s">
        <v>4303</v>
      </c>
      <c r="GV401" t="s">
        <v>7919</v>
      </c>
      <c r="GX401" t="s">
        <v>392</v>
      </c>
      <c r="HI401" t="s">
        <v>402</v>
      </c>
    </row>
    <row r="402" spans="1:294" x14ac:dyDescent="0.25">
      <c r="A402" t="s">
        <v>7924</v>
      </c>
      <c r="B402" t="str">
        <f>"801542728366"</f>
        <v>801542728366</v>
      </c>
      <c r="C402" t="s">
        <v>7925</v>
      </c>
      <c r="D402" t="s">
        <v>1420</v>
      </c>
      <c r="E402" t="s">
        <v>1077</v>
      </c>
      <c r="G402" t="str">
        <f>"38"</f>
        <v>38</v>
      </c>
      <c r="H402" t="str">
        <f>"38"</f>
        <v>38</v>
      </c>
      <c r="I402" t="str">
        <f>"16"</f>
        <v>16</v>
      </c>
      <c r="J402" t="str">
        <f>"55.12"</f>
        <v>55.12</v>
      </c>
      <c r="K402" t="s">
        <v>5112</v>
      </c>
      <c r="L402" t="s">
        <v>5052</v>
      </c>
      <c r="N402" t="s">
        <v>1463</v>
      </c>
      <c r="O402" t="s">
        <v>555</v>
      </c>
      <c r="T402" t="s">
        <v>373</v>
      </c>
      <c r="U402" t="s">
        <v>373</v>
      </c>
      <c r="V402" t="s">
        <v>7926</v>
      </c>
      <c r="W402" t="s">
        <v>7927</v>
      </c>
      <c r="X402" t="s">
        <v>7928</v>
      </c>
      <c r="Y402" t="s">
        <v>7929</v>
      </c>
      <c r="Z402" t="s">
        <v>7930</v>
      </c>
      <c r="AA402" t="s">
        <v>7931</v>
      </c>
      <c r="AB402" t="s">
        <v>7932</v>
      </c>
      <c r="AC402" t="s">
        <v>7933</v>
      </c>
      <c r="AD402" t="s">
        <v>7934</v>
      </c>
      <c r="AE402" t="s">
        <v>7935</v>
      </c>
      <c r="AF402" t="s">
        <v>7936</v>
      </c>
      <c r="BA402" t="str">
        <f>"749"</f>
        <v>749</v>
      </c>
      <c r="BB402" t="str">
        <f>"315"</f>
        <v>315</v>
      </c>
      <c r="BC402" t="s">
        <v>665</v>
      </c>
      <c r="BD402" t="str">
        <f t="shared" si="96"/>
        <v>1</v>
      </c>
      <c r="BE402" t="s">
        <v>1266</v>
      </c>
      <c r="BF402" t="str">
        <f>"41.14"</f>
        <v>41.14</v>
      </c>
      <c r="BG402" t="str">
        <f>"41.14"</f>
        <v>41.14</v>
      </c>
      <c r="BH402" t="str">
        <f>"14.76"</f>
        <v>14.76</v>
      </c>
      <c r="BI402" t="str">
        <f>"72.75"</f>
        <v>72.75</v>
      </c>
      <c r="BY402" t="str">
        <f>"14.48"</f>
        <v>14.48</v>
      </c>
      <c r="BZ402" t="str">
        <f>"0.41"</f>
        <v>0.41</v>
      </c>
      <c r="CA402" t="s">
        <v>431</v>
      </c>
      <c r="CR402" t="s">
        <v>400</v>
      </c>
      <c r="CS402">
        <v>0</v>
      </c>
      <c r="CT402" t="s">
        <v>400</v>
      </c>
      <c r="CV402">
        <v>0</v>
      </c>
      <c r="CX402" t="s">
        <v>953</v>
      </c>
      <c r="CY402" t="s">
        <v>400</v>
      </c>
      <c r="DC402">
        <v>0</v>
      </c>
      <c r="DJ402" t="s">
        <v>471</v>
      </c>
      <c r="DK402" t="s">
        <v>5069</v>
      </c>
      <c r="DM402" t="s">
        <v>473</v>
      </c>
      <c r="DX402" t="s">
        <v>5070</v>
      </c>
      <c r="DY402" t="s">
        <v>7937</v>
      </c>
      <c r="DZ402" t="s">
        <v>7937</v>
      </c>
      <c r="EI402" t="s">
        <v>956</v>
      </c>
      <c r="EJ402" t="s">
        <v>3188</v>
      </c>
      <c r="EK402" t="s">
        <v>956</v>
      </c>
      <c r="EL402" t="s">
        <v>7938</v>
      </c>
      <c r="EM402" t="s">
        <v>402</v>
      </c>
      <c r="EN402">
        <v>0</v>
      </c>
      <c r="EO402">
        <v>0</v>
      </c>
    </row>
    <row r="403" spans="1:294" x14ac:dyDescent="0.25">
      <c r="A403" t="s">
        <v>7939</v>
      </c>
      <c r="B403" t="str">
        <f>"801542007393"</f>
        <v>801542007393</v>
      </c>
      <c r="C403" t="s">
        <v>7940</v>
      </c>
      <c r="D403" t="s">
        <v>1420</v>
      </c>
      <c r="E403" t="s">
        <v>1021</v>
      </c>
      <c r="G403" t="str">
        <f>"79.5"</f>
        <v>79.5</v>
      </c>
      <c r="H403" t="str">
        <f>"18"</f>
        <v>18</v>
      </c>
      <c r="I403" t="str">
        <f>"25"</f>
        <v>25</v>
      </c>
      <c r="J403" t="str">
        <f>"139.99"</f>
        <v>139.99</v>
      </c>
      <c r="K403" t="s">
        <v>5051</v>
      </c>
      <c r="L403" t="s">
        <v>5052</v>
      </c>
      <c r="N403" t="s">
        <v>1463</v>
      </c>
      <c r="O403" t="s">
        <v>555</v>
      </c>
      <c r="T403" t="s">
        <v>373</v>
      </c>
      <c r="U403" t="s">
        <v>373</v>
      </c>
      <c r="V403" t="s">
        <v>7941</v>
      </c>
      <c r="W403" t="s">
        <v>7942</v>
      </c>
      <c r="X403" t="s">
        <v>7943</v>
      </c>
      <c r="Y403" t="s">
        <v>7944</v>
      </c>
      <c r="Z403" t="s">
        <v>7945</v>
      </c>
      <c r="AA403" t="s">
        <v>7946</v>
      </c>
      <c r="AB403" t="s">
        <v>7947</v>
      </c>
      <c r="AC403" t="s">
        <v>7948</v>
      </c>
      <c r="AD403" t="s">
        <v>7949</v>
      </c>
      <c r="AE403" t="s">
        <v>7950</v>
      </c>
      <c r="AF403" t="s">
        <v>7951</v>
      </c>
      <c r="AG403" t="s">
        <v>7952</v>
      </c>
      <c r="AH403" t="s">
        <v>7953</v>
      </c>
      <c r="AI403" t="s">
        <v>7954</v>
      </c>
      <c r="AJ403" t="s">
        <v>7955</v>
      </c>
      <c r="AK403" t="s">
        <v>7956</v>
      </c>
      <c r="BA403" t="str">
        <f>"1699"</f>
        <v>1699</v>
      </c>
      <c r="BB403" t="str">
        <f>"715"</f>
        <v>715</v>
      </c>
      <c r="BC403" t="s">
        <v>665</v>
      </c>
      <c r="BD403" t="str">
        <f t="shared" si="96"/>
        <v>1</v>
      </c>
      <c r="BE403" t="s">
        <v>1266</v>
      </c>
      <c r="BF403" t="str">
        <f>"81.89"</f>
        <v>81.89</v>
      </c>
      <c r="BG403" t="str">
        <f>"22.05"</f>
        <v>22.05</v>
      </c>
      <c r="BH403" t="str">
        <f>"25.2"</f>
        <v>25.2</v>
      </c>
      <c r="BI403" t="str">
        <f>"174.17"</f>
        <v>174.17</v>
      </c>
      <c r="BY403" t="str">
        <f>"26.31"</f>
        <v>26.31</v>
      </c>
      <c r="BZ403" t="str">
        <f>"0.745"</f>
        <v>0.745</v>
      </c>
      <c r="CA403" t="s">
        <v>495</v>
      </c>
      <c r="CE403" t="s">
        <v>3804</v>
      </c>
      <c r="CF403" t="s">
        <v>7957</v>
      </c>
      <c r="CG403" t="s">
        <v>3058</v>
      </c>
      <c r="CR403" t="s">
        <v>400</v>
      </c>
      <c r="CS403">
        <v>0</v>
      </c>
      <c r="CT403" t="s">
        <v>400</v>
      </c>
      <c r="CV403">
        <v>0</v>
      </c>
      <c r="CX403" t="s">
        <v>953</v>
      </c>
      <c r="CY403" t="s">
        <v>954</v>
      </c>
      <c r="DA403">
        <v>37.19</v>
      </c>
      <c r="DB403">
        <v>82</v>
      </c>
      <c r="DC403">
        <v>3</v>
      </c>
      <c r="DK403" t="s">
        <v>5069</v>
      </c>
      <c r="DX403" t="s">
        <v>5070</v>
      </c>
      <c r="EM403" t="s">
        <v>402</v>
      </c>
      <c r="EN403">
        <v>3</v>
      </c>
      <c r="EZ403" t="s">
        <v>5877</v>
      </c>
      <c r="FA403" t="s">
        <v>4614</v>
      </c>
      <c r="FB403" t="s">
        <v>4939</v>
      </c>
      <c r="FC403" t="s">
        <v>3804</v>
      </c>
      <c r="FD403" t="s">
        <v>4614</v>
      </c>
      <c r="FE403" t="s">
        <v>3058</v>
      </c>
      <c r="FH403" t="s">
        <v>959</v>
      </c>
      <c r="FI403">
        <v>6</v>
      </c>
      <c r="FJ403" t="s">
        <v>960</v>
      </c>
      <c r="FK403" t="s">
        <v>1246</v>
      </c>
      <c r="FM403" t="s">
        <v>402</v>
      </c>
      <c r="FO403" t="s">
        <v>984</v>
      </c>
      <c r="GB403" t="s">
        <v>3804</v>
      </c>
      <c r="GC403" t="s">
        <v>7957</v>
      </c>
      <c r="GD403" t="s">
        <v>3058</v>
      </c>
      <c r="GE403">
        <v>0</v>
      </c>
      <c r="GR403" t="s">
        <v>3804</v>
      </c>
      <c r="GT403" t="s">
        <v>7957</v>
      </c>
      <c r="GV403" t="s">
        <v>3058</v>
      </c>
      <c r="GX403" t="s">
        <v>392</v>
      </c>
      <c r="HI403" t="s">
        <v>402</v>
      </c>
    </row>
    <row r="404" spans="1:294" x14ac:dyDescent="0.25">
      <c r="A404" t="s">
        <v>7958</v>
      </c>
      <c r="B404" t="str">
        <f>"801542759117"</f>
        <v>801542759117</v>
      </c>
      <c r="C404" t="s">
        <v>7959</v>
      </c>
      <c r="D404" t="s">
        <v>7960</v>
      </c>
      <c r="E404" t="s">
        <v>2006</v>
      </c>
      <c r="F404" t="s">
        <v>2007</v>
      </c>
      <c r="G404" t="str">
        <f>"64.5"</f>
        <v>64.5</v>
      </c>
      <c r="H404" t="str">
        <f>"84.5"</f>
        <v>84.5</v>
      </c>
      <c r="I404" t="str">
        <f>"54"</f>
        <v>54</v>
      </c>
      <c r="J404" t="str">
        <f>"195.11"</f>
        <v>195.11</v>
      </c>
      <c r="K404" t="s">
        <v>7961</v>
      </c>
      <c r="L404" t="s">
        <v>7962</v>
      </c>
      <c r="N404" t="s">
        <v>7963</v>
      </c>
      <c r="O404" t="s">
        <v>7964</v>
      </c>
      <c r="T404" t="s">
        <v>373</v>
      </c>
      <c r="U404" t="s">
        <v>373</v>
      </c>
      <c r="V404" t="s">
        <v>7965</v>
      </c>
      <c r="W404" t="s">
        <v>7966</v>
      </c>
      <c r="X404" t="s">
        <v>7967</v>
      </c>
      <c r="Y404" t="s">
        <v>7968</v>
      </c>
      <c r="Z404" t="s">
        <v>7969</v>
      </c>
      <c r="AA404" t="s">
        <v>7970</v>
      </c>
      <c r="AB404" t="s">
        <v>7971</v>
      </c>
      <c r="AC404" t="s">
        <v>7972</v>
      </c>
      <c r="AD404" t="s">
        <v>7973</v>
      </c>
      <c r="AE404" t="s">
        <v>7974</v>
      </c>
      <c r="AF404" t="s">
        <v>7975</v>
      </c>
      <c r="AG404" t="s">
        <v>7976</v>
      </c>
      <c r="AH404" t="s">
        <v>7977</v>
      </c>
      <c r="AI404" t="s">
        <v>7978</v>
      </c>
      <c r="AJ404" t="s">
        <v>7979</v>
      </c>
      <c r="AK404" t="s">
        <v>7980</v>
      </c>
      <c r="AL404" t="s">
        <v>7981</v>
      </c>
      <c r="BA404" t="str">
        <f>"2199"</f>
        <v>2199</v>
      </c>
      <c r="BB404" t="str">
        <f>"925"</f>
        <v>925</v>
      </c>
      <c r="BC404" t="s">
        <v>6158</v>
      </c>
      <c r="BD404" t="str">
        <f>"2"</f>
        <v>2</v>
      </c>
      <c r="BE404" t="s">
        <v>7982</v>
      </c>
      <c r="BF404" t="str">
        <f>"90"</f>
        <v>90</v>
      </c>
      <c r="BG404" t="str">
        <f>"17.75"</f>
        <v>17.75</v>
      </c>
      <c r="BH404" t="str">
        <f>"15.25"</f>
        <v>15.25</v>
      </c>
      <c r="BI404" t="str">
        <f>"158.07"</f>
        <v>158.07</v>
      </c>
      <c r="BJ404" t="s">
        <v>3508</v>
      </c>
      <c r="BK404" t="str">
        <f>"69.69"</f>
        <v>69.69</v>
      </c>
      <c r="BL404" t="str">
        <f>"10.24"</f>
        <v>10.24</v>
      </c>
      <c r="BM404" t="str">
        <f>"58.66"</f>
        <v>58.66</v>
      </c>
      <c r="BN404" t="str">
        <f>"102.73"</f>
        <v>102.73</v>
      </c>
      <c r="BY404" t="str">
        <f>"38.32"</f>
        <v>38.32</v>
      </c>
      <c r="BZ404" t="str">
        <f>"1.085"</f>
        <v>1.085</v>
      </c>
      <c r="CA404" t="s">
        <v>495</v>
      </c>
      <c r="CQ404" t="s">
        <v>438</v>
      </c>
      <c r="CR404" t="s">
        <v>400</v>
      </c>
      <c r="CS404">
        <v>0</v>
      </c>
      <c r="CT404" t="s">
        <v>400</v>
      </c>
      <c r="CV404">
        <v>0</v>
      </c>
      <c r="CX404" t="s">
        <v>1980</v>
      </c>
      <c r="CY404" t="s">
        <v>400</v>
      </c>
      <c r="DA404">
        <v>0</v>
      </c>
      <c r="DB404">
        <v>0</v>
      </c>
      <c r="DC404">
        <v>0</v>
      </c>
      <c r="DD404">
        <v>0</v>
      </c>
      <c r="DK404" t="s">
        <v>7983</v>
      </c>
      <c r="DM404" t="s">
        <v>2028</v>
      </c>
      <c r="EN404">
        <v>0</v>
      </c>
      <c r="HN404" t="s">
        <v>448</v>
      </c>
      <c r="HO404" t="s">
        <v>448</v>
      </c>
      <c r="HP404" t="s">
        <v>448</v>
      </c>
      <c r="HQ404" t="s">
        <v>638</v>
      </c>
      <c r="HR404" t="s">
        <v>827</v>
      </c>
      <c r="HS404" t="s">
        <v>7984</v>
      </c>
      <c r="HT404" t="s">
        <v>1161</v>
      </c>
      <c r="HU404" t="s">
        <v>827</v>
      </c>
      <c r="HV404" t="s">
        <v>7984</v>
      </c>
      <c r="HW404" t="s">
        <v>5406</v>
      </c>
      <c r="HX404" t="s">
        <v>6662</v>
      </c>
      <c r="HY404" t="s">
        <v>2927</v>
      </c>
      <c r="HZ404" t="s">
        <v>830</v>
      </c>
      <c r="IA404" t="s">
        <v>5406</v>
      </c>
      <c r="IB404" t="s">
        <v>637</v>
      </c>
      <c r="IC404" t="s">
        <v>402</v>
      </c>
      <c r="ID404" t="s">
        <v>3519</v>
      </c>
      <c r="IE404" t="s">
        <v>3520</v>
      </c>
      <c r="IF404" t="s">
        <v>2177</v>
      </c>
      <c r="IG404" t="s">
        <v>2007</v>
      </c>
      <c r="IM404" t="s">
        <v>7985</v>
      </c>
      <c r="IN404" t="s">
        <v>510</v>
      </c>
      <c r="IO404" t="s">
        <v>7985</v>
      </c>
      <c r="IP404" t="s">
        <v>402</v>
      </c>
      <c r="IQ404" t="s">
        <v>3522</v>
      </c>
    </row>
    <row r="405" spans="1:294" x14ac:dyDescent="0.25">
      <c r="A405" t="s">
        <v>7986</v>
      </c>
      <c r="B405" t="str">
        <f>"801542759087"</f>
        <v>801542759087</v>
      </c>
      <c r="C405" t="s">
        <v>7959</v>
      </c>
      <c r="D405" t="s">
        <v>7960</v>
      </c>
      <c r="E405" t="s">
        <v>2006</v>
      </c>
      <c r="F405" t="s">
        <v>2040</v>
      </c>
      <c r="G405" t="str">
        <f>"80.5"</f>
        <v>80.5</v>
      </c>
      <c r="H405" t="str">
        <f>"84.5"</f>
        <v>84.5</v>
      </c>
      <c r="I405" t="str">
        <f>"54"</f>
        <v>54</v>
      </c>
      <c r="J405" t="str">
        <f>"207.45"</f>
        <v>207.45</v>
      </c>
      <c r="K405" t="s">
        <v>7961</v>
      </c>
      <c r="L405" t="s">
        <v>7962</v>
      </c>
      <c r="N405" t="s">
        <v>7963</v>
      </c>
      <c r="O405" t="s">
        <v>7964</v>
      </c>
      <c r="T405" t="s">
        <v>373</v>
      </c>
      <c r="U405" t="s">
        <v>373</v>
      </c>
      <c r="V405" t="s">
        <v>7965</v>
      </c>
      <c r="W405" t="s">
        <v>7987</v>
      </c>
      <c r="X405" t="s">
        <v>7988</v>
      </c>
      <c r="Y405" t="s">
        <v>7989</v>
      </c>
      <c r="Z405" t="s">
        <v>7990</v>
      </c>
      <c r="AA405" t="s">
        <v>7970</v>
      </c>
      <c r="AB405" t="s">
        <v>7991</v>
      </c>
      <c r="AC405" t="s">
        <v>7992</v>
      </c>
      <c r="AD405" t="s">
        <v>7993</v>
      </c>
      <c r="AE405" t="s">
        <v>7994</v>
      </c>
      <c r="AF405" t="s">
        <v>7995</v>
      </c>
      <c r="AG405" t="s">
        <v>7996</v>
      </c>
      <c r="AH405" t="s">
        <v>7997</v>
      </c>
      <c r="AI405" t="s">
        <v>7998</v>
      </c>
      <c r="AJ405" t="s">
        <v>7999</v>
      </c>
      <c r="AK405" t="s">
        <v>8000</v>
      </c>
      <c r="AL405" t="s">
        <v>8001</v>
      </c>
      <c r="BA405" t="str">
        <f>"2599"</f>
        <v>2599</v>
      </c>
      <c r="BB405" t="str">
        <f>"1095"</f>
        <v>1095</v>
      </c>
      <c r="BC405" t="s">
        <v>6158</v>
      </c>
      <c r="BD405" t="str">
        <f>"2"</f>
        <v>2</v>
      </c>
      <c r="BE405" t="s">
        <v>7982</v>
      </c>
      <c r="BF405" t="str">
        <f>"89.5"</f>
        <v>89.5</v>
      </c>
      <c r="BG405" t="str">
        <f>"18.5"</f>
        <v>18.5</v>
      </c>
      <c r="BH405" t="str">
        <f>"14.75"</f>
        <v>14.75</v>
      </c>
      <c r="BI405" t="str">
        <f>"154.87"</f>
        <v>154.87</v>
      </c>
      <c r="BJ405" t="s">
        <v>3508</v>
      </c>
      <c r="BK405" t="str">
        <f>"86.75"</f>
        <v>86.75</v>
      </c>
      <c r="BL405" t="str">
        <f>"11.5"</f>
        <v>11.5</v>
      </c>
      <c r="BM405" t="str">
        <f>"60.75"</f>
        <v>60.75</v>
      </c>
      <c r="BN405" t="str">
        <f>"122.91"</f>
        <v>122.91</v>
      </c>
      <c r="BY405" t="str">
        <f>"49.19"</f>
        <v>49.19</v>
      </c>
      <c r="BZ405" t="str">
        <f>"1.393"</f>
        <v>1.393</v>
      </c>
      <c r="CA405" t="s">
        <v>390</v>
      </c>
      <c r="CQ405" t="s">
        <v>438</v>
      </c>
      <c r="CR405" t="s">
        <v>400</v>
      </c>
      <c r="CS405">
        <v>0</v>
      </c>
      <c r="CT405" t="s">
        <v>400</v>
      </c>
      <c r="CV405">
        <v>0</v>
      </c>
      <c r="CX405" t="s">
        <v>1980</v>
      </c>
      <c r="CY405" t="s">
        <v>400</v>
      </c>
      <c r="DA405">
        <v>0</v>
      </c>
      <c r="DB405">
        <v>0</v>
      </c>
      <c r="DC405">
        <v>0</v>
      </c>
      <c r="DD405">
        <v>0</v>
      </c>
      <c r="DK405" t="s">
        <v>7983</v>
      </c>
      <c r="DM405" t="s">
        <v>2028</v>
      </c>
      <c r="EN405">
        <v>0</v>
      </c>
      <c r="HN405" t="s">
        <v>448</v>
      </c>
      <c r="HO405" t="s">
        <v>448</v>
      </c>
      <c r="HP405" t="s">
        <v>448</v>
      </c>
      <c r="HQ405" t="s">
        <v>638</v>
      </c>
      <c r="HR405" t="s">
        <v>827</v>
      </c>
      <c r="HS405" t="s">
        <v>2906</v>
      </c>
      <c r="HT405" t="s">
        <v>1161</v>
      </c>
      <c r="HU405" t="s">
        <v>827</v>
      </c>
      <c r="HV405" t="s">
        <v>2906</v>
      </c>
      <c r="HW405" t="s">
        <v>5406</v>
      </c>
      <c r="HX405" t="s">
        <v>6662</v>
      </c>
      <c r="HY405" t="s">
        <v>639</v>
      </c>
      <c r="HZ405" t="s">
        <v>830</v>
      </c>
      <c r="IA405" t="s">
        <v>5406</v>
      </c>
      <c r="IB405" t="s">
        <v>637</v>
      </c>
      <c r="IC405" t="s">
        <v>402</v>
      </c>
      <c r="ID405" t="s">
        <v>3519</v>
      </c>
      <c r="IE405" t="s">
        <v>3520</v>
      </c>
      <c r="IF405" t="s">
        <v>2177</v>
      </c>
      <c r="IG405" t="s">
        <v>2040</v>
      </c>
      <c r="IM405" t="s">
        <v>7985</v>
      </c>
      <c r="IN405" t="s">
        <v>7531</v>
      </c>
      <c r="IO405" t="s">
        <v>7985</v>
      </c>
      <c r="IP405" t="s">
        <v>402</v>
      </c>
      <c r="IQ405" t="s">
        <v>3522</v>
      </c>
    </row>
    <row r="406" spans="1:294" x14ac:dyDescent="0.25">
      <c r="A406" t="s">
        <v>8002</v>
      </c>
      <c r="B406" t="str">
        <f>"801542692452"</f>
        <v>801542692452</v>
      </c>
      <c r="C406" t="s">
        <v>8003</v>
      </c>
      <c r="D406" t="s">
        <v>8004</v>
      </c>
      <c r="E406" t="s">
        <v>964</v>
      </c>
      <c r="F406" t="s">
        <v>965</v>
      </c>
      <c r="G406" t="str">
        <f>"40.25"</f>
        <v>40.25</v>
      </c>
      <c r="H406" t="str">
        <f>"22.75"</f>
        <v>22.75</v>
      </c>
      <c r="I406" t="str">
        <f>"76.75"</f>
        <v>76.75</v>
      </c>
      <c r="J406" t="str">
        <f>"142.2"</f>
        <v>142.2</v>
      </c>
      <c r="K406" t="s">
        <v>8005</v>
      </c>
      <c r="N406" t="s">
        <v>1101</v>
      </c>
      <c r="T406" t="s">
        <v>373</v>
      </c>
      <c r="U406" t="s">
        <v>373</v>
      </c>
      <c r="V406" t="s">
        <v>8006</v>
      </c>
      <c r="W406" t="s">
        <v>8007</v>
      </c>
      <c r="X406" t="s">
        <v>8008</v>
      </c>
      <c r="Y406" t="s">
        <v>8009</v>
      </c>
      <c r="Z406" t="s">
        <v>8010</v>
      </c>
      <c r="AA406" t="s">
        <v>8011</v>
      </c>
      <c r="AB406" t="s">
        <v>8012</v>
      </c>
      <c r="AC406" t="s">
        <v>8013</v>
      </c>
      <c r="AD406" t="s">
        <v>8014</v>
      </c>
      <c r="AE406" t="s">
        <v>8015</v>
      </c>
      <c r="AF406" t="s">
        <v>8016</v>
      </c>
      <c r="AG406" t="s">
        <v>8017</v>
      </c>
      <c r="AH406" t="s">
        <v>8018</v>
      </c>
      <c r="AI406" t="s">
        <v>8019</v>
      </c>
      <c r="BA406" t="str">
        <f>"1799"</f>
        <v>1799</v>
      </c>
      <c r="BB406" t="str">
        <f>"760"</f>
        <v>760</v>
      </c>
      <c r="BC406" t="s">
        <v>665</v>
      </c>
      <c r="BD406" t="str">
        <f t="shared" ref="BD406:BD423" si="97">"1"</f>
        <v>1</v>
      </c>
      <c r="BE406" t="s">
        <v>389</v>
      </c>
      <c r="BF406" t="str">
        <f>"78.15"</f>
        <v>78.15</v>
      </c>
      <c r="BG406" t="str">
        <f>"12.2"</f>
        <v>12.2</v>
      </c>
      <c r="BH406" t="str">
        <f>"43.31"</f>
        <v>43.31</v>
      </c>
      <c r="BI406" t="str">
        <f>"166.45"</f>
        <v>166.45</v>
      </c>
      <c r="BY406" t="str">
        <f>"23.91"</f>
        <v>23.91</v>
      </c>
      <c r="BZ406" t="str">
        <f>"0.677"</f>
        <v>0.677</v>
      </c>
      <c r="CA406" t="s">
        <v>431</v>
      </c>
      <c r="CE406" t="s">
        <v>5544</v>
      </c>
      <c r="CF406" t="s">
        <v>8020</v>
      </c>
      <c r="CG406" t="s">
        <v>8021</v>
      </c>
      <c r="CR406" t="s">
        <v>400</v>
      </c>
      <c r="CS406">
        <v>0</v>
      </c>
      <c r="CT406" t="s">
        <v>400</v>
      </c>
      <c r="CV406">
        <v>0</v>
      </c>
      <c r="CX406" t="s">
        <v>953</v>
      </c>
      <c r="CY406" t="s">
        <v>954</v>
      </c>
      <c r="DA406">
        <v>18.14</v>
      </c>
      <c r="DB406">
        <v>40</v>
      </c>
      <c r="DC406">
        <v>1</v>
      </c>
      <c r="DJ406" t="s">
        <v>982</v>
      </c>
      <c r="DK406" t="s">
        <v>8022</v>
      </c>
      <c r="DX406" t="s">
        <v>1290</v>
      </c>
      <c r="EM406" t="s">
        <v>402</v>
      </c>
      <c r="EN406">
        <v>1</v>
      </c>
      <c r="EZ406" t="s">
        <v>8023</v>
      </c>
      <c r="FA406" t="s">
        <v>1350</v>
      </c>
      <c r="FB406" t="s">
        <v>8024</v>
      </c>
      <c r="FC406" t="s">
        <v>5544</v>
      </c>
      <c r="FD406" t="s">
        <v>8025</v>
      </c>
      <c r="FE406" t="s">
        <v>8021</v>
      </c>
      <c r="FF406">
        <v>0</v>
      </c>
      <c r="FH406" t="s">
        <v>959</v>
      </c>
      <c r="FI406">
        <v>2</v>
      </c>
      <c r="FJ406" t="s">
        <v>960</v>
      </c>
      <c r="FK406" t="s">
        <v>1611</v>
      </c>
      <c r="FL406">
        <v>0</v>
      </c>
      <c r="FM406" t="s">
        <v>402</v>
      </c>
      <c r="FN406" t="s">
        <v>983</v>
      </c>
      <c r="FO406" t="s">
        <v>984</v>
      </c>
      <c r="FQ406">
        <v>0</v>
      </c>
      <c r="GX406" t="s">
        <v>8026</v>
      </c>
      <c r="HI406" t="s">
        <v>402</v>
      </c>
    </row>
    <row r="407" spans="1:294" x14ac:dyDescent="0.25">
      <c r="A407" t="s">
        <v>8027</v>
      </c>
      <c r="B407" t="str">
        <f>"801542695255"</f>
        <v>801542695255</v>
      </c>
      <c r="C407" t="s">
        <v>8028</v>
      </c>
      <c r="D407" t="s">
        <v>8004</v>
      </c>
      <c r="E407" t="s">
        <v>647</v>
      </c>
      <c r="F407" t="s">
        <v>648</v>
      </c>
      <c r="G407" t="str">
        <f>"70.75"</f>
        <v>70.75</v>
      </c>
      <c r="H407" t="str">
        <f>"39.25"</f>
        <v>39.25</v>
      </c>
      <c r="I407" t="str">
        <f>"30"</f>
        <v>30</v>
      </c>
      <c r="J407" t="str">
        <f>"155.42"</f>
        <v>155.42</v>
      </c>
      <c r="K407" t="s">
        <v>8005</v>
      </c>
      <c r="N407" t="s">
        <v>1101</v>
      </c>
      <c r="T407" t="s">
        <v>373</v>
      </c>
      <c r="U407" t="s">
        <v>373</v>
      </c>
      <c r="V407" t="s">
        <v>8029</v>
      </c>
      <c r="W407" t="s">
        <v>8030</v>
      </c>
      <c r="X407" t="s">
        <v>8031</v>
      </c>
      <c r="Y407" t="s">
        <v>8032</v>
      </c>
      <c r="Z407" t="s">
        <v>8033</v>
      </c>
      <c r="AA407" t="s">
        <v>8034</v>
      </c>
      <c r="AB407" t="s">
        <v>8035</v>
      </c>
      <c r="AC407" t="s">
        <v>8036</v>
      </c>
      <c r="AD407" t="s">
        <v>8037</v>
      </c>
      <c r="AE407" t="s">
        <v>8038</v>
      </c>
      <c r="AF407" t="s">
        <v>8039</v>
      </c>
      <c r="BA407" t="str">
        <f>"1499"</f>
        <v>1499</v>
      </c>
      <c r="BB407" t="str">
        <f>"630"</f>
        <v>630</v>
      </c>
      <c r="BC407" t="s">
        <v>665</v>
      </c>
      <c r="BD407" t="str">
        <f t="shared" si="97"/>
        <v>1</v>
      </c>
      <c r="BE407" t="s">
        <v>389</v>
      </c>
      <c r="BF407" t="str">
        <f>"67.72"</f>
        <v>67.72</v>
      </c>
      <c r="BG407" t="str">
        <f>"11.61"</f>
        <v>11.61</v>
      </c>
      <c r="BH407" t="str">
        <f>"43.31"</f>
        <v>43.31</v>
      </c>
      <c r="BI407" t="str">
        <f>"173.06"</f>
        <v>173.06</v>
      </c>
      <c r="BY407" t="str">
        <f>"19.71"</f>
        <v>19.71</v>
      </c>
      <c r="BZ407" t="str">
        <f>"0.558"</f>
        <v>0.558</v>
      </c>
      <c r="CA407" t="s">
        <v>431</v>
      </c>
      <c r="CR407" t="s">
        <v>400</v>
      </c>
      <c r="CS407">
        <v>0</v>
      </c>
      <c r="CT407" t="s">
        <v>400</v>
      </c>
      <c r="CV407">
        <v>0</v>
      </c>
      <c r="CX407" t="s">
        <v>953</v>
      </c>
      <c r="CY407" t="s">
        <v>5478</v>
      </c>
      <c r="DA407">
        <v>0</v>
      </c>
      <c r="DB407">
        <v>0</v>
      </c>
      <c r="DC407">
        <v>0</v>
      </c>
      <c r="DI407">
        <v>10</v>
      </c>
      <c r="DJ407" t="s">
        <v>408</v>
      </c>
      <c r="DK407" t="s">
        <v>8022</v>
      </c>
      <c r="DM407" t="s">
        <v>669</v>
      </c>
      <c r="DX407" t="s">
        <v>2382</v>
      </c>
      <c r="DY407" t="s">
        <v>8040</v>
      </c>
      <c r="DZ407" t="s">
        <v>673</v>
      </c>
      <c r="EI407" t="s">
        <v>1292</v>
      </c>
      <c r="EJ407" t="s">
        <v>3882</v>
      </c>
      <c r="EK407" t="s">
        <v>1292</v>
      </c>
      <c r="EL407" t="s">
        <v>4244</v>
      </c>
      <c r="EM407" t="s">
        <v>402</v>
      </c>
      <c r="EN407">
        <v>0</v>
      </c>
      <c r="EO407">
        <v>2</v>
      </c>
      <c r="EV407" t="s">
        <v>4244</v>
      </c>
      <c r="EW407" t="s">
        <v>2382</v>
      </c>
      <c r="EY407" t="s">
        <v>5485</v>
      </c>
      <c r="JQ407" t="s">
        <v>8041</v>
      </c>
      <c r="JR407" t="s">
        <v>5545</v>
      </c>
      <c r="JS407" t="s">
        <v>8042</v>
      </c>
      <c r="JT407" t="s">
        <v>5489</v>
      </c>
      <c r="KH407" t="s">
        <v>402</v>
      </c>
    </row>
    <row r="408" spans="1:294" x14ac:dyDescent="0.25">
      <c r="A408" t="s">
        <v>8043</v>
      </c>
      <c r="B408" t="str">
        <f>"801542735357"</f>
        <v>801542735357</v>
      </c>
      <c r="C408" t="s">
        <v>8044</v>
      </c>
      <c r="D408" t="s">
        <v>1276</v>
      </c>
      <c r="E408" t="s">
        <v>930</v>
      </c>
      <c r="G408" t="str">
        <f>"74"</f>
        <v>74</v>
      </c>
      <c r="H408" t="str">
        <f>"19"</f>
        <v>19</v>
      </c>
      <c r="I408" t="str">
        <f>"34"</f>
        <v>34</v>
      </c>
      <c r="J408" t="str">
        <f>"231.26"</f>
        <v>231.26</v>
      </c>
      <c r="K408" t="s">
        <v>1017</v>
      </c>
      <c r="L408" t="s">
        <v>1277</v>
      </c>
      <c r="N408" t="s">
        <v>555</v>
      </c>
      <c r="T408" t="s">
        <v>402</v>
      </c>
      <c r="U408" t="s">
        <v>373</v>
      </c>
      <c r="V408" t="s">
        <v>8045</v>
      </c>
      <c r="W408" t="s">
        <v>8046</v>
      </c>
      <c r="X408" t="s">
        <v>8047</v>
      </c>
      <c r="Y408" t="s">
        <v>8048</v>
      </c>
      <c r="Z408" t="s">
        <v>8049</v>
      </c>
      <c r="AA408" t="s">
        <v>8050</v>
      </c>
      <c r="AB408" t="s">
        <v>8051</v>
      </c>
      <c r="AC408" t="s">
        <v>8052</v>
      </c>
      <c r="AD408" t="s">
        <v>8053</v>
      </c>
      <c r="AE408" t="s">
        <v>8054</v>
      </c>
      <c r="AF408" t="s">
        <v>8055</v>
      </c>
      <c r="AG408" t="s">
        <v>8056</v>
      </c>
      <c r="AH408" t="s">
        <v>8057</v>
      </c>
      <c r="AI408" t="s">
        <v>8058</v>
      </c>
      <c r="BA408" t="str">
        <f>"2499"</f>
        <v>2499</v>
      </c>
      <c r="BB408" t="str">
        <f>"1050"</f>
        <v>1050</v>
      </c>
      <c r="BC408" t="s">
        <v>665</v>
      </c>
      <c r="BD408" t="str">
        <f t="shared" si="97"/>
        <v>1</v>
      </c>
      <c r="BE408" t="s">
        <v>1266</v>
      </c>
      <c r="BF408" t="str">
        <f>"78"</f>
        <v>78</v>
      </c>
      <c r="BG408" t="str">
        <f>"23"</f>
        <v>23</v>
      </c>
      <c r="BH408" t="str">
        <f>"41.25"</f>
        <v>41.25</v>
      </c>
      <c r="BI408" t="str">
        <f>"305.34"</f>
        <v>305.34</v>
      </c>
      <c r="BY408" t="str">
        <f>"42.84"</f>
        <v>42.84</v>
      </c>
      <c r="BZ408" t="str">
        <f>"1.213"</f>
        <v>1.213</v>
      </c>
      <c r="CA408" t="s">
        <v>431</v>
      </c>
      <c r="CB408" t="s">
        <v>3808</v>
      </c>
      <c r="CC408" t="s">
        <v>1348</v>
      </c>
      <c r="CD408" t="s">
        <v>8059</v>
      </c>
      <c r="CE408" t="s">
        <v>3808</v>
      </c>
      <c r="CF408" t="s">
        <v>7702</v>
      </c>
      <c r="CG408" t="s">
        <v>8059</v>
      </c>
      <c r="CR408" t="s">
        <v>1007</v>
      </c>
      <c r="CS408">
        <v>3</v>
      </c>
      <c r="CT408" t="s">
        <v>400</v>
      </c>
      <c r="CV408">
        <v>2</v>
      </c>
      <c r="CW408" t="s">
        <v>402</v>
      </c>
      <c r="CY408" t="s">
        <v>954</v>
      </c>
      <c r="DA408">
        <v>18.14</v>
      </c>
      <c r="DB408">
        <v>40</v>
      </c>
      <c r="DC408">
        <v>0</v>
      </c>
      <c r="DK408" t="s">
        <v>7795</v>
      </c>
      <c r="DM408" t="s">
        <v>669</v>
      </c>
      <c r="DX408" t="s">
        <v>3079</v>
      </c>
      <c r="EM408" t="s">
        <v>402</v>
      </c>
      <c r="EN408">
        <v>4</v>
      </c>
      <c r="EZ408" t="s">
        <v>4209</v>
      </c>
      <c r="FA408" t="s">
        <v>956</v>
      </c>
      <c r="FB408" t="s">
        <v>8060</v>
      </c>
      <c r="FF408">
        <v>0</v>
      </c>
      <c r="FH408" t="s">
        <v>959</v>
      </c>
      <c r="FI408">
        <v>3</v>
      </c>
      <c r="FJ408" t="s">
        <v>7818</v>
      </c>
      <c r="FK408" t="s">
        <v>1611</v>
      </c>
      <c r="FL408">
        <v>0</v>
      </c>
      <c r="FO408" t="s">
        <v>984</v>
      </c>
      <c r="FR408" t="s">
        <v>1999</v>
      </c>
      <c r="FT408" t="s">
        <v>4296</v>
      </c>
      <c r="FV408" t="s">
        <v>8061</v>
      </c>
      <c r="FX408" t="s">
        <v>1017</v>
      </c>
      <c r="GB408" t="s">
        <v>3808</v>
      </c>
      <c r="GC408" t="s">
        <v>7702</v>
      </c>
      <c r="GD408" t="s">
        <v>8062</v>
      </c>
      <c r="JM408" t="s">
        <v>3808</v>
      </c>
      <c r="JN408" t="s">
        <v>1348</v>
      </c>
      <c r="JO408" t="s">
        <v>8062</v>
      </c>
    </row>
    <row r="409" spans="1:294" x14ac:dyDescent="0.25">
      <c r="A409" t="s">
        <v>8063</v>
      </c>
      <c r="B409" t="str">
        <f>"801542066109"</f>
        <v>801542066109</v>
      </c>
      <c r="C409" t="s">
        <v>8064</v>
      </c>
      <c r="D409" t="s">
        <v>1420</v>
      </c>
      <c r="E409" t="s">
        <v>930</v>
      </c>
      <c r="G409" t="str">
        <f>"72"</f>
        <v>72</v>
      </c>
      <c r="H409" t="str">
        <f>"17.75"</f>
        <v>17.75</v>
      </c>
      <c r="I409" t="str">
        <f>"31.5"</f>
        <v>31.5</v>
      </c>
      <c r="J409" t="str">
        <f>"184.08"</f>
        <v>184.08</v>
      </c>
      <c r="K409" t="s">
        <v>8065</v>
      </c>
      <c r="N409" t="s">
        <v>1970</v>
      </c>
      <c r="O409" t="s">
        <v>372</v>
      </c>
      <c r="T409" t="s">
        <v>373</v>
      </c>
      <c r="U409" t="s">
        <v>373</v>
      </c>
      <c r="V409" t="s">
        <v>8066</v>
      </c>
      <c r="W409" t="s">
        <v>8067</v>
      </c>
      <c r="X409" t="s">
        <v>8068</v>
      </c>
      <c r="Y409" t="s">
        <v>8069</v>
      </c>
      <c r="Z409" t="s">
        <v>8070</v>
      </c>
      <c r="AA409" t="s">
        <v>8071</v>
      </c>
      <c r="AB409" t="s">
        <v>8072</v>
      </c>
      <c r="AC409" t="s">
        <v>8073</v>
      </c>
      <c r="AD409" t="s">
        <v>8074</v>
      </c>
      <c r="AE409" t="s">
        <v>8075</v>
      </c>
      <c r="AF409" t="s">
        <v>8076</v>
      </c>
      <c r="AG409" t="s">
        <v>8077</v>
      </c>
      <c r="AH409" t="s">
        <v>8078</v>
      </c>
      <c r="AI409" t="s">
        <v>8079</v>
      </c>
      <c r="BA409" t="str">
        <f>"1899"</f>
        <v>1899</v>
      </c>
      <c r="BB409" t="str">
        <f>"800"</f>
        <v>800</v>
      </c>
      <c r="BC409" t="s">
        <v>665</v>
      </c>
      <c r="BD409" t="str">
        <f t="shared" si="97"/>
        <v>1</v>
      </c>
      <c r="BE409" t="s">
        <v>1266</v>
      </c>
      <c r="BF409" t="str">
        <f>"75.98"</f>
        <v>75.98</v>
      </c>
      <c r="BG409" t="str">
        <f>"21.46"</f>
        <v>21.46</v>
      </c>
      <c r="BH409" t="str">
        <f>"36.61"</f>
        <v>36.61</v>
      </c>
      <c r="BI409" t="str">
        <f>"216.05"</f>
        <v>216.05</v>
      </c>
      <c r="BY409" t="str">
        <f>"34.54"</f>
        <v>34.54</v>
      </c>
      <c r="BZ409" t="str">
        <f>"0.978"</f>
        <v>0.978</v>
      </c>
      <c r="CA409" t="s">
        <v>390</v>
      </c>
      <c r="CE409" t="s">
        <v>4675</v>
      </c>
      <c r="CF409" t="s">
        <v>8080</v>
      </c>
      <c r="CG409" t="s">
        <v>8081</v>
      </c>
      <c r="CR409" t="s">
        <v>1343</v>
      </c>
      <c r="CS409">
        <v>6</v>
      </c>
      <c r="CT409" t="s">
        <v>1312</v>
      </c>
      <c r="CV409">
        <v>0</v>
      </c>
      <c r="CX409" t="s">
        <v>1980</v>
      </c>
      <c r="CY409" t="s">
        <v>954</v>
      </c>
      <c r="DA409">
        <v>18.14</v>
      </c>
      <c r="DB409">
        <v>40</v>
      </c>
      <c r="DC409">
        <v>1</v>
      </c>
      <c r="DK409" t="s">
        <v>8082</v>
      </c>
      <c r="DM409" t="s">
        <v>669</v>
      </c>
      <c r="DX409" t="s">
        <v>742</v>
      </c>
      <c r="EM409" t="s">
        <v>402</v>
      </c>
      <c r="EN409">
        <v>1</v>
      </c>
      <c r="EZ409" t="s">
        <v>2126</v>
      </c>
      <c r="FA409" t="s">
        <v>4614</v>
      </c>
      <c r="FB409" t="s">
        <v>8083</v>
      </c>
      <c r="FC409" t="s">
        <v>4675</v>
      </c>
      <c r="FD409" t="s">
        <v>4614</v>
      </c>
      <c r="FE409" t="s">
        <v>8081</v>
      </c>
      <c r="FF409">
        <v>0</v>
      </c>
      <c r="FG409" t="s">
        <v>402</v>
      </c>
      <c r="FI409">
        <v>2</v>
      </c>
      <c r="FJ409" t="s">
        <v>960</v>
      </c>
      <c r="FK409" t="s">
        <v>1246</v>
      </c>
      <c r="FL409">
        <v>0</v>
      </c>
      <c r="FM409" t="s">
        <v>402</v>
      </c>
      <c r="FO409" t="s">
        <v>984</v>
      </c>
      <c r="FR409" t="s">
        <v>8084</v>
      </c>
      <c r="FS409" t="s">
        <v>8084</v>
      </c>
      <c r="FT409" t="s">
        <v>8085</v>
      </c>
      <c r="FU409" t="s">
        <v>8086</v>
      </c>
      <c r="FV409" t="s">
        <v>8087</v>
      </c>
      <c r="FW409" t="s">
        <v>8087</v>
      </c>
      <c r="FX409" t="s">
        <v>1008</v>
      </c>
      <c r="FZ409" t="s">
        <v>1018</v>
      </c>
      <c r="GX409" t="s">
        <v>392</v>
      </c>
      <c r="GY409" t="s">
        <v>8084</v>
      </c>
      <c r="HA409" t="s">
        <v>8088</v>
      </c>
      <c r="HC409" t="s">
        <v>8087</v>
      </c>
      <c r="HI409" t="s">
        <v>402</v>
      </c>
    </row>
    <row r="410" spans="1:294" x14ac:dyDescent="0.25">
      <c r="A410" t="s">
        <v>8089</v>
      </c>
      <c r="B410" t="str">
        <f>"801542737498"</f>
        <v>801542737498</v>
      </c>
      <c r="C410" t="s">
        <v>8090</v>
      </c>
      <c r="D410" t="s">
        <v>769</v>
      </c>
      <c r="E410" t="s">
        <v>413</v>
      </c>
      <c r="G410" t="str">
        <f>"84"</f>
        <v>84</v>
      </c>
      <c r="H410" t="str">
        <f>"36"</f>
        <v>36</v>
      </c>
      <c r="I410" t="str">
        <f>"32"</f>
        <v>32</v>
      </c>
      <c r="J410" t="str">
        <f>"134.48"</f>
        <v>134.48</v>
      </c>
      <c r="K410" t="s">
        <v>2341</v>
      </c>
      <c r="L410" t="s">
        <v>1932</v>
      </c>
      <c r="N410" t="s">
        <v>416</v>
      </c>
      <c r="O410" t="s">
        <v>519</v>
      </c>
      <c r="T410" t="s">
        <v>373</v>
      </c>
      <c r="U410" t="s">
        <v>373</v>
      </c>
      <c r="W410" t="s">
        <v>8091</v>
      </c>
      <c r="X410" t="s">
        <v>8092</v>
      </c>
      <c r="Y410" t="s">
        <v>8093</v>
      </c>
      <c r="Z410" t="s">
        <v>8094</v>
      </c>
      <c r="AA410" t="s">
        <v>8095</v>
      </c>
      <c r="AB410" t="s">
        <v>8096</v>
      </c>
      <c r="AC410" t="s">
        <v>8097</v>
      </c>
      <c r="AD410" t="s">
        <v>8098</v>
      </c>
      <c r="AE410" t="s">
        <v>8099</v>
      </c>
      <c r="AF410" t="s">
        <v>8100</v>
      </c>
      <c r="AG410" t="s">
        <v>8101</v>
      </c>
      <c r="AH410" t="s">
        <v>8102</v>
      </c>
      <c r="AI410" t="s">
        <v>8103</v>
      </c>
      <c r="BA410" t="str">
        <f>"3499"</f>
        <v>3499</v>
      </c>
      <c r="BB410" t="str">
        <f>"1470"</f>
        <v>1470</v>
      </c>
      <c r="BC410" t="s">
        <v>388</v>
      </c>
      <c r="BD410" t="str">
        <f t="shared" si="97"/>
        <v>1</v>
      </c>
      <c r="BE410" t="s">
        <v>389</v>
      </c>
      <c r="BF410" t="str">
        <f>"87.01"</f>
        <v>87.01</v>
      </c>
      <c r="BG410" t="str">
        <f>"36.61"</f>
        <v>36.61</v>
      </c>
      <c r="BH410" t="str">
        <f>"30.91"</f>
        <v>30.91</v>
      </c>
      <c r="BI410" t="str">
        <f>"167.55"</f>
        <v>167.55</v>
      </c>
      <c r="BY410" t="str">
        <f>"56.96"</f>
        <v>56.96</v>
      </c>
      <c r="BZ410" t="str">
        <f>"1.613"</f>
        <v>1.613</v>
      </c>
      <c r="CA410" t="s">
        <v>390</v>
      </c>
      <c r="CH410" t="s">
        <v>2792</v>
      </c>
      <c r="CI410" t="s">
        <v>797</v>
      </c>
      <c r="CJ410" t="s">
        <v>790</v>
      </c>
      <c r="CK410" t="s">
        <v>603</v>
      </c>
      <c r="CL410" t="s">
        <v>2129</v>
      </c>
      <c r="CM410" t="s">
        <v>642</v>
      </c>
      <c r="CN410">
        <v>0</v>
      </c>
      <c r="CO410">
        <v>2</v>
      </c>
      <c r="CP410" t="s">
        <v>437</v>
      </c>
      <c r="CQ410" t="s">
        <v>438</v>
      </c>
      <c r="CU410" t="s">
        <v>1513</v>
      </c>
      <c r="CX410" t="s">
        <v>403</v>
      </c>
      <c r="CY410" t="s">
        <v>400</v>
      </c>
      <c r="CZ410">
        <v>0</v>
      </c>
      <c r="DD410">
        <v>0</v>
      </c>
      <c r="DE410" t="s">
        <v>439</v>
      </c>
      <c r="DF410" t="s">
        <v>406</v>
      </c>
      <c r="DG410" t="s">
        <v>407</v>
      </c>
      <c r="DH410">
        <v>2</v>
      </c>
      <c r="DI410">
        <v>4</v>
      </c>
      <c r="DK410" t="s">
        <v>2791</v>
      </c>
      <c r="DL410">
        <v>0</v>
      </c>
      <c r="DM410" t="s">
        <v>795</v>
      </c>
      <c r="DN410" t="s">
        <v>2083</v>
      </c>
      <c r="DO410" t="s">
        <v>2599</v>
      </c>
      <c r="DP410" t="s">
        <v>432</v>
      </c>
      <c r="DT410" t="s">
        <v>1490</v>
      </c>
      <c r="DU410" t="s">
        <v>448</v>
      </c>
      <c r="DV410" t="s">
        <v>979</v>
      </c>
      <c r="DW410" t="s">
        <v>790</v>
      </c>
      <c r="DX410" t="s">
        <v>2263</v>
      </c>
      <c r="DY410" t="s">
        <v>2792</v>
      </c>
      <c r="DZ410" t="s">
        <v>3253</v>
      </c>
      <c r="EA410" t="s">
        <v>613</v>
      </c>
      <c r="ED410" t="s">
        <v>406</v>
      </c>
      <c r="EE410" t="s">
        <v>407</v>
      </c>
      <c r="EF410" t="s">
        <v>1555</v>
      </c>
      <c r="EG410" t="s">
        <v>641</v>
      </c>
    </row>
    <row r="411" spans="1:294" x14ac:dyDescent="0.25">
      <c r="A411" t="s">
        <v>8104</v>
      </c>
      <c r="B411" t="str">
        <f>"801542744298"</f>
        <v>801542744298</v>
      </c>
      <c r="C411" t="s">
        <v>8105</v>
      </c>
      <c r="D411" t="s">
        <v>769</v>
      </c>
      <c r="E411" t="s">
        <v>413</v>
      </c>
      <c r="G411" t="str">
        <f>"84"</f>
        <v>84</v>
      </c>
      <c r="H411" t="str">
        <f>"36"</f>
        <v>36</v>
      </c>
      <c r="I411" t="str">
        <f>"32"</f>
        <v>32</v>
      </c>
      <c r="J411" t="str">
        <f>"134.48"</f>
        <v>134.48</v>
      </c>
      <c r="K411" t="s">
        <v>5427</v>
      </c>
      <c r="L411" t="s">
        <v>8106</v>
      </c>
      <c r="N411" t="s">
        <v>416</v>
      </c>
      <c r="O411" t="s">
        <v>775</v>
      </c>
      <c r="T411" t="s">
        <v>373</v>
      </c>
      <c r="U411" t="s">
        <v>373</v>
      </c>
      <c r="W411" t="s">
        <v>8107</v>
      </c>
      <c r="X411" t="s">
        <v>8108</v>
      </c>
      <c r="Y411" t="s">
        <v>8109</v>
      </c>
      <c r="Z411" t="s">
        <v>8110</v>
      </c>
      <c r="AA411" t="s">
        <v>8111</v>
      </c>
      <c r="AB411" t="s">
        <v>8112</v>
      </c>
      <c r="AC411" t="s">
        <v>8113</v>
      </c>
      <c r="AD411" t="s">
        <v>8114</v>
      </c>
      <c r="AE411" t="s">
        <v>8115</v>
      </c>
      <c r="BA411" t="str">
        <f>"3499"</f>
        <v>3499</v>
      </c>
      <c r="BB411" t="str">
        <f>"1470"</f>
        <v>1470</v>
      </c>
      <c r="BC411" t="s">
        <v>388</v>
      </c>
      <c r="BD411" t="str">
        <f t="shared" si="97"/>
        <v>1</v>
      </c>
      <c r="BE411" t="s">
        <v>389</v>
      </c>
      <c r="BF411" t="str">
        <f>"87.01"</f>
        <v>87.01</v>
      </c>
      <c r="BG411" t="str">
        <f>"36.61"</f>
        <v>36.61</v>
      </c>
      <c r="BH411" t="str">
        <f>"30.91"</f>
        <v>30.91</v>
      </c>
      <c r="BI411" t="str">
        <f>"167.55"</f>
        <v>167.55</v>
      </c>
      <c r="BY411" t="str">
        <f>"56.96"</f>
        <v>56.96</v>
      </c>
      <c r="BZ411" t="str">
        <f>"1.613"</f>
        <v>1.613</v>
      </c>
      <c r="CA411" t="s">
        <v>495</v>
      </c>
      <c r="CH411" t="s">
        <v>2792</v>
      </c>
      <c r="CI411" t="s">
        <v>797</v>
      </c>
      <c r="CJ411" t="s">
        <v>790</v>
      </c>
      <c r="CK411" t="s">
        <v>603</v>
      </c>
      <c r="CL411" t="s">
        <v>2129</v>
      </c>
      <c r="CM411" t="s">
        <v>642</v>
      </c>
      <c r="CN411">
        <v>0</v>
      </c>
      <c r="CO411">
        <v>2</v>
      </c>
      <c r="CP411" t="s">
        <v>437</v>
      </c>
      <c r="CQ411" t="s">
        <v>438</v>
      </c>
      <c r="CU411" t="s">
        <v>1513</v>
      </c>
      <c r="CX411" t="s">
        <v>403</v>
      </c>
      <c r="CY411" t="s">
        <v>400</v>
      </c>
      <c r="CZ411">
        <v>0</v>
      </c>
      <c r="DD411">
        <v>0</v>
      </c>
      <c r="DE411" t="s">
        <v>439</v>
      </c>
      <c r="DF411" t="s">
        <v>406</v>
      </c>
      <c r="DG411" t="s">
        <v>407</v>
      </c>
      <c r="DH411">
        <v>2</v>
      </c>
      <c r="DI411">
        <v>4</v>
      </c>
      <c r="DK411" t="s">
        <v>2791</v>
      </c>
      <c r="DL411">
        <v>0</v>
      </c>
      <c r="DM411" t="s">
        <v>795</v>
      </c>
      <c r="DN411" t="s">
        <v>2083</v>
      </c>
      <c r="DO411" t="s">
        <v>2599</v>
      </c>
      <c r="DP411" t="s">
        <v>432</v>
      </c>
      <c r="DT411" t="s">
        <v>1490</v>
      </c>
      <c r="DU411" t="s">
        <v>448</v>
      </c>
      <c r="DV411" t="s">
        <v>979</v>
      </c>
      <c r="DW411" t="s">
        <v>790</v>
      </c>
      <c r="DX411" t="s">
        <v>2263</v>
      </c>
      <c r="DY411" t="s">
        <v>2792</v>
      </c>
      <c r="DZ411" t="s">
        <v>3253</v>
      </c>
      <c r="EA411" t="s">
        <v>613</v>
      </c>
      <c r="ED411" t="s">
        <v>406</v>
      </c>
      <c r="EE411" t="s">
        <v>407</v>
      </c>
      <c r="EF411" t="s">
        <v>1555</v>
      </c>
      <c r="EG411" t="s">
        <v>641</v>
      </c>
    </row>
    <row r="412" spans="1:294" x14ac:dyDescent="0.25">
      <c r="A412" t="s">
        <v>8116</v>
      </c>
      <c r="B412" t="str">
        <f>"801542046712"</f>
        <v>801542046712</v>
      </c>
      <c r="C412" t="s">
        <v>8117</v>
      </c>
      <c r="D412" t="s">
        <v>769</v>
      </c>
      <c r="E412" t="s">
        <v>413</v>
      </c>
      <c r="G412" t="str">
        <f>"84"</f>
        <v>84</v>
      </c>
      <c r="H412" t="str">
        <f>"36"</f>
        <v>36</v>
      </c>
      <c r="I412" t="str">
        <f>"32"</f>
        <v>32</v>
      </c>
      <c r="J412" t="str">
        <f>"134.48"</f>
        <v>134.48</v>
      </c>
      <c r="K412" t="s">
        <v>1576</v>
      </c>
      <c r="L412" t="s">
        <v>1518</v>
      </c>
      <c r="N412" t="s">
        <v>416</v>
      </c>
      <c r="O412" t="s">
        <v>775</v>
      </c>
      <c r="T412" t="s">
        <v>373</v>
      </c>
      <c r="U412" t="s">
        <v>373</v>
      </c>
      <c r="V412" t="s">
        <v>8118</v>
      </c>
      <c r="W412" t="s">
        <v>8119</v>
      </c>
      <c r="X412" t="s">
        <v>8120</v>
      </c>
      <c r="Y412" t="s">
        <v>8121</v>
      </c>
      <c r="Z412" t="s">
        <v>8122</v>
      </c>
      <c r="AA412" t="s">
        <v>8123</v>
      </c>
      <c r="AB412" t="s">
        <v>8124</v>
      </c>
      <c r="AC412" t="s">
        <v>8125</v>
      </c>
      <c r="AD412" t="s">
        <v>8126</v>
      </c>
      <c r="AE412" t="s">
        <v>8127</v>
      </c>
      <c r="AF412" t="s">
        <v>8128</v>
      </c>
      <c r="AG412" t="s">
        <v>8129</v>
      </c>
      <c r="AH412" t="s">
        <v>8130</v>
      </c>
      <c r="AI412" t="s">
        <v>8131</v>
      </c>
      <c r="AJ412" t="s">
        <v>8132</v>
      </c>
      <c r="BA412" t="str">
        <f>"3099"</f>
        <v>3099</v>
      </c>
      <c r="BB412" t="str">
        <f>"1305"</f>
        <v>1305</v>
      </c>
      <c r="BC412" t="s">
        <v>388</v>
      </c>
      <c r="BD412" t="str">
        <f t="shared" si="97"/>
        <v>1</v>
      </c>
      <c r="BE412" t="s">
        <v>389</v>
      </c>
      <c r="BF412" t="str">
        <f>"87.01"</f>
        <v>87.01</v>
      </c>
      <c r="BG412" t="str">
        <f>"36.61"</f>
        <v>36.61</v>
      </c>
      <c r="BH412" t="str">
        <f>"30.91"</f>
        <v>30.91</v>
      </c>
      <c r="BI412" t="str">
        <f>"167.55"</f>
        <v>167.55</v>
      </c>
      <c r="BY412" t="str">
        <f>"56.96"</f>
        <v>56.96</v>
      </c>
      <c r="BZ412" t="str">
        <f>"1.613"</f>
        <v>1.613</v>
      </c>
      <c r="CA412" t="s">
        <v>390</v>
      </c>
      <c r="CH412" t="s">
        <v>2792</v>
      </c>
      <c r="CI412" t="s">
        <v>797</v>
      </c>
      <c r="CJ412" t="s">
        <v>790</v>
      </c>
      <c r="CK412" t="s">
        <v>603</v>
      </c>
      <c r="CL412" t="s">
        <v>2129</v>
      </c>
      <c r="CM412" t="s">
        <v>642</v>
      </c>
      <c r="CN412">
        <v>0</v>
      </c>
      <c r="CO412">
        <v>2</v>
      </c>
      <c r="CP412" t="s">
        <v>437</v>
      </c>
      <c r="CQ412" t="s">
        <v>438</v>
      </c>
      <c r="CU412" t="s">
        <v>1513</v>
      </c>
      <c r="CX412" t="s">
        <v>403</v>
      </c>
      <c r="CY412" t="s">
        <v>400</v>
      </c>
      <c r="CZ412">
        <v>0</v>
      </c>
      <c r="DD412">
        <v>0</v>
      </c>
      <c r="DE412" t="s">
        <v>439</v>
      </c>
      <c r="DF412" t="s">
        <v>406</v>
      </c>
      <c r="DG412" t="s">
        <v>407</v>
      </c>
      <c r="DH412">
        <v>2</v>
      </c>
      <c r="DI412">
        <v>4</v>
      </c>
      <c r="DK412" t="s">
        <v>2791</v>
      </c>
      <c r="DL412">
        <v>0</v>
      </c>
      <c r="DM412" t="s">
        <v>795</v>
      </c>
      <c r="DN412" t="s">
        <v>2083</v>
      </c>
      <c r="DO412" t="s">
        <v>2599</v>
      </c>
      <c r="DP412" t="s">
        <v>432</v>
      </c>
      <c r="DT412" t="s">
        <v>1490</v>
      </c>
      <c r="DU412" t="s">
        <v>448</v>
      </c>
      <c r="DV412" t="s">
        <v>979</v>
      </c>
      <c r="DW412" t="s">
        <v>790</v>
      </c>
      <c r="DX412" t="s">
        <v>2263</v>
      </c>
      <c r="DY412" t="s">
        <v>2792</v>
      </c>
      <c r="DZ412" t="s">
        <v>3253</v>
      </c>
      <c r="EA412" t="s">
        <v>613</v>
      </c>
      <c r="ED412" t="s">
        <v>406</v>
      </c>
      <c r="EE412" t="s">
        <v>407</v>
      </c>
      <c r="EF412" t="s">
        <v>1555</v>
      </c>
      <c r="EG412" t="s">
        <v>641</v>
      </c>
    </row>
    <row r="413" spans="1:294" x14ac:dyDescent="0.25">
      <c r="A413" t="s">
        <v>8133</v>
      </c>
      <c r="B413" t="str">
        <f>"801542742683"</f>
        <v>801542742683</v>
      </c>
      <c r="C413" t="s">
        <v>8134</v>
      </c>
      <c r="D413" t="s">
        <v>5460</v>
      </c>
      <c r="E413" t="s">
        <v>1077</v>
      </c>
      <c r="G413" t="str">
        <f>"48"</f>
        <v>48</v>
      </c>
      <c r="H413" t="str">
        <f>"26"</f>
        <v>26</v>
      </c>
      <c r="I413" t="str">
        <f>"17"</f>
        <v>17</v>
      </c>
      <c r="J413" t="str">
        <f>"98.1"</f>
        <v>98.1</v>
      </c>
      <c r="K413" t="s">
        <v>7900</v>
      </c>
      <c r="L413" t="s">
        <v>7901</v>
      </c>
      <c r="N413" t="s">
        <v>6858</v>
      </c>
      <c r="O413" t="s">
        <v>7902</v>
      </c>
      <c r="P413" t="s">
        <v>519</v>
      </c>
      <c r="T413" t="s">
        <v>373</v>
      </c>
      <c r="U413" t="s">
        <v>373</v>
      </c>
      <c r="V413" t="s">
        <v>8135</v>
      </c>
      <c r="W413" t="s">
        <v>8136</v>
      </c>
      <c r="X413" t="s">
        <v>8137</v>
      </c>
      <c r="Y413" t="s">
        <v>8138</v>
      </c>
      <c r="Z413" t="s">
        <v>8139</v>
      </c>
      <c r="AA413" t="s">
        <v>8140</v>
      </c>
      <c r="AB413" t="s">
        <v>8141</v>
      </c>
      <c r="AC413" t="s">
        <v>8142</v>
      </c>
      <c r="AD413" t="s">
        <v>8143</v>
      </c>
      <c r="AE413" t="s">
        <v>8144</v>
      </c>
      <c r="AF413" t="s">
        <v>8145</v>
      </c>
      <c r="AG413" t="s">
        <v>8146</v>
      </c>
      <c r="AH413" t="s">
        <v>8147</v>
      </c>
      <c r="AI413" t="s">
        <v>8148</v>
      </c>
      <c r="AJ413" t="s">
        <v>8149</v>
      </c>
      <c r="BA413" t="str">
        <f>"1299"</f>
        <v>1299</v>
      </c>
      <c r="BB413" t="str">
        <f>"550"</f>
        <v>550</v>
      </c>
      <c r="BC413" t="s">
        <v>665</v>
      </c>
      <c r="BD413" t="str">
        <f t="shared" si="97"/>
        <v>1</v>
      </c>
      <c r="BE413" t="s">
        <v>389</v>
      </c>
      <c r="BF413" t="str">
        <f>"51.18"</f>
        <v>51.18</v>
      </c>
      <c r="BG413" t="str">
        <f>"29.33"</f>
        <v>29.33</v>
      </c>
      <c r="BH413" t="str">
        <f>"22.05"</f>
        <v>22.05</v>
      </c>
      <c r="BI413" t="str">
        <f>"130.07"</f>
        <v>130.07</v>
      </c>
      <c r="BY413" t="str">
        <f>"19.14"</f>
        <v>19.14</v>
      </c>
      <c r="BZ413" t="str">
        <f>"0.542"</f>
        <v>0.542</v>
      </c>
      <c r="CA413" t="s">
        <v>495</v>
      </c>
      <c r="CB413" t="s">
        <v>6745</v>
      </c>
      <c r="CC413" t="s">
        <v>7917</v>
      </c>
      <c r="CD413" t="s">
        <v>8150</v>
      </c>
      <c r="CE413" t="s">
        <v>6745</v>
      </c>
      <c r="CF413" t="s">
        <v>7923</v>
      </c>
      <c r="CG413" t="s">
        <v>8150</v>
      </c>
      <c r="CR413" t="s">
        <v>1007</v>
      </c>
      <c r="CS413">
        <v>4</v>
      </c>
      <c r="CT413" t="s">
        <v>400</v>
      </c>
      <c r="CV413">
        <v>1</v>
      </c>
      <c r="CW413" t="s">
        <v>402</v>
      </c>
      <c r="CX413" t="s">
        <v>953</v>
      </c>
      <c r="CY413" t="s">
        <v>1009</v>
      </c>
      <c r="DC413">
        <v>0</v>
      </c>
      <c r="DJ413" t="s">
        <v>408</v>
      </c>
      <c r="DK413" t="s">
        <v>7920</v>
      </c>
      <c r="DM413" t="s">
        <v>473</v>
      </c>
      <c r="DX413" t="s">
        <v>8151</v>
      </c>
      <c r="DY413" t="s">
        <v>2601</v>
      </c>
      <c r="DZ413" t="s">
        <v>1158</v>
      </c>
      <c r="EI413" t="s">
        <v>637</v>
      </c>
      <c r="EJ413" t="s">
        <v>6906</v>
      </c>
      <c r="EK413" t="s">
        <v>637</v>
      </c>
      <c r="EL413" t="s">
        <v>4614</v>
      </c>
      <c r="EM413" t="s">
        <v>402</v>
      </c>
      <c r="EN413">
        <v>1</v>
      </c>
      <c r="EO413">
        <v>0</v>
      </c>
      <c r="FP413" t="s">
        <v>402</v>
      </c>
      <c r="FR413" t="s">
        <v>8152</v>
      </c>
      <c r="FT413" t="s">
        <v>8153</v>
      </c>
      <c r="FV413" t="s">
        <v>8154</v>
      </c>
      <c r="FX413" t="s">
        <v>4210</v>
      </c>
      <c r="FZ413" t="s">
        <v>1018</v>
      </c>
    </row>
    <row r="414" spans="1:294" x14ac:dyDescent="0.25">
      <c r="A414" t="s">
        <v>8155</v>
      </c>
      <c r="B414" t="str">
        <f>"801542735326"</f>
        <v>801542735326</v>
      </c>
      <c r="C414" t="s">
        <v>8156</v>
      </c>
      <c r="D414" t="s">
        <v>1276</v>
      </c>
      <c r="E414" t="s">
        <v>4074</v>
      </c>
      <c r="G414" t="str">
        <f>"57"</f>
        <v>57</v>
      </c>
      <c r="H414" t="str">
        <f>"17"</f>
        <v>17</v>
      </c>
      <c r="I414" t="str">
        <f>"30"</f>
        <v>30</v>
      </c>
      <c r="J414" t="str">
        <f>"109.35"</f>
        <v>109.35</v>
      </c>
      <c r="K414" t="s">
        <v>1017</v>
      </c>
      <c r="L414" t="s">
        <v>1277</v>
      </c>
      <c r="N414" t="s">
        <v>555</v>
      </c>
      <c r="T414" t="s">
        <v>402</v>
      </c>
      <c r="U414" t="s">
        <v>373</v>
      </c>
      <c r="V414" t="s">
        <v>8157</v>
      </c>
      <c r="W414" t="s">
        <v>8158</v>
      </c>
      <c r="X414" t="s">
        <v>8159</v>
      </c>
      <c r="Y414" t="s">
        <v>8160</v>
      </c>
      <c r="Z414" t="s">
        <v>8161</v>
      </c>
      <c r="AA414" t="s">
        <v>8162</v>
      </c>
      <c r="AB414" t="s">
        <v>8163</v>
      </c>
      <c r="AC414" t="s">
        <v>8164</v>
      </c>
      <c r="AD414" t="s">
        <v>8165</v>
      </c>
      <c r="AE414" t="s">
        <v>8166</v>
      </c>
      <c r="AF414" t="s">
        <v>8167</v>
      </c>
      <c r="AG414" t="s">
        <v>8168</v>
      </c>
      <c r="AH414" t="s">
        <v>8169</v>
      </c>
      <c r="AI414" t="s">
        <v>8170</v>
      </c>
      <c r="AJ414" t="s">
        <v>8171</v>
      </c>
      <c r="BA414" t="str">
        <f>"1199"</f>
        <v>1199</v>
      </c>
      <c r="BB414" t="str">
        <f>"505"</f>
        <v>505</v>
      </c>
      <c r="BC414" t="s">
        <v>665</v>
      </c>
      <c r="BD414" t="str">
        <f t="shared" si="97"/>
        <v>1</v>
      </c>
      <c r="BE414" t="s">
        <v>389</v>
      </c>
      <c r="BF414" t="str">
        <f>"60.83"</f>
        <v>60.83</v>
      </c>
      <c r="BG414" t="str">
        <f>"20.87"</f>
        <v>20.87</v>
      </c>
      <c r="BH414" t="str">
        <f>"37.4"</f>
        <v>37.4</v>
      </c>
      <c r="BI414" t="str">
        <f>"160.94"</f>
        <v>160.94</v>
      </c>
      <c r="BY414" t="str">
        <f>"27.47"</f>
        <v>27.47</v>
      </c>
      <c r="BZ414" t="str">
        <f>"0.778"</f>
        <v>0.778</v>
      </c>
      <c r="CA414" t="s">
        <v>431</v>
      </c>
      <c r="CB414" t="s">
        <v>7224</v>
      </c>
      <c r="CC414" t="s">
        <v>956</v>
      </c>
      <c r="CD414" t="s">
        <v>2807</v>
      </c>
      <c r="CE414" t="s">
        <v>7224</v>
      </c>
      <c r="CF414" t="s">
        <v>8172</v>
      </c>
      <c r="CG414" t="s">
        <v>2807</v>
      </c>
      <c r="CR414" t="s">
        <v>1007</v>
      </c>
      <c r="CS414">
        <v>2</v>
      </c>
      <c r="CT414" t="s">
        <v>400</v>
      </c>
      <c r="CV414">
        <v>1</v>
      </c>
      <c r="CW414" t="s">
        <v>402</v>
      </c>
      <c r="CY414" t="s">
        <v>1009</v>
      </c>
      <c r="DC414">
        <v>0</v>
      </c>
      <c r="DJ414" t="s">
        <v>408</v>
      </c>
      <c r="DK414" t="s">
        <v>7795</v>
      </c>
      <c r="DM414" t="s">
        <v>473</v>
      </c>
      <c r="DX414" t="s">
        <v>3079</v>
      </c>
      <c r="DY414" t="s">
        <v>8173</v>
      </c>
      <c r="DZ414" t="s">
        <v>8174</v>
      </c>
      <c r="EI414" t="s">
        <v>6906</v>
      </c>
      <c r="EJ414" t="s">
        <v>1853</v>
      </c>
      <c r="EK414" t="s">
        <v>8175</v>
      </c>
      <c r="EL414" t="s">
        <v>956</v>
      </c>
      <c r="EM414" t="s">
        <v>402</v>
      </c>
      <c r="EN414">
        <v>1</v>
      </c>
      <c r="EO414">
        <v>0</v>
      </c>
      <c r="FI414">
        <v>0</v>
      </c>
      <c r="FJ414" t="s">
        <v>1012</v>
      </c>
      <c r="FR414" t="s">
        <v>8176</v>
      </c>
      <c r="FT414" t="s">
        <v>8177</v>
      </c>
      <c r="FV414" t="s">
        <v>534</v>
      </c>
      <c r="FX414" t="s">
        <v>1017</v>
      </c>
    </row>
    <row r="415" spans="1:294" x14ac:dyDescent="0.25">
      <c r="A415" t="s">
        <v>8178</v>
      </c>
      <c r="B415" t="str">
        <f>"801542735982"</f>
        <v>801542735982</v>
      </c>
      <c r="C415" t="s">
        <v>8179</v>
      </c>
      <c r="D415" t="s">
        <v>1276</v>
      </c>
      <c r="E415" t="s">
        <v>1021</v>
      </c>
      <c r="G415" t="str">
        <f>"70"</f>
        <v>70</v>
      </c>
      <c r="H415" t="str">
        <f>"18"</f>
        <v>18</v>
      </c>
      <c r="I415" t="str">
        <f>"28"</f>
        <v>28</v>
      </c>
      <c r="J415" t="str">
        <f>"195.55"</f>
        <v>195.55</v>
      </c>
      <c r="K415" t="s">
        <v>1017</v>
      </c>
      <c r="L415" t="s">
        <v>1277</v>
      </c>
      <c r="N415" t="s">
        <v>555</v>
      </c>
      <c r="T415" t="s">
        <v>373</v>
      </c>
      <c r="U415" t="s">
        <v>373</v>
      </c>
      <c r="V415" t="s">
        <v>8180</v>
      </c>
      <c r="W415" t="s">
        <v>8181</v>
      </c>
      <c r="X415" t="s">
        <v>8182</v>
      </c>
      <c r="Y415" t="s">
        <v>8183</v>
      </c>
      <c r="Z415" t="s">
        <v>8184</v>
      </c>
      <c r="AA415" t="s">
        <v>8185</v>
      </c>
      <c r="AB415" t="s">
        <v>8186</v>
      </c>
      <c r="AC415" t="s">
        <v>8187</v>
      </c>
      <c r="AD415" t="s">
        <v>8188</v>
      </c>
      <c r="AE415" t="s">
        <v>8189</v>
      </c>
      <c r="AF415" t="s">
        <v>8190</v>
      </c>
      <c r="AG415" t="s">
        <v>8191</v>
      </c>
      <c r="AH415" t="s">
        <v>8192</v>
      </c>
      <c r="AI415" t="s">
        <v>8193</v>
      </c>
      <c r="BA415" t="str">
        <f>"1899"</f>
        <v>1899</v>
      </c>
      <c r="BB415" t="str">
        <f>"800"</f>
        <v>800</v>
      </c>
      <c r="BC415" t="s">
        <v>665</v>
      </c>
      <c r="BD415" t="str">
        <f t="shared" si="97"/>
        <v>1</v>
      </c>
      <c r="BE415" t="s">
        <v>1266</v>
      </c>
      <c r="BF415" t="str">
        <f>"74"</f>
        <v>74</v>
      </c>
      <c r="BG415" t="str">
        <f>"22.25"</f>
        <v>22.25</v>
      </c>
      <c r="BH415" t="str">
        <f>"35.25"</f>
        <v>35.25</v>
      </c>
      <c r="BI415" t="str">
        <f>"261.69"</f>
        <v>261.69</v>
      </c>
      <c r="BY415" t="str">
        <f>"33.58"</f>
        <v>33.58</v>
      </c>
      <c r="BZ415" t="str">
        <f>"0.951"</f>
        <v>0.951</v>
      </c>
      <c r="CA415" t="s">
        <v>431</v>
      </c>
      <c r="CB415" t="s">
        <v>4019</v>
      </c>
      <c r="CC415" t="s">
        <v>1348</v>
      </c>
      <c r="CD415" t="s">
        <v>1732</v>
      </c>
      <c r="CE415" t="s">
        <v>6906</v>
      </c>
      <c r="CF415" t="s">
        <v>4019</v>
      </c>
      <c r="CG415" t="s">
        <v>1732</v>
      </c>
      <c r="CR415" t="s">
        <v>1007</v>
      </c>
      <c r="CS415">
        <v>4</v>
      </c>
      <c r="CT415" t="s">
        <v>400</v>
      </c>
      <c r="CV415">
        <v>1</v>
      </c>
      <c r="CW415" t="s">
        <v>402</v>
      </c>
      <c r="CY415" t="s">
        <v>954</v>
      </c>
      <c r="DA415">
        <v>15.2</v>
      </c>
      <c r="DB415">
        <v>33.5</v>
      </c>
      <c r="DC415">
        <v>0</v>
      </c>
      <c r="DK415" t="s">
        <v>7795</v>
      </c>
      <c r="DX415" t="s">
        <v>3079</v>
      </c>
      <c r="EM415" t="s">
        <v>402</v>
      </c>
      <c r="EN415">
        <v>2</v>
      </c>
      <c r="FI415">
        <v>0</v>
      </c>
      <c r="FJ415" t="s">
        <v>1012</v>
      </c>
      <c r="FR415" t="s">
        <v>1999</v>
      </c>
      <c r="FT415" t="s">
        <v>8194</v>
      </c>
      <c r="FV415" t="s">
        <v>8195</v>
      </c>
      <c r="FX415" t="s">
        <v>1017</v>
      </c>
      <c r="GE415">
        <v>0</v>
      </c>
    </row>
    <row r="416" spans="1:294" x14ac:dyDescent="0.25">
      <c r="A416" t="s">
        <v>8196</v>
      </c>
      <c r="B416" t="str">
        <f>"801542739799"</f>
        <v>801542739799</v>
      </c>
      <c r="C416" t="s">
        <v>8197</v>
      </c>
      <c r="D416" t="s">
        <v>5460</v>
      </c>
      <c r="E416" t="s">
        <v>4074</v>
      </c>
      <c r="G416" t="str">
        <f>"55"</f>
        <v>55</v>
      </c>
      <c r="H416" t="str">
        <f>"15.75"</f>
        <v>15.75</v>
      </c>
      <c r="I416" t="str">
        <f>"30"</f>
        <v>30</v>
      </c>
      <c r="J416" t="str">
        <f>"80.47"</f>
        <v>80.47</v>
      </c>
      <c r="K416" t="s">
        <v>7900</v>
      </c>
      <c r="L416" t="s">
        <v>7901</v>
      </c>
      <c r="N416" t="s">
        <v>6858</v>
      </c>
      <c r="O416" t="s">
        <v>7902</v>
      </c>
      <c r="P416" t="s">
        <v>519</v>
      </c>
      <c r="T416" t="s">
        <v>373</v>
      </c>
      <c r="U416" t="s">
        <v>373</v>
      </c>
      <c r="V416" t="s">
        <v>8135</v>
      </c>
      <c r="W416" t="s">
        <v>8198</v>
      </c>
      <c r="X416" t="s">
        <v>8199</v>
      </c>
      <c r="Y416" t="s">
        <v>8200</v>
      </c>
      <c r="Z416" t="s">
        <v>8201</v>
      </c>
      <c r="AA416" t="s">
        <v>8202</v>
      </c>
      <c r="AB416" t="s">
        <v>8203</v>
      </c>
      <c r="AC416" t="s">
        <v>8204</v>
      </c>
      <c r="AD416" t="s">
        <v>8205</v>
      </c>
      <c r="AE416" t="s">
        <v>8206</v>
      </c>
      <c r="AF416" t="s">
        <v>8207</v>
      </c>
      <c r="AG416" t="s">
        <v>8208</v>
      </c>
      <c r="AH416" t="s">
        <v>8209</v>
      </c>
      <c r="AI416" t="s">
        <v>8210</v>
      </c>
      <c r="AJ416" t="s">
        <v>8211</v>
      </c>
      <c r="BA416" t="str">
        <f>"1099"</f>
        <v>1099</v>
      </c>
      <c r="BB416" t="str">
        <f>"465"</f>
        <v>465</v>
      </c>
      <c r="BC416" t="s">
        <v>665</v>
      </c>
      <c r="BD416" t="str">
        <f t="shared" si="97"/>
        <v>1</v>
      </c>
      <c r="BE416" t="s">
        <v>389</v>
      </c>
      <c r="BF416" t="str">
        <f>"58.46"</f>
        <v>58.46</v>
      </c>
      <c r="BG416" t="str">
        <f>"19.49"</f>
        <v>19.49</v>
      </c>
      <c r="BH416" t="str">
        <f>"35.04"</f>
        <v>35.04</v>
      </c>
      <c r="BI416" t="str">
        <f>"109.13"</f>
        <v>109.13</v>
      </c>
      <c r="BY416" t="str">
        <f>"23.1"</f>
        <v>23.1</v>
      </c>
      <c r="BZ416" t="str">
        <f>"0.654"</f>
        <v>0.654</v>
      </c>
      <c r="CA416" t="s">
        <v>431</v>
      </c>
      <c r="CB416" t="s">
        <v>8212</v>
      </c>
      <c r="CC416" t="s">
        <v>7917</v>
      </c>
      <c r="CD416" t="s">
        <v>8213</v>
      </c>
      <c r="CE416" t="s">
        <v>8212</v>
      </c>
      <c r="CF416" t="s">
        <v>5526</v>
      </c>
      <c r="CG416" t="s">
        <v>8213</v>
      </c>
      <c r="CR416" t="s">
        <v>1007</v>
      </c>
      <c r="CS416">
        <v>2</v>
      </c>
      <c r="CT416" t="s">
        <v>400</v>
      </c>
      <c r="CV416">
        <v>1</v>
      </c>
      <c r="CW416" t="s">
        <v>402</v>
      </c>
      <c r="CX416" t="s">
        <v>953</v>
      </c>
      <c r="CY416" t="s">
        <v>1009</v>
      </c>
      <c r="DC416">
        <v>0</v>
      </c>
      <c r="DJ416" t="s">
        <v>408</v>
      </c>
      <c r="DK416" t="s">
        <v>7920</v>
      </c>
      <c r="DM416" t="s">
        <v>473</v>
      </c>
      <c r="DX416" t="s">
        <v>3521</v>
      </c>
      <c r="DY416" t="s">
        <v>7229</v>
      </c>
      <c r="DZ416" t="s">
        <v>8214</v>
      </c>
      <c r="EI416" t="s">
        <v>637</v>
      </c>
      <c r="EJ416" t="s">
        <v>1853</v>
      </c>
      <c r="EK416" t="s">
        <v>637</v>
      </c>
      <c r="EL416" t="s">
        <v>4614</v>
      </c>
      <c r="EM416" t="s">
        <v>402</v>
      </c>
      <c r="EN416">
        <v>1</v>
      </c>
      <c r="EO416">
        <v>0</v>
      </c>
      <c r="FI416">
        <v>0</v>
      </c>
      <c r="FJ416" t="s">
        <v>1012</v>
      </c>
      <c r="FP416" t="s">
        <v>402</v>
      </c>
      <c r="FR416" t="s">
        <v>8152</v>
      </c>
      <c r="FT416" t="s">
        <v>8153</v>
      </c>
      <c r="FV416" t="s">
        <v>8215</v>
      </c>
      <c r="FX416" t="s">
        <v>4210</v>
      </c>
      <c r="FZ416" t="s">
        <v>1018</v>
      </c>
    </row>
    <row r="417" spans="1:182" x14ac:dyDescent="0.25">
      <c r="A417" t="s">
        <v>8216</v>
      </c>
      <c r="B417" t="str">
        <f>"801542761370"</f>
        <v>801542761370</v>
      </c>
      <c r="C417" t="s">
        <v>8217</v>
      </c>
      <c r="D417" t="s">
        <v>5460</v>
      </c>
      <c r="E417" t="s">
        <v>988</v>
      </c>
      <c r="G417" t="str">
        <f>"69"</f>
        <v>69</v>
      </c>
      <c r="H417" t="str">
        <f>"18"</f>
        <v>18</v>
      </c>
      <c r="I417" t="str">
        <f>"34.25"</f>
        <v>34.25</v>
      </c>
      <c r="J417" t="str">
        <f>"219.36"</f>
        <v>219.36</v>
      </c>
      <c r="K417" t="s">
        <v>7900</v>
      </c>
      <c r="L417" t="s">
        <v>7901</v>
      </c>
      <c r="N417" t="s">
        <v>6858</v>
      </c>
      <c r="O417" t="s">
        <v>7902</v>
      </c>
      <c r="T417" t="s">
        <v>373</v>
      </c>
      <c r="U417" t="s">
        <v>373</v>
      </c>
      <c r="V417" t="s">
        <v>8218</v>
      </c>
      <c r="W417" t="s">
        <v>8219</v>
      </c>
      <c r="X417" t="s">
        <v>8220</v>
      </c>
      <c r="Y417" t="s">
        <v>8221</v>
      </c>
      <c r="Z417" t="s">
        <v>8222</v>
      </c>
      <c r="AA417" t="s">
        <v>8223</v>
      </c>
      <c r="AB417" t="s">
        <v>8224</v>
      </c>
      <c r="AC417" t="s">
        <v>8225</v>
      </c>
      <c r="AD417" t="s">
        <v>8226</v>
      </c>
      <c r="AE417" t="s">
        <v>8227</v>
      </c>
      <c r="AF417" t="s">
        <v>8228</v>
      </c>
      <c r="AG417" t="s">
        <v>8229</v>
      </c>
      <c r="AH417" t="s">
        <v>8230</v>
      </c>
      <c r="BA417" t="str">
        <f>"2499"</f>
        <v>2499</v>
      </c>
      <c r="BB417" t="str">
        <f>"1050"</f>
        <v>1050</v>
      </c>
      <c r="BC417" t="s">
        <v>665</v>
      </c>
      <c r="BD417" t="str">
        <f t="shared" si="97"/>
        <v>1</v>
      </c>
      <c r="BE417" t="s">
        <v>389</v>
      </c>
      <c r="BF417" t="str">
        <f>"72.44"</f>
        <v>72.44</v>
      </c>
      <c r="BG417" t="str">
        <f>"21.26"</f>
        <v>21.26</v>
      </c>
      <c r="BH417" t="str">
        <f>"38.39"</f>
        <v>38.39</v>
      </c>
      <c r="BI417" t="str">
        <f>"259.04"</f>
        <v>259.04</v>
      </c>
      <c r="BY417" t="str">
        <f>"34.22"</f>
        <v>34.22</v>
      </c>
      <c r="BZ417" t="str">
        <f>"0.969"</f>
        <v>0.969</v>
      </c>
      <c r="CA417" t="s">
        <v>431</v>
      </c>
      <c r="CB417" t="s">
        <v>2595</v>
      </c>
      <c r="CC417" t="s">
        <v>7917</v>
      </c>
      <c r="CD417" t="s">
        <v>8231</v>
      </c>
      <c r="CE417" t="s">
        <v>2595</v>
      </c>
      <c r="CF417" t="s">
        <v>8232</v>
      </c>
      <c r="CG417" t="s">
        <v>8231</v>
      </c>
      <c r="CR417" t="s">
        <v>1007</v>
      </c>
      <c r="CS417">
        <v>6</v>
      </c>
      <c r="CT417" t="s">
        <v>400</v>
      </c>
      <c r="CV417">
        <v>1</v>
      </c>
      <c r="CW417" t="s">
        <v>402</v>
      </c>
      <c r="CX417" t="s">
        <v>953</v>
      </c>
      <c r="CY417" t="s">
        <v>1009</v>
      </c>
      <c r="DC417">
        <v>0</v>
      </c>
      <c r="DJ417" t="s">
        <v>1010</v>
      </c>
      <c r="DK417" t="s">
        <v>7920</v>
      </c>
      <c r="DM417" t="s">
        <v>473</v>
      </c>
      <c r="DX417" t="s">
        <v>1270</v>
      </c>
      <c r="EM417" t="s">
        <v>402</v>
      </c>
      <c r="EN417">
        <v>1</v>
      </c>
      <c r="FI417">
        <v>0</v>
      </c>
      <c r="FJ417" t="s">
        <v>1012</v>
      </c>
      <c r="FP417" t="s">
        <v>402</v>
      </c>
      <c r="FR417" t="s">
        <v>4069</v>
      </c>
      <c r="FS417" t="s">
        <v>4069</v>
      </c>
      <c r="FT417" t="s">
        <v>4147</v>
      </c>
      <c r="FU417" t="s">
        <v>8233</v>
      </c>
      <c r="FV417" t="s">
        <v>8234</v>
      </c>
      <c r="FW417" t="s">
        <v>8234</v>
      </c>
      <c r="FX417" t="s">
        <v>4210</v>
      </c>
      <c r="FZ417" t="s">
        <v>1018</v>
      </c>
    </row>
    <row r="418" spans="1:182" x14ac:dyDescent="0.25">
      <c r="A418" t="s">
        <v>8235</v>
      </c>
      <c r="B418" t="str">
        <f>"801542769772"</f>
        <v>801542769772</v>
      </c>
      <c r="C418" t="s">
        <v>8236</v>
      </c>
      <c r="D418" t="s">
        <v>5460</v>
      </c>
      <c r="E418" t="s">
        <v>459</v>
      </c>
      <c r="G418" t="str">
        <f>"21"</f>
        <v>21</v>
      </c>
      <c r="H418" t="str">
        <f>"21"</f>
        <v>21</v>
      </c>
      <c r="I418" t="str">
        <f>"19"</f>
        <v>19</v>
      </c>
      <c r="J418" t="str">
        <f>"26.46"</f>
        <v>26.46</v>
      </c>
      <c r="K418" t="s">
        <v>6888</v>
      </c>
      <c r="N418" t="s">
        <v>6889</v>
      </c>
      <c r="T418" t="s">
        <v>373</v>
      </c>
      <c r="U418" t="s">
        <v>373</v>
      </c>
      <c r="V418" t="s">
        <v>8237</v>
      </c>
      <c r="W418" t="s">
        <v>8238</v>
      </c>
      <c r="X418" t="s">
        <v>8239</v>
      </c>
      <c r="Y418" t="s">
        <v>8240</v>
      </c>
      <c r="Z418" t="s">
        <v>8241</v>
      </c>
      <c r="AA418" t="s">
        <v>8242</v>
      </c>
      <c r="AB418" t="s">
        <v>8243</v>
      </c>
      <c r="AC418" t="s">
        <v>8244</v>
      </c>
      <c r="AD418" t="s">
        <v>8245</v>
      </c>
      <c r="AE418" t="s">
        <v>8246</v>
      </c>
      <c r="AF418" t="s">
        <v>8247</v>
      </c>
      <c r="BA418" t="str">
        <f>"349"</f>
        <v>349</v>
      </c>
      <c r="BB418" t="str">
        <f>"150"</f>
        <v>150</v>
      </c>
      <c r="BC418" t="s">
        <v>665</v>
      </c>
      <c r="BD418" t="str">
        <f t="shared" si="97"/>
        <v>1</v>
      </c>
      <c r="BE418" t="s">
        <v>389</v>
      </c>
      <c r="BF418" t="str">
        <f>"25.2"</f>
        <v>25.2</v>
      </c>
      <c r="BG418" t="str">
        <f>"25.2"</f>
        <v>25.2</v>
      </c>
      <c r="BH418" t="str">
        <f>"12.01"</f>
        <v>12.01</v>
      </c>
      <c r="BI418" t="str">
        <f>"35.27"</f>
        <v>35.27</v>
      </c>
      <c r="BY418" t="str">
        <f>"4.41"</f>
        <v>4.41</v>
      </c>
      <c r="BZ418" t="str">
        <f>"0.125"</f>
        <v>0.125</v>
      </c>
      <c r="CA418" t="s">
        <v>390</v>
      </c>
      <c r="CR418" t="s">
        <v>400</v>
      </c>
      <c r="CS418">
        <v>0</v>
      </c>
      <c r="CT418" t="s">
        <v>400</v>
      </c>
      <c r="CV418">
        <v>0</v>
      </c>
      <c r="CX418" t="s">
        <v>953</v>
      </c>
      <c r="CY418" t="s">
        <v>400</v>
      </c>
      <c r="DC418">
        <v>0</v>
      </c>
      <c r="DJ418" t="s">
        <v>1132</v>
      </c>
      <c r="DK418" t="s">
        <v>6909</v>
      </c>
      <c r="DM418" t="s">
        <v>473</v>
      </c>
      <c r="DX418" t="s">
        <v>8248</v>
      </c>
      <c r="DZ418" t="s">
        <v>5936</v>
      </c>
      <c r="EI418" t="s">
        <v>2696</v>
      </c>
      <c r="EJ418" t="s">
        <v>3313</v>
      </c>
      <c r="EK418" t="s">
        <v>674</v>
      </c>
      <c r="EL418" t="s">
        <v>392</v>
      </c>
      <c r="EM418" t="s">
        <v>402</v>
      </c>
      <c r="EN418">
        <v>0</v>
      </c>
      <c r="EO418">
        <v>0</v>
      </c>
      <c r="EX418" t="s">
        <v>675</v>
      </c>
    </row>
    <row r="419" spans="1:182" x14ac:dyDescent="0.25">
      <c r="A419" t="s">
        <v>8249</v>
      </c>
      <c r="B419" t="str">
        <f>"801542748852"</f>
        <v>801542748852</v>
      </c>
      <c r="C419" t="s">
        <v>8250</v>
      </c>
      <c r="D419" t="s">
        <v>5460</v>
      </c>
      <c r="E419" t="s">
        <v>1043</v>
      </c>
      <c r="G419" t="str">
        <f>"24"</f>
        <v>24</v>
      </c>
      <c r="H419" t="str">
        <f>"15.75"</f>
        <v>15.75</v>
      </c>
      <c r="I419" t="str">
        <f>"26"</f>
        <v>26</v>
      </c>
      <c r="J419" t="str">
        <f>"51.81"</f>
        <v>51.81</v>
      </c>
      <c r="K419" t="s">
        <v>7900</v>
      </c>
      <c r="L419" t="s">
        <v>7901</v>
      </c>
      <c r="N419" t="s">
        <v>6858</v>
      </c>
      <c r="O419" t="s">
        <v>7902</v>
      </c>
      <c r="T419" t="s">
        <v>373</v>
      </c>
      <c r="U419" t="s">
        <v>373</v>
      </c>
      <c r="V419" t="s">
        <v>8251</v>
      </c>
      <c r="W419" t="s">
        <v>8252</v>
      </c>
      <c r="X419" t="s">
        <v>8253</v>
      </c>
      <c r="Y419" t="s">
        <v>8254</v>
      </c>
      <c r="Z419" t="s">
        <v>8255</v>
      </c>
      <c r="AA419" t="s">
        <v>8256</v>
      </c>
      <c r="AB419" t="s">
        <v>8257</v>
      </c>
      <c r="AC419" t="s">
        <v>8258</v>
      </c>
      <c r="AD419" t="s">
        <v>8259</v>
      </c>
      <c r="AE419" t="s">
        <v>8260</v>
      </c>
      <c r="AF419" t="s">
        <v>8261</v>
      </c>
      <c r="AG419" t="s">
        <v>8262</v>
      </c>
      <c r="AH419" t="s">
        <v>8263</v>
      </c>
      <c r="AI419" t="s">
        <v>8264</v>
      </c>
      <c r="AJ419" t="s">
        <v>8265</v>
      </c>
      <c r="AK419" t="s">
        <v>8266</v>
      </c>
      <c r="BA419" t="str">
        <f>"749"</f>
        <v>749</v>
      </c>
      <c r="BB419" t="str">
        <f>"315"</f>
        <v>315</v>
      </c>
      <c r="BC419" t="s">
        <v>665</v>
      </c>
      <c r="BD419" t="str">
        <f t="shared" si="97"/>
        <v>1</v>
      </c>
      <c r="BE419" t="s">
        <v>389</v>
      </c>
      <c r="BF419" t="str">
        <f>"27.56"</f>
        <v>27.56</v>
      </c>
      <c r="BG419" t="str">
        <f>"20.08"</f>
        <v>20.08</v>
      </c>
      <c r="BH419" t="str">
        <f>"30.12"</f>
        <v>30.12</v>
      </c>
      <c r="BI419" t="str">
        <f>"67.24"</f>
        <v>67.24</v>
      </c>
      <c r="BY419" t="str">
        <f>"9.64"</f>
        <v>9.64</v>
      </c>
      <c r="BZ419" t="str">
        <f>"0.273"</f>
        <v>0.273</v>
      </c>
      <c r="CA419" t="s">
        <v>431</v>
      </c>
      <c r="CB419" t="s">
        <v>8212</v>
      </c>
      <c r="CC419" t="s">
        <v>7917</v>
      </c>
      <c r="CD419" t="s">
        <v>536</v>
      </c>
      <c r="CE419" t="s">
        <v>8212</v>
      </c>
      <c r="CF419" t="s">
        <v>8267</v>
      </c>
      <c r="CG419" t="s">
        <v>536</v>
      </c>
      <c r="CR419" t="s">
        <v>1007</v>
      </c>
      <c r="CS419">
        <v>2</v>
      </c>
      <c r="CT419" t="s">
        <v>400</v>
      </c>
      <c r="CV419">
        <v>1</v>
      </c>
      <c r="CW419" t="s">
        <v>402</v>
      </c>
      <c r="CX419" t="s">
        <v>953</v>
      </c>
      <c r="CY419" t="s">
        <v>1009</v>
      </c>
      <c r="DC419">
        <v>0</v>
      </c>
      <c r="DJ419" t="s">
        <v>408</v>
      </c>
      <c r="DK419" t="s">
        <v>7920</v>
      </c>
      <c r="DM419" t="s">
        <v>473</v>
      </c>
      <c r="DX419" t="s">
        <v>8151</v>
      </c>
      <c r="EM419" t="s">
        <v>402</v>
      </c>
      <c r="EN419">
        <v>1</v>
      </c>
      <c r="FI419">
        <v>0</v>
      </c>
      <c r="FJ419" t="s">
        <v>1012</v>
      </c>
      <c r="FP419" t="s">
        <v>402</v>
      </c>
      <c r="FR419" t="s">
        <v>8152</v>
      </c>
      <c r="FT419" t="s">
        <v>1290</v>
      </c>
      <c r="FV419" t="s">
        <v>8268</v>
      </c>
      <c r="FX419" t="s">
        <v>4210</v>
      </c>
      <c r="FZ419" t="s">
        <v>1018</v>
      </c>
    </row>
    <row r="420" spans="1:182" x14ac:dyDescent="0.25">
      <c r="A420" t="s">
        <v>8269</v>
      </c>
      <c r="B420" t="str">
        <f>"801542880811"</f>
        <v>801542880811</v>
      </c>
      <c r="C420" t="s">
        <v>8270</v>
      </c>
      <c r="D420" t="s">
        <v>1118</v>
      </c>
      <c r="E420" t="s">
        <v>459</v>
      </c>
      <c r="G420" t="str">
        <f>"18"</f>
        <v>18</v>
      </c>
      <c r="H420" t="str">
        <f>"18"</f>
        <v>18</v>
      </c>
      <c r="I420" t="str">
        <f>"18.5"</f>
        <v>18.5</v>
      </c>
      <c r="J420" t="str">
        <f>"100.53"</f>
        <v>100.53</v>
      </c>
      <c r="K420" t="s">
        <v>6041</v>
      </c>
      <c r="L420" t="s">
        <v>8271</v>
      </c>
      <c r="N420" t="s">
        <v>6002</v>
      </c>
      <c r="T420" t="s">
        <v>373</v>
      </c>
      <c r="U420" t="s">
        <v>373</v>
      </c>
      <c r="V420" t="s">
        <v>8272</v>
      </c>
      <c r="W420" t="s">
        <v>8273</v>
      </c>
      <c r="X420" t="s">
        <v>8274</v>
      </c>
      <c r="Y420" t="s">
        <v>8275</v>
      </c>
      <c r="Z420" t="s">
        <v>8276</v>
      </c>
      <c r="AA420" t="s">
        <v>8277</v>
      </c>
      <c r="AB420" t="s">
        <v>8278</v>
      </c>
      <c r="AC420" t="s">
        <v>8279</v>
      </c>
      <c r="AD420" t="s">
        <v>8280</v>
      </c>
      <c r="AE420" t="s">
        <v>8281</v>
      </c>
      <c r="AF420" t="s">
        <v>8282</v>
      </c>
      <c r="AG420" t="s">
        <v>8283</v>
      </c>
      <c r="BA420" t="str">
        <f>"649"</f>
        <v>649</v>
      </c>
      <c r="BB420" t="str">
        <f>"275"</f>
        <v>275</v>
      </c>
      <c r="BC420" t="s">
        <v>949</v>
      </c>
      <c r="BD420" t="str">
        <f t="shared" si="97"/>
        <v>1</v>
      </c>
      <c r="BE420" t="s">
        <v>389</v>
      </c>
      <c r="BF420" t="str">
        <f>"26"</f>
        <v>26</v>
      </c>
      <c r="BG420" t="str">
        <f>"26"</f>
        <v>26</v>
      </c>
      <c r="BH420" t="str">
        <f>"20.5"</f>
        <v>20.5</v>
      </c>
      <c r="BI420" t="str">
        <f>"155.03"</f>
        <v>155.03</v>
      </c>
      <c r="BY420" t="str">
        <f>"8.02"</f>
        <v>8.02</v>
      </c>
      <c r="BZ420" t="str">
        <f>"0.227"</f>
        <v>0.227</v>
      </c>
      <c r="CA420" t="s">
        <v>431</v>
      </c>
      <c r="CR420" t="s">
        <v>400</v>
      </c>
      <c r="CS420">
        <v>0</v>
      </c>
      <c r="CT420" t="s">
        <v>400</v>
      </c>
      <c r="CV420">
        <v>0</v>
      </c>
      <c r="CY420" t="s">
        <v>400</v>
      </c>
      <c r="DC420">
        <v>0</v>
      </c>
      <c r="DJ420" t="s">
        <v>471</v>
      </c>
      <c r="DK420" t="s">
        <v>8284</v>
      </c>
      <c r="DM420" t="s">
        <v>473</v>
      </c>
      <c r="DX420" t="s">
        <v>3020</v>
      </c>
      <c r="EI420" t="s">
        <v>635</v>
      </c>
      <c r="EJ420" t="s">
        <v>3020</v>
      </c>
      <c r="EK420" t="s">
        <v>635</v>
      </c>
      <c r="EL420" t="s">
        <v>956</v>
      </c>
      <c r="EN420">
        <v>0</v>
      </c>
      <c r="EO420">
        <v>0</v>
      </c>
      <c r="EX420" t="s">
        <v>2510</v>
      </c>
    </row>
    <row r="421" spans="1:182" x14ac:dyDescent="0.25">
      <c r="A421" t="s">
        <v>8285</v>
      </c>
      <c r="B421" t="str">
        <f>"801542880804"</f>
        <v>801542880804</v>
      </c>
      <c r="C421" t="s">
        <v>8286</v>
      </c>
      <c r="D421" t="s">
        <v>1118</v>
      </c>
      <c r="E421" t="s">
        <v>459</v>
      </c>
      <c r="G421" t="str">
        <f>"18"</f>
        <v>18</v>
      </c>
      <c r="H421" t="str">
        <f>"18"</f>
        <v>18</v>
      </c>
      <c r="I421" t="str">
        <f>"18.5"</f>
        <v>18.5</v>
      </c>
      <c r="J421" t="str">
        <f>"100.53"</f>
        <v>100.53</v>
      </c>
      <c r="K421" t="s">
        <v>8287</v>
      </c>
      <c r="L421" t="s">
        <v>8288</v>
      </c>
      <c r="N421" t="s">
        <v>6002</v>
      </c>
      <c r="T421" t="s">
        <v>373</v>
      </c>
      <c r="U421" t="s">
        <v>373</v>
      </c>
      <c r="W421" t="s">
        <v>8289</v>
      </c>
      <c r="X421" t="s">
        <v>8290</v>
      </c>
      <c r="Y421" t="s">
        <v>8291</v>
      </c>
      <c r="Z421" t="s">
        <v>8292</v>
      </c>
      <c r="AA421" t="s">
        <v>8293</v>
      </c>
      <c r="AB421" t="s">
        <v>8294</v>
      </c>
      <c r="AC421" t="s">
        <v>8295</v>
      </c>
      <c r="AD421" t="s">
        <v>8296</v>
      </c>
      <c r="AE421" t="s">
        <v>8297</v>
      </c>
      <c r="AF421" t="s">
        <v>8298</v>
      </c>
      <c r="AG421" t="s">
        <v>8299</v>
      </c>
      <c r="BA421" t="str">
        <f>"649"</f>
        <v>649</v>
      </c>
      <c r="BB421" t="str">
        <f>"275"</f>
        <v>275</v>
      </c>
      <c r="BC421" t="s">
        <v>949</v>
      </c>
      <c r="BD421" t="str">
        <f t="shared" si="97"/>
        <v>1</v>
      </c>
      <c r="BE421" t="s">
        <v>389</v>
      </c>
      <c r="BF421" t="str">
        <f>"26"</f>
        <v>26</v>
      </c>
      <c r="BG421" t="str">
        <f>"26"</f>
        <v>26</v>
      </c>
      <c r="BH421" t="str">
        <f>"20.5"</f>
        <v>20.5</v>
      </c>
      <c r="BI421" t="str">
        <f>"155.03"</f>
        <v>155.03</v>
      </c>
      <c r="BY421" t="str">
        <f>"8.02"</f>
        <v>8.02</v>
      </c>
      <c r="BZ421" t="str">
        <f>"0.227"</f>
        <v>0.227</v>
      </c>
      <c r="CA421" t="s">
        <v>390</v>
      </c>
      <c r="CR421" t="s">
        <v>400</v>
      </c>
      <c r="CS421">
        <v>0</v>
      </c>
      <c r="CT421" t="s">
        <v>400</v>
      </c>
      <c r="CV421">
        <v>0</v>
      </c>
      <c r="CY421" t="s">
        <v>400</v>
      </c>
      <c r="DC421">
        <v>0</v>
      </c>
      <c r="DJ421" t="s">
        <v>471</v>
      </c>
      <c r="DK421" t="s">
        <v>8284</v>
      </c>
      <c r="DM421" t="s">
        <v>473</v>
      </c>
      <c r="DX421" t="s">
        <v>3020</v>
      </c>
      <c r="EI421" t="s">
        <v>635</v>
      </c>
      <c r="EJ421" t="s">
        <v>3020</v>
      </c>
      <c r="EK421" t="s">
        <v>635</v>
      </c>
      <c r="EL421" t="s">
        <v>956</v>
      </c>
      <c r="EN421">
        <v>0</v>
      </c>
      <c r="EO421">
        <v>0</v>
      </c>
      <c r="EX421" t="s">
        <v>2510</v>
      </c>
    </row>
    <row r="422" spans="1:182" x14ac:dyDescent="0.25">
      <c r="A422" t="s">
        <v>8300</v>
      </c>
      <c r="B422" t="str">
        <f>"801542715434"</f>
        <v>801542715434</v>
      </c>
      <c r="C422" t="s">
        <v>8301</v>
      </c>
      <c r="D422" t="s">
        <v>1224</v>
      </c>
      <c r="E422" t="s">
        <v>4074</v>
      </c>
      <c r="G422" t="str">
        <f>"65"</f>
        <v>65</v>
      </c>
      <c r="H422" t="str">
        <f>"18"</f>
        <v>18</v>
      </c>
      <c r="I422" t="str">
        <f>"31.5"</f>
        <v>31.5</v>
      </c>
      <c r="J422" t="str">
        <f>"89.29"</f>
        <v>89.29</v>
      </c>
      <c r="K422" t="s">
        <v>6183</v>
      </c>
      <c r="L422" t="s">
        <v>6184</v>
      </c>
      <c r="N422" t="s">
        <v>6185</v>
      </c>
      <c r="O422" t="s">
        <v>6186</v>
      </c>
      <c r="T422" t="s">
        <v>373</v>
      </c>
      <c r="U422" t="s">
        <v>373</v>
      </c>
      <c r="V422" t="s">
        <v>8302</v>
      </c>
      <c r="W422" t="s">
        <v>8303</v>
      </c>
      <c r="X422" t="s">
        <v>8304</v>
      </c>
      <c r="Y422" t="s">
        <v>8305</v>
      </c>
      <c r="Z422" t="s">
        <v>8306</v>
      </c>
      <c r="AA422" t="s">
        <v>8307</v>
      </c>
      <c r="AB422" t="s">
        <v>8308</v>
      </c>
      <c r="AC422" t="s">
        <v>8309</v>
      </c>
      <c r="AD422" t="s">
        <v>8310</v>
      </c>
      <c r="AE422" t="s">
        <v>8311</v>
      </c>
      <c r="AF422" t="s">
        <v>8312</v>
      </c>
      <c r="AG422" t="s">
        <v>8313</v>
      </c>
      <c r="AH422" t="s">
        <v>8314</v>
      </c>
      <c r="AI422" t="s">
        <v>8315</v>
      </c>
      <c r="AJ422" t="s">
        <v>8316</v>
      </c>
      <c r="BA422" t="str">
        <f>"2499"</f>
        <v>2499</v>
      </c>
      <c r="BB422" t="str">
        <f>"1050"</f>
        <v>1050</v>
      </c>
      <c r="BC422" t="s">
        <v>1149</v>
      </c>
      <c r="BD422" t="str">
        <f t="shared" si="97"/>
        <v>1</v>
      </c>
      <c r="BE422" t="s">
        <v>389</v>
      </c>
      <c r="BF422" t="str">
        <f>"73.23"</f>
        <v>73.23</v>
      </c>
      <c r="BG422" t="str">
        <f>"23.62"</f>
        <v>23.62</v>
      </c>
      <c r="BH422" t="str">
        <f>"38.19"</f>
        <v>38.19</v>
      </c>
      <c r="BI422" t="str">
        <f>"159.61"</f>
        <v>159.61</v>
      </c>
      <c r="BY422" t="str">
        <f>"38.25"</f>
        <v>38.25</v>
      </c>
      <c r="BZ422" t="str">
        <f>"1.083"</f>
        <v>1.083</v>
      </c>
      <c r="CA422" t="s">
        <v>390</v>
      </c>
      <c r="CE422" t="s">
        <v>449</v>
      </c>
      <c r="CF422" t="s">
        <v>634</v>
      </c>
      <c r="CG422" t="s">
        <v>1162</v>
      </c>
      <c r="CR422" t="s">
        <v>400</v>
      </c>
      <c r="CS422">
        <v>0</v>
      </c>
      <c r="CT422" t="s">
        <v>400</v>
      </c>
      <c r="CV422">
        <v>0</v>
      </c>
      <c r="CX422" t="s">
        <v>1241</v>
      </c>
      <c r="CY422" t="s">
        <v>400</v>
      </c>
      <c r="DC422">
        <v>0</v>
      </c>
      <c r="DJ422" t="s">
        <v>408</v>
      </c>
      <c r="DK422" t="s">
        <v>8317</v>
      </c>
      <c r="DM422" t="s">
        <v>473</v>
      </c>
      <c r="DX422" t="s">
        <v>8318</v>
      </c>
      <c r="DY422" t="s">
        <v>449</v>
      </c>
      <c r="DZ422" t="s">
        <v>8319</v>
      </c>
      <c r="EI422" t="s">
        <v>449</v>
      </c>
      <c r="EJ422" t="s">
        <v>956</v>
      </c>
      <c r="EK422" t="s">
        <v>8319</v>
      </c>
      <c r="EL422" t="s">
        <v>827</v>
      </c>
      <c r="EM422" t="s">
        <v>402</v>
      </c>
      <c r="EN422">
        <v>1</v>
      </c>
      <c r="EO422">
        <v>0</v>
      </c>
      <c r="FI422">
        <v>0</v>
      </c>
      <c r="FJ422" t="s">
        <v>1012</v>
      </c>
    </row>
    <row r="423" spans="1:182" x14ac:dyDescent="0.25">
      <c r="A423" t="s">
        <v>8320</v>
      </c>
      <c r="B423" t="str">
        <f>"801542203139"</f>
        <v>801542203139</v>
      </c>
      <c r="C423" t="s">
        <v>8321</v>
      </c>
      <c r="D423" t="s">
        <v>1224</v>
      </c>
      <c r="E423" t="s">
        <v>930</v>
      </c>
      <c r="G423" t="str">
        <f>"94.5"</f>
        <v>94.5</v>
      </c>
      <c r="H423" t="str">
        <f>"19.75"</f>
        <v>19.75</v>
      </c>
      <c r="I423" t="str">
        <f>"33.25"</f>
        <v>33.25</v>
      </c>
      <c r="J423" t="str">
        <f>"285.5"</f>
        <v>285.5</v>
      </c>
      <c r="K423" t="s">
        <v>8322</v>
      </c>
      <c r="N423" t="s">
        <v>1463</v>
      </c>
      <c r="T423" t="s">
        <v>373</v>
      </c>
      <c r="U423" t="s">
        <v>373</v>
      </c>
      <c r="V423" t="s">
        <v>8323</v>
      </c>
      <c r="W423" t="s">
        <v>8324</v>
      </c>
      <c r="X423" t="s">
        <v>8325</v>
      </c>
      <c r="Y423" t="s">
        <v>8326</v>
      </c>
      <c r="Z423" t="s">
        <v>8327</v>
      </c>
      <c r="AA423" t="s">
        <v>8328</v>
      </c>
      <c r="AB423" t="s">
        <v>8329</v>
      </c>
      <c r="AC423" t="s">
        <v>8330</v>
      </c>
      <c r="AD423" t="s">
        <v>8331</v>
      </c>
      <c r="AE423" t="s">
        <v>8332</v>
      </c>
      <c r="AF423" t="s">
        <v>8333</v>
      </c>
      <c r="AG423" t="s">
        <v>8334</v>
      </c>
      <c r="AH423" t="s">
        <v>8335</v>
      </c>
      <c r="AI423" t="s">
        <v>8336</v>
      </c>
      <c r="BA423" t="str">
        <f>"4199"</f>
        <v>4199</v>
      </c>
      <c r="BB423" t="str">
        <f>"1765"</f>
        <v>1765</v>
      </c>
      <c r="BC423" t="s">
        <v>1149</v>
      </c>
      <c r="BD423" t="str">
        <f t="shared" si="97"/>
        <v>1</v>
      </c>
      <c r="BE423" t="s">
        <v>389</v>
      </c>
      <c r="BF423" t="str">
        <f>"100.79"</f>
        <v>100.79</v>
      </c>
      <c r="BG423" t="str">
        <f>"25.98"</f>
        <v>25.98</v>
      </c>
      <c r="BH423" t="str">
        <f>"40.16"</f>
        <v>40.16</v>
      </c>
      <c r="BI423" t="str">
        <f>"334.44"</f>
        <v>334.44</v>
      </c>
      <c r="BY423" t="str">
        <f>"60.85"</f>
        <v>60.85</v>
      </c>
      <c r="BZ423" t="str">
        <f>"1.723"</f>
        <v>1.723</v>
      </c>
      <c r="CA423" t="s">
        <v>390</v>
      </c>
      <c r="CE423" t="s">
        <v>3600</v>
      </c>
      <c r="CF423" t="s">
        <v>745</v>
      </c>
      <c r="CG423" t="s">
        <v>2996</v>
      </c>
      <c r="CR423" t="s">
        <v>400</v>
      </c>
      <c r="CS423">
        <v>0</v>
      </c>
      <c r="CT423" t="s">
        <v>400</v>
      </c>
      <c r="CV423">
        <v>0</v>
      </c>
      <c r="CX423" t="s">
        <v>953</v>
      </c>
      <c r="CY423" t="s">
        <v>954</v>
      </c>
      <c r="DA423">
        <v>18.14</v>
      </c>
      <c r="DB423">
        <v>40</v>
      </c>
      <c r="DC423">
        <v>2</v>
      </c>
      <c r="DK423" t="s">
        <v>8337</v>
      </c>
      <c r="DM423" t="s">
        <v>669</v>
      </c>
      <c r="DX423" t="s">
        <v>827</v>
      </c>
      <c r="EM423" t="s">
        <v>402</v>
      </c>
      <c r="EN423">
        <v>2</v>
      </c>
      <c r="EZ423" t="s">
        <v>5547</v>
      </c>
      <c r="FA423" t="s">
        <v>956</v>
      </c>
      <c r="FB423" t="s">
        <v>3385</v>
      </c>
      <c r="FC423" t="s">
        <v>3600</v>
      </c>
      <c r="FD423" t="s">
        <v>956</v>
      </c>
      <c r="FE423" t="s">
        <v>2996</v>
      </c>
      <c r="FF423">
        <v>0</v>
      </c>
      <c r="FG423" t="s">
        <v>402</v>
      </c>
      <c r="FI423">
        <v>4</v>
      </c>
      <c r="FJ423" t="s">
        <v>960</v>
      </c>
      <c r="FK423" t="s">
        <v>1246</v>
      </c>
      <c r="FL423">
        <v>0</v>
      </c>
      <c r="FM423" t="s">
        <v>402</v>
      </c>
      <c r="FO423" t="s">
        <v>984</v>
      </c>
    </row>
    <row r="424" spans="1:182" x14ac:dyDescent="0.25">
      <c r="A424" t="s">
        <v>8338</v>
      </c>
      <c r="B424" t="str">
        <f>"801542054892"</f>
        <v>801542054892</v>
      </c>
      <c r="C424" t="s">
        <v>8339</v>
      </c>
      <c r="D424" t="s">
        <v>4843</v>
      </c>
      <c r="E424" t="s">
        <v>1077</v>
      </c>
      <c r="G424" t="str">
        <f>"49.25"</f>
        <v>49.25</v>
      </c>
      <c r="H424" t="str">
        <f>"23.5"</f>
        <v>23.5</v>
      </c>
      <c r="I424" t="str">
        <f>"18.25"</f>
        <v>18.25</v>
      </c>
      <c r="J424" t="str">
        <f>"79.79"</f>
        <v>79.79</v>
      </c>
      <c r="K424" t="s">
        <v>8340</v>
      </c>
      <c r="N424" t="s">
        <v>933</v>
      </c>
      <c r="T424" t="s">
        <v>373</v>
      </c>
      <c r="U424" t="s">
        <v>373</v>
      </c>
      <c r="V424" t="s">
        <v>8341</v>
      </c>
      <c r="W424" t="s">
        <v>8342</v>
      </c>
      <c r="X424" t="s">
        <v>8343</v>
      </c>
      <c r="Y424" t="s">
        <v>8344</v>
      </c>
      <c r="Z424" t="s">
        <v>8345</v>
      </c>
      <c r="AA424" t="s">
        <v>8346</v>
      </c>
      <c r="AB424" t="s">
        <v>8347</v>
      </c>
      <c r="AC424" t="s">
        <v>8348</v>
      </c>
      <c r="AD424" t="s">
        <v>8349</v>
      </c>
      <c r="AE424" t="s">
        <v>8350</v>
      </c>
      <c r="BA424" t="str">
        <f>"1199"</f>
        <v>1199</v>
      </c>
      <c r="BB424" t="str">
        <f>"505"</f>
        <v>505</v>
      </c>
      <c r="BC424" t="s">
        <v>949</v>
      </c>
      <c r="BD424" t="str">
        <f>"3"</f>
        <v>3</v>
      </c>
      <c r="BE424" t="s">
        <v>1089</v>
      </c>
      <c r="BF424" t="str">
        <f>"52"</f>
        <v>52</v>
      </c>
      <c r="BG424" t="str">
        <f>"26.5"</f>
        <v>26.5</v>
      </c>
      <c r="BH424" t="str">
        <f>"5.25"</f>
        <v>5.25</v>
      </c>
      <c r="BI424" t="str">
        <f>"55.01"</f>
        <v>55.01</v>
      </c>
      <c r="BJ424" t="s">
        <v>1090</v>
      </c>
      <c r="BK424" t="str">
        <f>"16"</f>
        <v>16</v>
      </c>
      <c r="BL424" t="str">
        <f>"15"</f>
        <v>15</v>
      </c>
      <c r="BM424" t="str">
        <f>"20"</f>
        <v>20</v>
      </c>
      <c r="BN424" t="str">
        <f>"29.88"</f>
        <v>29.88</v>
      </c>
      <c r="BO424" t="s">
        <v>1090</v>
      </c>
      <c r="BP424" t="str">
        <f>"16"</f>
        <v>16</v>
      </c>
      <c r="BQ424" t="str">
        <f>"15"</f>
        <v>15</v>
      </c>
      <c r="BR424" t="str">
        <f>"20"</f>
        <v>20</v>
      </c>
      <c r="BS424" t="str">
        <f>"29.88"</f>
        <v>29.88</v>
      </c>
      <c r="BY424" t="str">
        <f>"9.78"</f>
        <v>9.78</v>
      </c>
      <c r="BZ424" t="str">
        <f>"0.277"</f>
        <v>0.277</v>
      </c>
      <c r="CA424" t="s">
        <v>495</v>
      </c>
      <c r="CR424" t="s">
        <v>400</v>
      </c>
      <c r="CS424">
        <v>0</v>
      </c>
      <c r="CT424" t="s">
        <v>400</v>
      </c>
      <c r="CV424">
        <v>0</v>
      </c>
      <c r="CY424" t="s">
        <v>400</v>
      </c>
      <c r="DC424">
        <v>0</v>
      </c>
      <c r="DJ424" t="s">
        <v>408</v>
      </c>
      <c r="DK424" t="s">
        <v>8351</v>
      </c>
      <c r="DM424" t="s">
        <v>473</v>
      </c>
      <c r="DX424" t="s">
        <v>8352</v>
      </c>
      <c r="DZ424" t="s">
        <v>791</v>
      </c>
      <c r="EI424" t="s">
        <v>2908</v>
      </c>
      <c r="EJ424" t="s">
        <v>8352</v>
      </c>
      <c r="EK424" t="s">
        <v>8353</v>
      </c>
      <c r="EL424" t="s">
        <v>8354</v>
      </c>
      <c r="EN424">
        <v>0</v>
      </c>
      <c r="EO424">
        <v>0</v>
      </c>
      <c r="EX424" t="s">
        <v>1634</v>
      </c>
    </row>
    <row r="425" spans="1:182" x14ac:dyDescent="0.25">
      <c r="A425" t="s">
        <v>8355</v>
      </c>
      <c r="B425" t="str">
        <f>"801542203009"</f>
        <v>801542203009</v>
      </c>
      <c r="C425" t="s">
        <v>8356</v>
      </c>
      <c r="D425" t="s">
        <v>1276</v>
      </c>
      <c r="E425" t="s">
        <v>515</v>
      </c>
      <c r="F425" t="s">
        <v>516</v>
      </c>
      <c r="G425" t="str">
        <f>"30.25"</f>
        <v>30.25</v>
      </c>
      <c r="H425" t="str">
        <f>"35"</f>
        <v>35</v>
      </c>
      <c r="I425" t="str">
        <f>"29.5"</f>
        <v>29.5</v>
      </c>
      <c r="J425" t="str">
        <f>"36.38"</f>
        <v>36.38</v>
      </c>
      <c r="K425" t="s">
        <v>414</v>
      </c>
      <c r="L425" t="s">
        <v>771</v>
      </c>
      <c r="N425" t="s">
        <v>416</v>
      </c>
      <c r="O425" t="s">
        <v>775</v>
      </c>
      <c r="T425" t="s">
        <v>373</v>
      </c>
      <c r="U425" t="s">
        <v>373</v>
      </c>
      <c r="V425" t="s">
        <v>8357</v>
      </c>
      <c r="W425" t="s">
        <v>8358</v>
      </c>
      <c r="X425" t="s">
        <v>8359</v>
      </c>
      <c r="Y425" t="s">
        <v>8360</v>
      </c>
      <c r="Z425" t="s">
        <v>8361</v>
      </c>
      <c r="AA425" t="s">
        <v>8362</v>
      </c>
      <c r="AB425" t="s">
        <v>8363</v>
      </c>
      <c r="AC425" t="s">
        <v>8364</v>
      </c>
      <c r="AD425" t="s">
        <v>8365</v>
      </c>
      <c r="AE425" t="s">
        <v>8366</v>
      </c>
      <c r="AF425" t="s">
        <v>8367</v>
      </c>
      <c r="AG425" t="s">
        <v>8368</v>
      </c>
      <c r="AH425" t="s">
        <v>8369</v>
      </c>
      <c r="AI425" t="s">
        <v>8370</v>
      </c>
      <c r="BA425" t="str">
        <f>"1349"</f>
        <v>1349</v>
      </c>
      <c r="BB425" t="str">
        <f>"570"</f>
        <v>570</v>
      </c>
      <c r="BC425" t="s">
        <v>665</v>
      </c>
      <c r="BD425" t="str">
        <f t="shared" ref="BD425:BD440" si="98">"1"</f>
        <v>1</v>
      </c>
      <c r="BE425" t="s">
        <v>8371</v>
      </c>
      <c r="BF425" t="str">
        <f>"36.42"</f>
        <v>36.42</v>
      </c>
      <c r="BG425" t="str">
        <f>"32.48"</f>
        <v>32.48</v>
      </c>
      <c r="BH425" t="str">
        <f>"29.13"</f>
        <v>29.13</v>
      </c>
      <c r="BI425" t="str">
        <f>"50.71"</f>
        <v>50.71</v>
      </c>
      <c r="BY425" t="str">
        <f>"15.75"</f>
        <v>15.75</v>
      </c>
      <c r="BZ425" t="str">
        <f>"0.446"</f>
        <v>0.446</v>
      </c>
      <c r="CA425" t="s">
        <v>390</v>
      </c>
      <c r="CH425" t="s">
        <v>1016</v>
      </c>
      <c r="CI425" t="s">
        <v>742</v>
      </c>
      <c r="CJ425" t="s">
        <v>545</v>
      </c>
      <c r="CK425" t="s">
        <v>1644</v>
      </c>
      <c r="CL425" t="s">
        <v>5804</v>
      </c>
      <c r="CM425" t="s">
        <v>545</v>
      </c>
      <c r="CN425">
        <v>0</v>
      </c>
      <c r="CO425">
        <v>1</v>
      </c>
      <c r="CP425" t="s">
        <v>398</v>
      </c>
      <c r="CQ425" t="s">
        <v>438</v>
      </c>
      <c r="CU425" t="s">
        <v>8372</v>
      </c>
      <c r="CV425" t="s">
        <v>8373</v>
      </c>
      <c r="CW425" t="s">
        <v>8374</v>
      </c>
      <c r="CZ425" t="s">
        <v>953</v>
      </c>
      <c r="DA425" t="s">
        <v>400</v>
      </c>
      <c r="DB425">
        <v>0</v>
      </c>
      <c r="DF425">
        <v>0</v>
      </c>
      <c r="DG425" t="s">
        <v>570</v>
      </c>
      <c r="DH425" t="s">
        <v>406</v>
      </c>
      <c r="DI425" t="s">
        <v>407</v>
      </c>
      <c r="DJ425">
        <v>1</v>
      </c>
      <c r="DK425">
        <v>1</v>
      </c>
      <c r="DM425" t="s">
        <v>8375</v>
      </c>
      <c r="DN425">
        <v>0</v>
      </c>
      <c r="DO425" t="s">
        <v>538</v>
      </c>
      <c r="DW425" t="s">
        <v>8376</v>
      </c>
      <c r="DX425" t="s">
        <v>1612</v>
      </c>
      <c r="DY425" t="s">
        <v>545</v>
      </c>
      <c r="DZ425" t="s">
        <v>6816</v>
      </c>
      <c r="EA425" t="s">
        <v>1342</v>
      </c>
      <c r="EB425" t="s">
        <v>6253</v>
      </c>
      <c r="EC425" t="s">
        <v>566</v>
      </c>
      <c r="EF425" t="s">
        <v>406</v>
      </c>
      <c r="EG425" t="s">
        <v>407</v>
      </c>
      <c r="EH425" t="s">
        <v>802</v>
      </c>
      <c r="EI425" t="s">
        <v>8377</v>
      </c>
      <c r="EU425">
        <v>0</v>
      </c>
      <c r="EV425">
        <v>0</v>
      </c>
      <c r="EX425">
        <v>0</v>
      </c>
    </row>
    <row r="426" spans="1:182" x14ac:dyDescent="0.25">
      <c r="A426" t="s">
        <v>8378</v>
      </c>
      <c r="B426" t="str">
        <f>"801542099770"</f>
        <v>801542099770</v>
      </c>
      <c r="C426" t="s">
        <v>8379</v>
      </c>
      <c r="D426" t="s">
        <v>769</v>
      </c>
      <c r="E426" t="s">
        <v>515</v>
      </c>
      <c r="F426" t="s">
        <v>516</v>
      </c>
      <c r="G426" t="str">
        <f>"30"</f>
        <v>30</v>
      </c>
      <c r="H426" t="str">
        <f>"28.25"</f>
        <v>28.25</v>
      </c>
      <c r="I426" t="str">
        <f>"30"</f>
        <v>30</v>
      </c>
      <c r="J426" t="str">
        <f>"28.66"</f>
        <v>28.66</v>
      </c>
      <c r="K426" t="s">
        <v>8380</v>
      </c>
      <c r="L426" t="s">
        <v>8381</v>
      </c>
      <c r="M426" t="s">
        <v>8382</v>
      </c>
      <c r="N426" t="s">
        <v>8383</v>
      </c>
      <c r="O426" t="s">
        <v>8384</v>
      </c>
      <c r="P426" t="s">
        <v>775</v>
      </c>
      <c r="Q426" t="s">
        <v>3490</v>
      </c>
      <c r="T426" t="s">
        <v>373</v>
      </c>
      <c r="U426" t="s">
        <v>373</v>
      </c>
      <c r="V426" t="s">
        <v>8385</v>
      </c>
      <c r="W426" t="s">
        <v>8386</v>
      </c>
      <c r="X426" t="s">
        <v>8387</v>
      </c>
      <c r="Y426" t="s">
        <v>8388</v>
      </c>
      <c r="Z426" t="s">
        <v>8389</v>
      </c>
      <c r="AA426" t="s">
        <v>8390</v>
      </c>
      <c r="AB426" t="s">
        <v>8391</v>
      </c>
      <c r="AC426" t="s">
        <v>8392</v>
      </c>
      <c r="AD426" t="s">
        <v>8393</v>
      </c>
      <c r="AE426" t="s">
        <v>8394</v>
      </c>
      <c r="AF426" t="s">
        <v>8395</v>
      </c>
      <c r="AG426" t="s">
        <v>8396</v>
      </c>
      <c r="AH426" t="s">
        <v>8397</v>
      </c>
      <c r="AI426" t="s">
        <v>8398</v>
      </c>
      <c r="BA426" t="str">
        <f>"1749"</f>
        <v>1749</v>
      </c>
      <c r="BB426" t="str">
        <f>"735"</f>
        <v>735</v>
      </c>
      <c r="BC426" t="s">
        <v>388</v>
      </c>
      <c r="BD426" t="str">
        <f t="shared" si="98"/>
        <v>1</v>
      </c>
      <c r="BE426" t="s">
        <v>389</v>
      </c>
      <c r="BF426" t="str">
        <f t="shared" ref="BF426:BF432" si="99">"35.04"</f>
        <v>35.04</v>
      </c>
      <c r="BG426" t="str">
        <f>"33.46"</f>
        <v>33.46</v>
      </c>
      <c r="BH426" t="str">
        <f>"32.28"</f>
        <v>32.28</v>
      </c>
      <c r="BI426" t="str">
        <f>"50.71"</f>
        <v>50.71</v>
      </c>
      <c r="BY426" t="str">
        <f>"21.9"</f>
        <v>21.9</v>
      </c>
      <c r="BZ426" t="str">
        <f>"0.62"</f>
        <v>0.62</v>
      </c>
      <c r="CA426" t="s">
        <v>495</v>
      </c>
      <c r="CK426" t="s">
        <v>1510</v>
      </c>
      <c r="CL426" t="s">
        <v>449</v>
      </c>
      <c r="CN426">
        <v>0</v>
      </c>
      <c r="CO426">
        <v>0</v>
      </c>
      <c r="CP426" t="s">
        <v>437</v>
      </c>
      <c r="CQ426" t="s">
        <v>631</v>
      </c>
      <c r="CX426" t="s">
        <v>403</v>
      </c>
      <c r="CY426" t="s">
        <v>400</v>
      </c>
      <c r="CZ426">
        <v>0</v>
      </c>
      <c r="DD426">
        <v>50000</v>
      </c>
      <c r="DE426" t="s">
        <v>439</v>
      </c>
      <c r="DF426" t="s">
        <v>632</v>
      </c>
      <c r="DH426">
        <v>1</v>
      </c>
      <c r="DI426">
        <v>1</v>
      </c>
      <c r="DK426" t="s">
        <v>8399</v>
      </c>
      <c r="DL426">
        <v>0</v>
      </c>
      <c r="DM426" t="s">
        <v>538</v>
      </c>
      <c r="DN426" t="s">
        <v>1493</v>
      </c>
      <c r="DO426" t="s">
        <v>433</v>
      </c>
      <c r="DP426" t="s">
        <v>1092</v>
      </c>
      <c r="DT426" t="s">
        <v>1852</v>
      </c>
      <c r="DX426" t="s">
        <v>448</v>
      </c>
      <c r="DY426" t="s">
        <v>602</v>
      </c>
      <c r="DZ426" t="s">
        <v>796</v>
      </c>
      <c r="EA426" t="s">
        <v>958</v>
      </c>
      <c r="EG426" t="s">
        <v>2361</v>
      </c>
      <c r="EP426" t="s">
        <v>1491</v>
      </c>
      <c r="EQ426" t="s">
        <v>638</v>
      </c>
      <c r="ER426">
        <v>0</v>
      </c>
      <c r="ES426">
        <v>0</v>
      </c>
      <c r="EU426">
        <v>0</v>
      </c>
    </row>
    <row r="427" spans="1:182" x14ac:dyDescent="0.25">
      <c r="A427" t="s">
        <v>8400</v>
      </c>
      <c r="B427" t="str">
        <f>"801542132774"</f>
        <v>801542132774</v>
      </c>
      <c r="C427" t="s">
        <v>8401</v>
      </c>
      <c r="D427" t="s">
        <v>769</v>
      </c>
      <c r="E427" t="s">
        <v>515</v>
      </c>
      <c r="F427" t="s">
        <v>516</v>
      </c>
      <c r="G427" t="str">
        <f>"30"</f>
        <v>30</v>
      </c>
      <c r="H427" t="str">
        <f>"28.25"</f>
        <v>28.25</v>
      </c>
      <c r="I427" t="str">
        <f>"30"</f>
        <v>30</v>
      </c>
      <c r="J427" t="str">
        <f>"28.66"</f>
        <v>28.66</v>
      </c>
      <c r="K427" t="s">
        <v>8402</v>
      </c>
      <c r="L427" t="s">
        <v>8381</v>
      </c>
      <c r="M427" t="s">
        <v>8382</v>
      </c>
      <c r="N427" t="s">
        <v>416</v>
      </c>
      <c r="O427" t="s">
        <v>775</v>
      </c>
      <c r="P427" t="s">
        <v>3490</v>
      </c>
      <c r="T427" t="s">
        <v>373</v>
      </c>
      <c r="U427" t="s">
        <v>373</v>
      </c>
      <c r="V427" t="s">
        <v>8403</v>
      </c>
      <c r="W427" t="s">
        <v>8404</v>
      </c>
      <c r="X427" t="s">
        <v>8405</v>
      </c>
      <c r="Y427" t="s">
        <v>8406</v>
      </c>
      <c r="Z427" t="s">
        <v>8407</v>
      </c>
      <c r="AA427" t="s">
        <v>8408</v>
      </c>
      <c r="AB427" t="s">
        <v>8409</v>
      </c>
      <c r="AC427" t="s">
        <v>8410</v>
      </c>
      <c r="AD427" t="s">
        <v>8411</v>
      </c>
      <c r="AE427" t="s">
        <v>8412</v>
      </c>
      <c r="AF427" t="s">
        <v>8413</v>
      </c>
      <c r="AG427" t="s">
        <v>8414</v>
      </c>
      <c r="AH427" t="s">
        <v>8415</v>
      </c>
      <c r="AI427" t="s">
        <v>8416</v>
      </c>
      <c r="BA427" t="str">
        <f>"1449"</f>
        <v>1449</v>
      </c>
      <c r="BB427" t="str">
        <f>"610"</f>
        <v>610</v>
      </c>
      <c r="BC427" t="s">
        <v>388</v>
      </c>
      <c r="BD427" t="str">
        <f t="shared" si="98"/>
        <v>1</v>
      </c>
      <c r="BE427" t="s">
        <v>389</v>
      </c>
      <c r="BF427" t="str">
        <f t="shared" si="99"/>
        <v>35.04</v>
      </c>
      <c r="BG427" t="str">
        <f>"33.46"</f>
        <v>33.46</v>
      </c>
      <c r="BH427" t="str">
        <f>"32.28"</f>
        <v>32.28</v>
      </c>
      <c r="BI427" t="str">
        <f>"50.71"</f>
        <v>50.71</v>
      </c>
      <c r="BY427" t="str">
        <f>"21.9"</f>
        <v>21.9</v>
      </c>
      <c r="BZ427" t="str">
        <f>"0.62"</f>
        <v>0.62</v>
      </c>
      <c r="CA427" t="s">
        <v>495</v>
      </c>
      <c r="CK427" t="s">
        <v>1510</v>
      </c>
      <c r="CL427" t="s">
        <v>449</v>
      </c>
      <c r="CN427">
        <v>0</v>
      </c>
      <c r="CO427">
        <v>0</v>
      </c>
      <c r="CP427" t="s">
        <v>437</v>
      </c>
      <c r="CQ427" t="s">
        <v>438</v>
      </c>
      <c r="CX427" t="s">
        <v>403</v>
      </c>
      <c r="CY427" t="s">
        <v>400</v>
      </c>
      <c r="CZ427">
        <v>0</v>
      </c>
      <c r="DD427">
        <v>0</v>
      </c>
      <c r="DE427" t="s">
        <v>439</v>
      </c>
      <c r="DF427" t="s">
        <v>632</v>
      </c>
      <c r="DH427">
        <v>1</v>
      </c>
      <c r="DI427">
        <v>1</v>
      </c>
      <c r="DK427" t="s">
        <v>8399</v>
      </c>
      <c r="DL427">
        <v>0</v>
      </c>
      <c r="DM427" t="s">
        <v>538</v>
      </c>
      <c r="DN427" t="s">
        <v>1493</v>
      </c>
      <c r="DO427" t="s">
        <v>433</v>
      </c>
      <c r="DP427" t="s">
        <v>1092</v>
      </c>
      <c r="DT427" t="s">
        <v>1852</v>
      </c>
      <c r="DX427" t="s">
        <v>448</v>
      </c>
      <c r="DY427" t="s">
        <v>602</v>
      </c>
      <c r="DZ427" t="s">
        <v>796</v>
      </c>
      <c r="EA427" t="s">
        <v>958</v>
      </c>
      <c r="EG427" t="s">
        <v>2361</v>
      </c>
      <c r="EP427" t="s">
        <v>1491</v>
      </c>
      <c r="EQ427" t="s">
        <v>638</v>
      </c>
      <c r="ER427">
        <v>0</v>
      </c>
      <c r="ES427">
        <v>0</v>
      </c>
      <c r="EU427">
        <v>0</v>
      </c>
    </row>
    <row r="428" spans="1:182" x14ac:dyDescent="0.25">
      <c r="A428" t="s">
        <v>8417</v>
      </c>
      <c r="B428" t="str">
        <f>"801542927370"</f>
        <v>801542927370</v>
      </c>
      <c r="C428" t="s">
        <v>8418</v>
      </c>
      <c r="D428" t="s">
        <v>769</v>
      </c>
      <c r="E428" t="s">
        <v>515</v>
      </c>
      <c r="F428" t="s">
        <v>516</v>
      </c>
      <c r="G428" t="str">
        <f>"30"</f>
        <v>30</v>
      </c>
      <c r="H428" t="str">
        <f>"28.25"</f>
        <v>28.25</v>
      </c>
      <c r="I428" t="str">
        <f>"30"</f>
        <v>30</v>
      </c>
      <c r="J428" t="str">
        <f>"28.66"</f>
        <v>28.66</v>
      </c>
      <c r="K428" t="s">
        <v>8419</v>
      </c>
      <c r="L428" t="s">
        <v>8381</v>
      </c>
      <c r="M428" t="s">
        <v>8382</v>
      </c>
      <c r="N428" t="s">
        <v>772</v>
      </c>
      <c r="O428" t="s">
        <v>773</v>
      </c>
      <c r="P428" t="s">
        <v>774</v>
      </c>
      <c r="Q428" t="s">
        <v>775</v>
      </c>
      <c r="R428" t="s">
        <v>3490</v>
      </c>
      <c r="T428" t="s">
        <v>373</v>
      </c>
      <c r="U428" t="s">
        <v>402</v>
      </c>
      <c r="V428" t="s">
        <v>8403</v>
      </c>
      <c r="W428" t="s">
        <v>8420</v>
      </c>
      <c r="X428" t="s">
        <v>8421</v>
      </c>
      <c r="Y428" t="s">
        <v>8422</v>
      </c>
      <c r="Z428" t="s">
        <v>8423</v>
      </c>
      <c r="AA428" t="s">
        <v>8424</v>
      </c>
      <c r="AB428" t="s">
        <v>8425</v>
      </c>
      <c r="AC428" t="s">
        <v>8426</v>
      </c>
      <c r="AD428" t="s">
        <v>8427</v>
      </c>
      <c r="AE428" t="s">
        <v>8428</v>
      </c>
      <c r="AF428" t="s">
        <v>8429</v>
      </c>
      <c r="AG428" t="s">
        <v>8430</v>
      </c>
      <c r="AH428" t="s">
        <v>8431</v>
      </c>
      <c r="AI428" t="s">
        <v>8432</v>
      </c>
      <c r="AJ428" t="s">
        <v>8433</v>
      </c>
      <c r="AK428" t="s">
        <v>8434</v>
      </c>
      <c r="BA428" t="str">
        <f>"1349"</f>
        <v>1349</v>
      </c>
      <c r="BB428" t="str">
        <f>"570"</f>
        <v>570</v>
      </c>
      <c r="BC428" t="s">
        <v>388</v>
      </c>
      <c r="BD428" t="str">
        <f t="shared" si="98"/>
        <v>1</v>
      </c>
      <c r="BE428" t="s">
        <v>389</v>
      </c>
      <c r="BF428" t="str">
        <f t="shared" si="99"/>
        <v>35.04</v>
      </c>
      <c r="BG428" t="str">
        <f>"33.46"</f>
        <v>33.46</v>
      </c>
      <c r="BH428" t="str">
        <f>"32.28"</f>
        <v>32.28</v>
      </c>
      <c r="BI428" t="str">
        <f>"50.71"</f>
        <v>50.71</v>
      </c>
      <c r="BY428" t="str">
        <f>"21.9"</f>
        <v>21.9</v>
      </c>
      <c r="BZ428" t="str">
        <f>"0.62"</f>
        <v>0.62</v>
      </c>
      <c r="CA428" t="s">
        <v>390</v>
      </c>
      <c r="CK428" t="s">
        <v>1510</v>
      </c>
      <c r="CL428" t="s">
        <v>449</v>
      </c>
      <c r="CN428">
        <v>0</v>
      </c>
      <c r="CO428">
        <v>0</v>
      </c>
      <c r="CP428" t="s">
        <v>437</v>
      </c>
      <c r="CQ428" t="s">
        <v>631</v>
      </c>
      <c r="CX428" t="s">
        <v>403</v>
      </c>
      <c r="CY428" t="s">
        <v>400</v>
      </c>
      <c r="CZ428">
        <v>0</v>
      </c>
      <c r="DD428">
        <v>30000</v>
      </c>
      <c r="DE428" t="s">
        <v>439</v>
      </c>
      <c r="DF428" t="s">
        <v>632</v>
      </c>
      <c r="DH428">
        <v>1</v>
      </c>
      <c r="DI428">
        <v>1</v>
      </c>
      <c r="DK428" t="s">
        <v>8399</v>
      </c>
      <c r="DL428">
        <v>0</v>
      </c>
      <c r="DM428" t="s">
        <v>538</v>
      </c>
      <c r="DN428" t="s">
        <v>1493</v>
      </c>
      <c r="DO428" t="s">
        <v>433</v>
      </c>
      <c r="DP428" t="s">
        <v>1092</v>
      </c>
      <c r="DT428" t="s">
        <v>1852</v>
      </c>
      <c r="DX428" t="s">
        <v>448</v>
      </c>
      <c r="DY428" t="s">
        <v>602</v>
      </c>
      <c r="DZ428" t="s">
        <v>796</v>
      </c>
      <c r="EA428" t="s">
        <v>958</v>
      </c>
      <c r="EG428" t="s">
        <v>2361</v>
      </c>
      <c r="EP428" t="s">
        <v>1491</v>
      </c>
      <c r="EQ428" t="s">
        <v>638</v>
      </c>
      <c r="ER428">
        <v>0</v>
      </c>
      <c r="ES428">
        <v>0</v>
      </c>
      <c r="EU428">
        <v>0</v>
      </c>
    </row>
    <row r="429" spans="1:182" x14ac:dyDescent="0.25">
      <c r="A429" t="s">
        <v>8435</v>
      </c>
      <c r="B429" t="str">
        <f>"801542750015"</f>
        <v>801542750015</v>
      </c>
      <c r="C429" t="s">
        <v>8436</v>
      </c>
      <c r="D429" t="s">
        <v>5513</v>
      </c>
      <c r="E429" t="s">
        <v>515</v>
      </c>
      <c r="F429" t="s">
        <v>516</v>
      </c>
      <c r="G429" t="str">
        <f>"34.75"</f>
        <v>34.75</v>
      </c>
      <c r="H429" t="str">
        <f>"33.75"</f>
        <v>33.75</v>
      </c>
      <c r="I429" t="str">
        <f>"29"</f>
        <v>29</v>
      </c>
      <c r="J429" t="str">
        <f>"77.6"</f>
        <v>77.6</v>
      </c>
      <c r="K429" t="s">
        <v>8437</v>
      </c>
      <c r="L429" t="s">
        <v>1857</v>
      </c>
      <c r="N429" t="s">
        <v>371</v>
      </c>
      <c r="O429" t="s">
        <v>417</v>
      </c>
      <c r="T429" t="s">
        <v>402</v>
      </c>
      <c r="U429" t="s">
        <v>373</v>
      </c>
      <c r="V429" t="s">
        <v>8438</v>
      </c>
      <c r="W429" t="s">
        <v>8439</v>
      </c>
      <c r="X429" t="s">
        <v>8440</v>
      </c>
      <c r="Y429" t="s">
        <v>8441</v>
      </c>
      <c r="Z429" t="s">
        <v>8442</v>
      </c>
      <c r="AA429" t="s">
        <v>8443</v>
      </c>
      <c r="AB429" t="s">
        <v>8444</v>
      </c>
      <c r="AC429" t="s">
        <v>8445</v>
      </c>
      <c r="AD429" t="s">
        <v>8446</v>
      </c>
      <c r="AE429" t="s">
        <v>8447</v>
      </c>
      <c r="AF429" t="s">
        <v>8448</v>
      </c>
      <c r="AG429" t="s">
        <v>8449</v>
      </c>
      <c r="AH429" t="s">
        <v>8450</v>
      </c>
      <c r="AI429" t="s">
        <v>8451</v>
      </c>
      <c r="BA429" t="str">
        <f>"1349"</f>
        <v>1349</v>
      </c>
      <c r="BB429" t="str">
        <f>"570"</f>
        <v>570</v>
      </c>
      <c r="BC429" t="s">
        <v>388</v>
      </c>
      <c r="BD429" t="str">
        <f t="shared" si="98"/>
        <v>1</v>
      </c>
      <c r="BE429" t="s">
        <v>8452</v>
      </c>
      <c r="BF429" t="str">
        <f t="shared" si="99"/>
        <v>35.04</v>
      </c>
      <c r="BG429" t="str">
        <f>"35.43"</f>
        <v>35.43</v>
      </c>
      <c r="BH429" t="str">
        <f>"31.1"</f>
        <v>31.1</v>
      </c>
      <c r="BI429" t="str">
        <f>"98.1"</f>
        <v>98.1</v>
      </c>
      <c r="BY429" t="str">
        <f>"22.35"</f>
        <v>22.35</v>
      </c>
      <c r="BZ429" t="str">
        <f>"0.633"</f>
        <v>0.633</v>
      </c>
      <c r="CA429" t="s">
        <v>431</v>
      </c>
      <c r="CH429" t="s">
        <v>1553</v>
      </c>
      <c r="CI429" t="s">
        <v>2263</v>
      </c>
      <c r="CJ429" t="s">
        <v>1553</v>
      </c>
      <c r="CK429" t="s">
        <v>2071</v>
      </c>
      <c r="CL429" t="s">
        <v>396</v>
      </c>
      <c r="CN429">
        <v>0</v>
      </c>
      <c r="CO429">
        <v>1</v>
      </c>
      <c r="CP429" t="s">
        <v>437</v>
      </c>
      <c r="CQ429" t="s">
        <v>399</v>
      </c>
      <c r="CU429" t="s">
        <v>793</v>
      </c>
      <c r="CX429" t="s">
        <v>403</v>
      </c>
      <c r="CY429" t="s">
        <v>400</v>
      </c>
      <c r="CZ429">
        <v>0</v>
      </c>
      <c r="DD429">
        <v>100000</v>
      </c>
      <c r="DE429" t="s">
        <v>570</v>
      </c>
      <c r="DF429" t="s">
        <v>406</v>
      </c>
      <c r="DG429" t="s">
        <v>407</v>
      </c>
      <c r="DH429">
        <v>1</v>
      </c>
      <c r="DI429">
        <v>1</v>
      </c>
      <c r="DK429" t="s">
        <v>8453</v>
      </c>
      <c r="DL429">
        <v>0</v>
      </c>
      <c r="DM429" t="s">
        <v>538</v>
      </c>
      <c r="DN429" t="s">
        <v>606</v>
      </c>
      <c r="DO429" t="s">
        <v>448</v>
      </c>
      <c r="DP429" t="s">
        <v>822</v>
      </c>
      <c r="DT429" t="s">
        <v>3025</v>
      </c>
      <c r="DX429" t="s">
        <v>830</v>
      </c>
      <c r="DY429" t="s">
        <v>8454</v>
      </c>
      <c r="DZ429" t="s">
        <v>8455</v>
      </c>
      <c r="EA429" t="s">
        <v>1351</v>
      </c>
      <c r="ED429" t="s">
        <v>632</v>
      </c>
      <c r="EE429" t="s">
        <v>454</v>
      </c>
      <c r="EG429" t="s">
        <v>615</v>
      </c>
      <c r="EP429" t="s">
        <v>548</v>
      </c>
      <c r="EQ429" t="s">
        <v>2071</v>
      </c>
      <c r="ER429">
        <v>0</v>
      </c>
      <c r="ES429">
        <v>0</v>
      </c>
      <c r="EU429">
        <v>0</v>
      </c>
    </row>
    <row r="430" spans="1:182" x14ac:dyDescent="0.25">
      <c r="A430" t="s">
        <v>8456</v>
      </c>
      <c r="B430" t="str">
        <f>"801542745080"</f>
        <v>801542745080</v>
      </c>
      <c r="C430" t="s">
        <v>8457</v>
      </c>
      <c r="D430" t="s">
        <v>5513</v>
      </c>
      <c r="E430" t="s">
        <v>515</v>
      </c>
      <c r="F430" t="s">
        <v>516</v>
      </c>
      <c r="G430" t="str">
        <f>"34.75"</f>
        <v>34.75</v>
      </c>
      <c r="H430" t="str">
        <f>"33.75"</f>
        <v>33.75</v>
      </c>
      <c r="I430" t="str">
        <f>"29"</f>
        <v>29</v>
      </c>
      <c r="J430" t="str">
        <f>"77.6"</f>
        <v>77.6</v>
      </c>
      <c r="K430" t="s">
        <v>414</v>
      </c>
      <c r="L430" t="s">
        <v>1857</v>
      </c>
      <c r="N430" t="s">
        <v>416</v>
      </c>
      <c r="O430" t="s">
        <v>417</v>
      </c>
      <c r="T430" t="s">
        <v>373</v>
      </c>
      <c r="U430" t="s">
        <v>373</v>
      </c>
      <c r="V430" t="s">
        <v>8458</v>
      </c>
      <c r="W430" t="s">
        <v>8459</v>
      </c>
      <c r="X430" t="s">
        <v>8460</v>
      </c>
      <c r="Y430" t="s">
        <v>8461</v>
      </c>
      <c r="Z430" t="s">
        <v>8462</v>
      </c>
      <c r="AA430" t="s">
        <v>8463</v>
      </c>
      <c r="AB430" t="s">
        <v>8464</v>
      </c>
      <c r="AC430" t="s">
        <v>8465</v>
      </c>
      <c r="AD430" t="s">
        <v>426</v>
      </c>
      <c r="AE430" t="s">
        <v>8466</v>
      </c>
      <c r="AF430" t="s">
        <v>8467</v>
      </c>
      <c r="AG430" t="s">
        <v>8468</v>
      </c>
      <c r="AH430" t="s">
        <v>8469</v>
      </c>
      <c r="AI430" t="s">
        <v>8470</v>
      </c>
      <c r="AJ430" t="s">
        <v>8471</v>
      </c>
      <c r="BA430" t="str">
        <f>"2399"</f>
        <v>2399</v>
      </c>
      <c r="BB430" t="str">
        <f>"1010"</f>
        <v>1010</v>
      </c>
      <c r="BC430" t="s">
        <v>388</v>
      </c>
      <c r="BD430" t="str">
        <f t="shared" si="98"/>
        <v>1</v>
      </c>
      <c r="BE430" t="s">
        <v>8452</v>
      </c>
      <c r="BF430" t="str">
        <f t="shared" si="99"/>
        <v>35.04</v>
      </c>
      <c r="BG430" t="str">
        <f>"35.43"</f>
        <v>35.43</v>
      </c>
      <c r="BH430" t="str">
        <f>"31.1"</f>
        <v>31.1</v>
      </c>
      <c r="BI430" t="str">
        <f>"98.1"</f>
        <v>98.1</v>
      </c>
      <c r="BY430" t="str">
        <f>"22.35"</f>
        <v>22.35</v>
      </c>
      <c r="BZ430" t="str">
        <f>"0.633"</f>
        <v>0.633</v>
      </c>
      <c r="CA430" t="s">
        <v>431</v>
      </c>
      <c r="CH430" t="s">
        <v>1553</v>
      </c>
      <c r="CI430" t="s">
        <v>2263</v>
      </c>
      <c r="CJ430" t="s">
        <v>1553</v>
      </c>
      <c r="CK430" t="s">
        <v>2071</v>
      </c>
      <c r="CL430" t="s">
        <v>396</v>
      </c>
      <c r="CN430">
        <v>0</v>
      </c>
      <c r="CO430">
        <v>1</v>
      </c>
      <c r="CP430" t="s">
        <v>437</v>
      </c>
      <c r="CQ430" t="s">
        <v>438</v>
      </c>
      <c r="CU430" t="s">
        <v>793</v>
      </c>
      <c r="CX430" t="s">
        <v>403</v>
      </c>
      <c r="CY430" t="s">
        <v>400</v>
      </c>
      <c r="CZ430">
        <v>0</v>
      </c>
      <c r="DD430">
        <v>0</v>
      </c>
      <c r="DE430" t="s">
        <v>570</v>
      </c>
      <c r="DF430" t="s">
        <v>406</v>
      </c>
      <c r="DG430" t="s">
        <v>407</v>
      </c>
      <c r="DH430">
        <v>1</v>
      </c>
      <c r="DI430">
        <v>1</v>
      </c>
      <c r="DK430" t="s">
        <v>8453</v>
      </c>
      <c r="DL430">
        <v>0</v>
      </c>
      <c r="DM430" t="s">
        <v>538</v>
      </c>
      <c r="DN430" t="s">
        <v>606</v>
      </c>
      <c r="DO430" t="s">
        <v>448</v>
      </c>
      <c r="DP430" t="s">
        <v>822</v>
      </c>
      <c r="DT430" t="s">
        <v>3025</v>
      </c>
      <c r="DX430" t="s">
        <v>830</v>
      </c>
      <c r="DY430" t="s">
        <v>8454</v>
      </c>
      <c r="DZ430" t="s">
        <v>8455</v>
      </c>
      <c r="EA430" t="s">
        <v>1351</v>
      </c>
      <c r="ED430" t="s">
        <v>632</v>
      </c>
      <c r="EE430" t="s">
        <v>454</v>
      </c>
      <c r="EG430" t="s">
        <v>615</v>
      </c>
      <c r="EP430" t="s">
        <v>548</v>
      </c>
      <c r="EQ430" t="s">
        <v>2071</v>
      </c>
      <c r="ER430">
        <v>0</v>
      </c>
      <c r="ES430">
        <v>0</v>
      </c>
      <c r="EU430">
        <v>0</v>
      </c>
    </row>
    <row r="431" spans="1:182" x14ac:dyDescent="0.25">
      <c r="A431" t="s">
        <v>8472</v>
      </c>
      <c r="B431" t="str">
        <f>"801542035105"</f>
        <v>801542035105</v>
      </c>
      <c r="C431" t="s">
        <v>8473</v>
      </c>
      <c r="D431" t="s">
        <v>5513</v>
      </c>
      <c r="E431" t="s">
        <v>515</v>
      </c>
      <c r="F431" t="s">
        <v>516</v>
      </c>
      <c r="G431" t="str">
        <f>"34.75"</f>
        <v>34.75</v>
      </c>
      <c r="H431" t="str">
        <f>"33.75"</f>
        <v>33.75</v>
      </c>
      <c r="I431" t="str">
        <f>"29"</f>
        <v>29</v>
      </c>
      <c r="J431" t="str">
        <f>"77.6"</f>
        <v>77.6</v>
      </c>
      <c r="K431" t="s">
        <v>806</v>
      </c>
      <c r="L431" t="s">
        <v>1857</v>
      </c>
      <c r="N431" t="s">
        <v>808</v>
      </c>
      <c r="O431" t="s">
        <v>809</v>
      </c>
      <c r="P431" t="s">
        <v>810</v>
      </c>
      <c r="Q431" t="s">
        <v>417</v>
      </c>
      <c r="T431" t="s">
        <v>402</v>
      </c>
      <c r="U431" t="s">
        <v>402</v>
      </c>
      <c r="V431" t="s">
        <v>8474</v>
      </c>
      <c r="W431" t="s">
        <v>8475</v>
      </c>
      <c r="X431" t="s">
        <v>8476</v>
      </c>
      <c r="Y431" t="s">
        <v>8477</v>
      </c>
      <c r="Z431" t="s">
        <v>8478</v>
      </c>
      <c r="AA431" t="s">
        <v>8479</v>
      </c>
      <c r="AB431" t="s">
        <v>8480</v>
      </c>
      <c r="AC431" t="s">
        <v>8481</v>
      </c>
      <c r="AD431" t="s">
        <v>8482</v>
      </c>
      <c r="AE431" t="s">
        <v>8483</v>
      </c>
      <c r="AF431" t="s">
        <v>8484</v>
      </c>
      <c r="BA431" t="str">
        <f>"1449"</f>
        <v>1449</v>
      </c>
      <c r="BB431" t="str">
        <f>"610"</f>
        <v>610</v>
      </c>
      <c r="BC431" t="s">
        <v>388</v>
      </c>
      <c r="BD431" t="str">
        <f t="shared" si="98"/>
        <v>1</v>
      </c>
      <c r="BE431" t="s">
        <v>8485</v>
      </c>
      <c r="BF431" t="str">
        <f t="shared" si="99"/>
        <v>35.04</v>
      </c>
      <c r="BG431" t="str">
        <f>"35.43"</f>
        <v>35.43</v>
      </c>
      <c r="BH431" t="str">
        <f>"31.1"</f>
        <v>31.1</v>
      </c>
      <c r="BI431" t="str">
        <f>"98.1"</f>
        <v>98.1</v>
      </c>
      <c r="BY431" t="str">
        <f>"22.35"</f>
        <v>22.35</v>
      </c>
      <c r="BZ431" t="str">
        <f>"0.633"</f>
        <v>0.633</v>
      </c>
      <c r="CA431" t="s">
        <v>390</v>
      </c>
      <c r="CH431" t="s">
        <v>1553</v>
      </c>
      <c r="CI431" t="s">
        <v>2263</v>
      </c>
      <c r="CJ431" t="s">
        <v>1553</v>
      </c>
      <c r="CK431" t="s">
        <v>2071</v>
      </c>
      <c r="CL431" t="s">
        <v>396</v>
      </c>
      <c r="CN431">
        <v>0</v>
      </c>
      <c r="CO431">
        <v>1</v>
      </c>
      <c r="CP431" t="s">
        <v>437</v>
      </c>
      <c r="CQ431" t="s">
        <v>631</v>
      </c>
      <c r="CU431" t="s">
        <v>793</v>
      </c>
      <c r="CX431" t="s">
        <v>403</v>
      </c>
      <c r="CY431" t="s">
        <v>400</v>
      </c>
      <c r="CZ431">
        <v>0</v>
      </c>
      <c r="DD431">
        <v>25000</v>
      </c>
      <c r="DE431" t="s">
        <v>570</v>
      </c>
      <c r="DF431" t="s">
        <v>406</v>
      </c>
      <c r="DG431" t="s">
        <v>407</v>
      </c>
      <c r="DH431">
        <v>1</v>
      </c>
      <c r="DI431">
        <v>1</v>
      </c>
      <c r="DK431" t="s">
        <v>8453</v>
      </c>
      <c r="DL431">
        <v>0</v>
      </c>
      <c r="DM431" t="s">
        <v>538</v>
      </c>
      <c r="DN431" t="s">
        <v>606</v>
      </c>
      <c r="DO431" t="s">
        <v>448</v>
      </c>
      <c r="DP431" t="s">
        <v>822</v>
      </c>
      <c r="DT431" t="s">
        <v>3025</v>
      </c>
      <c r="DX431" t="s">
        <v>830</v>
      </c>
      <c r="DY431" t="s">
        <v>8454</v>
      </c>
      <c r="DZ431" t="s">
        <v>8455</v>
      </c>
      <c r="EA431" t="s">
        <v>1351</v>
      </c>
      <c r="ED431" t="s">
        <v>632</v>
      </c>
      <c r="EE431" t="s">
        <v>454</v>
      </c>
      <c r="EG431" t="s">
        <v>615</v>
      </c>
      <c r="EP431" t="s">
        <v>548</v>
      </c>
      <c r="EQ431" t="s">
        <v>2071</v>
      </c>
      <c r="ER431">
        <v>0</v>
      </c>
      <c r="ES431">
        <v>0</v>
      </c>
      <c r="EU431">
        <v>0</v>
      </c>
    </row>
    <row r="432" spans="1:182" x14ac:dyDescent="0.25">
      <c r="A432" t="s">
        <v>8486</v>
      </c>
      <c r="B432" t="str">
        <f>"801542111823"</f>
        <v>801542111823</v>
      </c>
      <c r="C432" t="s">
        <v>8487</v>
      </c>
      <c r="D432" t="s">
        <v>5513</v>
      </c>
      <c r="E432" t="s">
        <v>515</v>
      </c>
      <c r="F432" t="s">
        <v>516</v>
      </c>
      <c r="G432" t="str">
        <f>"34.75"</f>
        <v>34.75</v>
      </c>
      <c r="H432" t="str">
        <f>"33.75"</f>
        <v>33.75</v>
      </c>
      <c r="I432" t="str">
        <f>"29"</f>
        <v>29</v>
      </c>
      <c r="J432" t="str">
        <f>"77.6"</f>
        <v>77.6</v>
      </c>
      <c r="K432" t="s">
        <v>8488</v>
      </c>
      <c r="L432" t="s">
        <v>1857</v>
      </c>
      <c r="N432" t="s">
        <v>416</v>
      </c>
      <c r="O432" t="s">
        <v>417</v>
      </c>
      <c r="T432" t="s">
        <v>373</v>
      </c>
      <c r="U432" t="s">
        <v>373</v>
      </c>
      <c r="V432" t="s">
        <v>8489</v>
      </c>
      <c r="W432" t="s">
        <v>8490</v>
      </c>
      <c r="X432" t="s">
        <v>8491</v>
      </c>
      <c r="Y432" t="s">
        <v>8492</v>
      </c>
      <c r="Z432" t="s">
        <v>8493</v>
      </c>
      <c r="AA432" t="s">
        <v>8494</v>
      </c>
      <c r="AB432" t="s">
        <v>8495</v>
      </c>
      <c r="AC432" t="s">
        <v>8496</v>
      </c>
      <c r="AD432" t="s">
        <v>8497</v>
      </c>
      <c r="AE432" t="s">
        <v>8498</v>
      </c>
      <c r="AF432" t="s">
        <v>8499</v>
      </c>
      <c r="BA432" t="str">
        <f>"2799"</f>
        <v>2799</v>
      </c>
      <c r="BB432" t="str">
        <f>"1180"</f>
        <v>1180</v>
      </c>
      <c r="BC432" t="s">
        <v>388</v>
      </c>
      <c r="BD432" t="str">
        <f t="shared" si="98"/>
        <v>1</v>
      </c>
      <c r="BE432" t="s">
        <v>8485</v>
      </c>
      <c r="BF432" t="str">
        <f t="shared" si="99"/>
        <v>35.04</v>
      </c>
      <c r="BG432" t="str">
        <f>"35.43"</f>
        <v>35.43</v>
      </c>
      <c r="BH432" t="str">
        <f>"31.1"</f>
        <v>31.1</v>
      </c>
      <c r="BI432" t="str">
        <f>"98.11"</f>
        <v>98.11</v>
      </c>
      <c r="BY432" t="str">
        <f>"22.35"</f>
        <v>22.35</v>
      </c>
      <c r="BZ432" t="str">
        <f>"0.633"</f>
        <v>0.633</v>
      </c>
      <c r="CA432" t="s">
        <v>495</v>
      </c>
      <c r="CH432" t="s">
        <v>1553</v>
      </c>
      <c r="CI432" t="s">
        <v>2263</v>
      </c>
      <c r="CJ432" t="s">
        <v>1553</v>
      </c>
      <c r="CK432" t="s">
        <v>2071</v>
      </c>
      <c r="CL432" t="s">
        <v>396</v>
      </c>
      <c r="CN432">
        <v>0</v>
      </c>
      <c r="CO432">
        <v>1</v>
      </c>
      <c r="CP432" t="s">
        <v>437</v>
      </c>
      <c r="CQ432" t="s">
        <v>438</v>
      </c>
      <c r="CU432" t="s">
        <v>793</v>
      </c>
      <c r="CX432" t="s">
        <v>403</v>
      </c>
      <c r="CY432" t="s">
        <v>400</v>
      </c>
      <c r="CZ432">
        <v>0</v>
      </c>
      <c r="DD432">
        <v>0</v>
      </c>
      <c r="DE432" t="s">
        <v>570</v>
      </c>
      <c r="DF432" t="s">
        <v>406</v>
      </c>
      <c r="DG432" t="s">
        <v>407</v>
      </c>
      <c r="DH432">
        <v>1</v>
      </c>
      <c r="DI432">
        <v>1</v>
      </c>
      <c r="DK432" t="s">
        <v>8453</v>
      </c>
      <c r="DL432">
        <v>0</v>
      </c>
      <c r="DM432" t="s">
        <v>538</v>
      </c>
      <c r="DN432" t="s">
        <v>606</v>
      </c>
      <c r="DO432" t="s">
        <v>448</v>
      </c>
      <c r="DP432" t="s">
        <v>822</v>
      </c>
      <c r="DT432" t="s">
        <v>3025</v>
      </c>
      <c r="DX432" t="s">
        <v>830</v>
      </c>
      <c r="DY432" t="s">
        <v>8454</v>
      </c>
      <c r="DZ432" t="s">
        <v>8455</v>
      </c>
      <c r="EA432" t="s">
        <v>1351</v>
      </c>
      <c r="ED432" t="s">
        <v>632</v>
      </c>
      <c r="EE432" t="s">
        <v>454</v>
      </c>
      <c r="EG432" t="s">
        <v>615</v>
      </c>
      <c r="EP432" t="s">
        <v>548</v>
      </c>
      <c r="EQ432" t="s">
        <v>2071</v>
      </c>
      <c r="ER432">
        <v>0</v>
      </c>
      <c r="ES432">
        <v>0</v>
      </c>
      <c r="EU432">
        <v>0</v>
      </c>
    </row>
    <row r="433" spans="1:211" x14ac:dyDescent="0.25">
      <c r="A433" t="s">
        <v>8500</v>
      </c>
      <c r="B433" t="str">
        <f>"801542770488"</f>
        <v>801542770488</v>
      </c>
      <c r="C433" t="s">
        <v>8501</v>
      </c>
      <c r="D433" t="s">
        <v>4714</v>
      </c>
      <c r="E433" t="s">
        <v>515</v>
      </c>
      <c r="F433" t="s">
        <v>516</v>
      </c>
      <c r="G433" t="str">
        <f>"31.5"</f>
        <v>31.5</v>
      </c>
      <c r="H433" t="str">
        <f>"38"</f>
        <v>38</v>
      </c>
      <c r="I433" t="str">
        <f>"25.5"</f>
        <v>25.5</v>
      </c>
      <c r="J433" t="str">
        <f>"41.89"</f>
        <v>41.89</v>
      </c>
      <c r="K433" t="s">
        <v>3083</v>
      </c>
      <c r="N433" t="s">
        <v>1170</v>
      </c>
      <c r="O433" t="s">
        <v>3084</v>
      </c>
      <c r="T433" t="s">
        <v>373</v>
      </c>
      <c r="U433" t="s">
        <v>373</v>
      </c>
      <c r="V433" t="s">
        <v>8502</v>
      </c>
      <c r="W433" t="s">
        <v>8503</v>
      </c>
      <c r="X433" t="s">
        <v>8504</v>
      </c>
      <c r="Y433" t="s">
        <v>8505</v>
      </c>
      <c r="Z433" t="s">
        <v>8506</v>
      </c>
      <c r="AA433" t="s">
        <v>8507</v>
      </c>
      <c r="AB433" t="s">
        <v>8508</v>
      </c>
      <c r="AC433" t="s">
        <v>8509</v>
      </c>
      <c r="AD433" t="s">
        <v>8510</v>
      </c>
      <c r="AE433" t="s">
        <v>8511</v>
      </c>
      <c r="AF433" t="s">
        <v>8512</v>
      </c>
      <c r="AG433" t="s">
        <v>8513</v>
      </c>
      <c r="AH433" t="s">
        <v>8514</v>
      </c>
      <c r="AI433" t="s">
        <v>8515</v>
      </c>
      <c r="BA433" t="str">
        <f>"1099"</f>
        <v>1099</v>
      </c>
      <c r="BB433" t="str">
        <f>"465"</f>
        <v>465</v>
      </c>
      <c r="BC433" t="s">
        <v>388</v>
      </c>
      <c r="BD433" t="str">
        <f t="shared" si="98"/>
        <v>1</v>
      </c>
      <c r="BE433" t="s">
        <v>389</v>
      </c>
      <c r="BF433" t="str">
        <f>"38.98"</f>
        <v>38.98</v>
      </c>
      <c r="BG433" t="str">
        <f>"33.46"</f>
        <v>33.46</v>
      </c>
      <c r="BH433" t="str">
        <f>"25.98"</f>
        <v>25.98</v>
      </c>
      <c r="BI433" t="str">
        <f>"55.12"</f>
        <v>55.12</v>
      </c>
      <c r="BY433" t="str">
        <f>"19.6"</f>
        <v>19.6</v>
      </c>
      <c r="BZ433" t="str">
        <f>"0.555"</f>
        <v>0.555</v>
      </c>
      <c r="CA433" t="s">
        <v>495</v>
      </c>
      <c r="CK433" t="s">
        <v>1510</v>
      </c>
      <c r="CL433" t="s">
        <v>510</v>
      </c>
      <c r="CM433" t="s">
        <v>856</v>
      </c>
      <c r="CN433">
        <v>0</v>
      </c>
      <c r="CO433">
        <v>0</v>
      </c>
      <c r="CP433" t="s">
        <v>437</v>
      </c>
      <c r="CQ433" t="s">
        <v>399</v>
      </c>
      <c r="CX433" t="s">
        <v>403</v>
      </c>
      <c r="CY433" t="s">
        <v>400</v>
      </c>
      <c r="CZ433">
        <v>0</v>
      </c>
      <c r="DD433">
        <v>100000</v>
      </c>
      <c r="DE433" t="s">
        <v>439</v>
      </c>
      <c r="DH433">
        <v>0</v>
      </c>
      <c r="DI433">
        <v>1</v>
      </c>
      <c r="DK433" t="s">
        <v>8516</v>
      </c>
      <c r="DL433">
        <v>0</v>
      </c>
      <c r="DM433" t="s">
        <v>538</v>
      </c>
      <c r="DN433" t="s">
        <v>791</v>
      </c>
      <c r="DO433" t="s">
        <v>1156</v>
      </c>
      <c r="DP433" t="s">
        <v>1511</v>
      </c>
      <c r="DT433" t="s">
        <v>799</v>
      </c>
      <c r="DY433" t="s">
        <v>396</v>
      </c>
      <c r="DZ433" t="s">
        <v>856</v>
      </c>
      <c r="EA433" t="s">
        <v>635</v>
      </c>
      <c r="EG433" t="s">
        <v>2029</v>
      </c>
      <c r="ER433">
        <v>0</v>
      </c>
      <c r="ES433">
        <v>0</v>
      </c>
      <c r="EU433">
        <v>0</v>
      </c>
    </row>
    <row r="434" spans="1:211" x14ac:dyDescent="0.25">
      <c r="A434" t="s">
        <v>8517</v>
      </c>
      <c r="B434" t="str">
        <f>"801542773229"</f>
        <v>801542773229</v>
      </c>
      <c r="C434" t="s">
        <v>8518</v>
      </c>
      <c r="D434" t="s">
        <v>835</v>
      </c>
      <c r="E434" t="s">
        <v>2388</v>
      </c>
      <c r="G434" t="str">
        <f>"18"</f>
        <v>18</v>
      </c>
      <c r="H434" t="str">
        <f>"18"</f>
        <v>18</v>
      </c>
      <c r="I434" t="str">
        <f>"18.5"</f>
        <v>18.5</v>
      </c>
      <c r="J434" t="str">
        <f>"19.84"</f>
        <v>19.84</v>
      </c>
      <c r="K434" t="s">
        <v>6109</v>
      </c>
      <c r="L434" t="s">
        <v>838</v>
      </c>
      <c r="N434" t="s">
        <v>1916</v>
      </c>
      <c r="O434" t="s">
        <v>1917</v>
      </c>
      <c r="P434" t="s">
        <v>519</v>
      </c>
      <c r="T434" t="s">
        <v>373</v>
      </c>
      <c r="U434" t="s">
        <v>402</v>
      </c>
      <c r="V434" t="s">
        <v>8519</v>
      </c>
      <c r="W434" t="s">
        <v>8520</v>
      </c>
      <c r="X434" t="s">
        <v>8521</v>
      </c>
      <c r="Y434" t="s">
        <v>8522</v>
      </c>
      <c r="Z434" t="s">
        <v>8523</v>
      </c>
      <c r="AA434" t="s">
        <v>8524</v>
      </c>
      <c r="AB434" t="s">
        <v>8525</v>
      </c>
      <c r="AC434" t="s">
        <v>8526</v>
      </c>
      <c r="AD434" t="s">
        <v>8527</v>
      </c>
      <c r="AE434" t="s">
        <v>8528</v>
      </c>
      <c r="AF434" t="s">
        <v>8529</v>
      </c>
      <c r="AG434" t="s">
        <v>8530</v>
      </c>
      <c r="AH434" t="s">
        <v>8531</v>
      </c>
      <c r="BA434" t="str">
        <f>"599"</f>
        <v>599</v>
      </c>
      <c r="BB434" t="str">
        <f>"255"</f>
        <v>255</v>
      </c>
      <c r="BC434" t="s">
        <v>388</v>
      </c>
      <c r="BD434" t="str">
        <f t="shared" si="98"/>
        <v>1</v>
      </c>
      <c r="BE434" t="s">
        <v>389</v>
      </c>
      <c r="BF434" t="str">
        <f>"20.87"</f>
        <v>20.87</v>
      </c>
      <c r="BG434" t="str">
        <f>"20.87"</f>
        <v>20.87</v>
      </c>
      <c r="BH434" t="str">
        <f>"20.87"</f>
        <v>20.87</v>
      </c>
      <c r="BI434" t="str">
        <f>"28.66"</f>
        <v>28.66</v>
      </c>
      <c r="BY434" t="str">
        <f>"5.26"</f>
        <v>5.26</v>
      </c>
      <c r="BZ434" t="str">
        <f>"0.149"</f>
        <v>0.149</v>
      </c>
      <c r="CA434" t="s">
        <v>431</v>
      </c>
      <c r="CK434" t="s">
        <v>449</v>
      </c>
      <c r="CL434" t="s">
        <v>396</v>
      </c>
      <c r="CM434" t="s">
        <v>449</v>
      </c>
      <c r="CN434">
        <v>0</v>
      </c>
      <c r="CO434">
        <v>0</v>
      </c>
      <c r="CQ434" t="s">
        <v>631</v>
      </c>
      <c r="CR434" t="s">
        <v>400</v>
      </c>
      <c r="CS434">
        <v>0</v>
      </c>
      <c r="CT434" t="s">
        <v>400</v>
      </c>
      <c r="CV434">
        <v>0</v>
      </c>
      <c r="CX434" t="s">
        <v>403</v>
      </c>
      <c r="CY434" t="s">
        <v>400</v>
      </c>
      <c r="CZ434">
        <v>0</v>
      </c>
      <c r="DA434">
        <v>0</v>
      </c>
      <c r="DB434">
        <v>0</v>
      </c>
      <c r="DC434">
        <v>0</v>
      </c>
      <c r="DD434">
        <v>25000</v>
      </c>
      <c r="DE434" t="s">
        <v>405</v>
      </c>
      <c r="DF434" t="s">
        <v>632</v>
      </c>
      <c r="DH434">
        <v>1</v>
      </c>
      <c r="DI434">
        <v>1</v>
      </c>
      <c r="DJ434" t="s">
        <v>471</v>
      </c>
      <c r="DK434" t="s">
        <v>8532</v>
      </c>
      <c r="DL434">
        <v>0</v>
      </c>
      <c r="DM434" t="s">
        <v>538</v>
      </c>
      <c r="DX434" t="s">
        <v>640</v>
      </c>
      <c r="DY434" t="s">
        <v>1159</v>
      </c>
      <c r="DZ434" t="s">
        <v>1159</v>
      </c>
      <c r="EG434" t="s">
        <v>2029</v>
      </c>
    </row>
    <row r="435" spans="1:211" x14ac:dyDescent="0.25">
      <c r="A435" t="s">
        <v>8533</v>
      </c>
      <c r="B435" t="str">
        <f>"801542066758"</f>
        <v>801542066758</v>
      </c>
      <c r="C435" t="s">
        <v>8534</v>
      </c>
      <c r="D435" t="s">
        <v>769</v>
      </c>
      <c r="E435" t="s">
        <v>515</v>
      </c>
      <c r="F435" t="s">
        <v>516</v>
      </c>
      <c r="G435" t="str">
        <f>"30"</f>
        <v>30</v>
      </c>
      <c r="H435" t="str">
        <f>"34.25"</f>
        <v>34.25</v>
      </c>
      <c r="I435" t="str">
        <f>"32"</f>
        <v>32</v>
      </c>
      <c r="J435" t="str">
        <f>"44.09"</f>
        <v>44.09</v>
      </c>
      <c r="K435" t="s">
        <v>1576</v>
      </c>
      <c r="L435" t="s">
        <v>4748</v>
      </c>
      <c r="N435" t="s">
        <v>416</v>
      </c>
      <c r="O435" t="s">
        <v>519</v>
      </c>
      <c r="T435" t="s">
        <v>373</v>
      </c>
      <c r="U435" t="s">
        <v>373</v>
      </c>
      <c r="V435" t="s">
        <v>8535</v>
      </c>
      <c r="W435" t="s">
        <v>8536</v>
      </c>
      <c r="X435" t="s">
        <v>8537</v>
      </c>
      <c r="Y435" t="s">
        <v>8538</v>
      </c>
      <c r="Z435" t="s">
        <v>8539</v>
      </c>
      <c r="AA435" t="s">
        <v>8540</v>
      </c>
      <c r="AB435" t="s">
        <v>8541</v>
      </c>
      <c r="AC435" t="s">
        <v>8542</v>
      </c>
      <c r="AD435" t="s">
        <v>8543</v>
      </c>
      <c r="AE435" t="s">
        <v>8544</v>
      </c>
      <c r="AF435" t="s">
        <v>8545</v>
      </c>
      <c r="AG435" t="s">
        <v>8546</v>
      </c>
      <c r="AH435" t="s">
        <v>8547</v>
      </c>
      <c r="BA435" t="str">
        <f>"1749"</f>
        <v>1749</v>
      </c>
      <c r="BB435" t="str">
        <f>"735"</f>
        <v>735</v>
      </c>
      <c r="BC435" t="s">
        <v>388</v>
      </c>
      <c r="BD435" t="str">
        <f t="shared" si="98"/>
        <v>1</v>
      </c>
      <c r="BE435" t="s">
        <v>8548</v>
      </c>
      <c r="BF435" t="str">
        <f>"33.07"</f>
        <v>33.07</v>
      </c>
      <c r="BG435" t="str">
        <f>"38.58"</f>
        <v>38.58</v>
      </c>
      <c r="BH435" t="str">
        <f>"32.28"</f>
        <v>32.28</v>
      </c>
      <c r="BI435" t="str">
        <f>"61.73"</f>
        <v>61.73</v>
      </c>
      <c r="BY435" t="str">
        <f>"20.62"</f>
        <v>20.62</v>
      </c>
      <c r="BZ435" t="str">
        <f>"0.584"</f>
        <v>0.584</v>
      </c>
      <c r="CA435" t="s">
        <v>431</v>
      </c>
      <c r="CH435" t="s">
        <v>601</v>
      </c>
      <c r="CI435" t="s">
        <v>446</v>
      </c>
      <c r="CJ435" t="s">
        <v>796</v>
      </c>
      <c r="CK435" t="s">
        <v>1491</v>
      </c>
      <c r="CL435" t="s">
        <v>474</v>
      </c>
      <c r="CN435">
        <v>0</v>
      </c>
      <c r="CO435">
        <v>1</v>
      </c>
      <c r="CP435" t="s">
        <v>437</v>
      </c>
      <c r="CQ435" t="s">
        <v>438</v>
      </c>
      <c r="CX435" t="s">
        <v>667</v>
      </c>
      <c r="CY435" t="s">
        <v>400</v>
      </c>
      <c r="CZ435">
        <v>0</v>
      </c>
      <c r="DD435">
        <v>0</v>
      </c>
      <c r="DE435" t="s">
        <v>1892</v>
      </c>
      <c r="DF435" t="s">
        <v>2640</v>
      </c>
      <c r="DG435" t="s">
        <v>2380</v>
      </c>
      <c r="DH435">
        <v>1</v>
      </c>
      <c r="DI435">
        <v>1</v>
      </c>
      <c r="DK435" t="s">
        <v>8549</v>
      </c>
      <c r="DL435">
        <v>0</v>
      </c>
      <c r="DM435" t="s">
        <v>538</v>
      </c>
      <c r="DN435" t="s">
        <v>856</v>
      </c>
      <c r="DO435" t="s">
        <v>2599</v>
      </c>
      <c r="DP435" t="s">
        <v>601</v>
      </c>
      <c r="DT435" t="s">
        <v>2080</v>
      </c>
      <c r="DU435" t="s">
        <v>446</v>
      </c>
      <c r="DV435" t="s">
        <v>791</v>
      </c>
      <c r="DW435" t="s">
        <v>638</v>
      </c>
      <c r="DX435" t="s">
        <v>4515</v>
      </c>
      <c r="DY435" t="s">
        <v>600</v>
      </c>
      <c r="DZ435" t="s">
        <v>796</v>
      </c>
      <c r="EA435" t="s">
        <v>474</v>
      </c>
      <c r="ED435" t="s">
        <v>2640</v>
      </c>
      <c r="EE435" t="s">
        <v>2380</v>
      </c>
      <c r="EG435" t="s">
        <v>2361</v>
      </c>
      <c r="EP435" t="s">
        <v>601</v>
      </c>
      <c r="EQ435" t="s">
        <v>796</v>
      </c>
      <c r="ER435">
        <v>0</v>
      </c>
      <c r="ES435">
        <v>0</v>
      </c>
      <c r="ET435" t="s">
        <v>549</v>
      </c>
      <c r="EU435">
        <v>0</v>
      </c>
    </row>
    <row r="436" spans="1:211" x14ac:dyDescent="0.25">
      <c r="A436" t="s">
        <v>8550</v>
      </c>
      <c r="B436" t="str">
        <f>"801542066765"</f>
        <v>801542066765</v>
      </c>
      <c r="C436" t="s">
        <v>8551</v>
      </c>
      <c r="D436" t="s">
        <v>769</v>
      </c>
      <c r="E436" t="s">
        <v>515</v>
      </c>
      <c r="F436" t="s">
        <v>516</v>
      </c>
      <c r="G436" t="str">
        <f>"30"</f>
        <v>30</v>
      </c>
      <c r="H436" t="str">
        <f>"34.25"</f>
        <v>34.25</v>
      </c>
      <c r="I436" t="str">
        <f>"32"</f>
        <v>32</v>
      </c>
      <c r="J436" t="str">
        <f>"44.09"</f>
        <v>44.09</v>
      </c>
      <c r="K436" t="s">
        <v>2310</v>
      </c>
      <c r="L436" t="s">
        <v>4748</v>
      </c>
      <c r="N436" t="s">
        <v>416</v>
      </c>
      <c r="O436" t="s">
        <v>519</v>
      </c>
      <c r="T436" t="s">
        <v>373</v>
      </c>
      <c r="U436" t="s">
        <v>373</v>
      </c>
      <c r="V436" t="s">
        <v>8552</v>
      </c>
      <c r="W436" t="s">
        <v>8553</v>
      </c>
      <c r="X436" t="s">
        <v>8554</v>
      </c>
      <c r="Y436" t="s">
        <v>8555</v>
      </c>
      <c r="Z436" t="s">
        <v>8556</v>
      </c>
      <c r="AA436" t="s">
        <v>8557</v>
      </c>
      <c r="AB436" t="s">
        <v>8558</v>
      </c>
      <c r="AC436" t="s">
        <v>8559</v>
      </c>
      <c r="AD436" t="s">
        <v>2319</v>
      </c>
      <c r="AE436" t="s">
        <v>8560</v>
      </c>
      <c r="AF436" t="s">
        <v>8561</v>
      </c>
      <c r="AG436" t="s">
        <v>8562</v>
      </c>
      <c r="AH436" t="s">
        <v>8563</v>
      </c>
      <c r="AI436" t="s">
        <v>8564</v>
      </c>
      <c r="BA436" t="str">
        <f>"1749"</f>
        <v>1749</v>
      </c>
      <c r="BB436" t="str">
        <f>"735"</f>
        <v>735</v>
      </c>
      <c r="BC436" t="s">
        <v>388</v>
      </c>
      <c r="BD436" t="str">
        <f t="shared" si="98"/>
        <v>1</v>
      </c>
      <c r="BE436" t="s">
        <v>8548</v>
      </c>
      <c r="BF436" t="str">
        <f>"33.07"</f>
        <v>33.07</v>
      </c>
      <c r="BG436" t="str">
        <f>"38.58"</f>
        <v>38.58</v>
      </c>
      <c r="BH436" t="str">
        <f>"32.28"</f>
        <v>32.28</v>
      </c>
      <c r="BI436" t="str">
        <f>"61.73"</f>
        <v>61.73</v>
      </c>
      <c r="BY436" t="str">
        <f>"20.62"</f>
        <v>20.62</v>
      </c>
      <c r="BZ436" t="str">
        <f>"0.584"</f>
        <v>0.584</v>
      </c>
      <c r="CA436" t="s">
        <v>431</v>
      </c>
      <c r="CH436" t="s">
        <v>601</v>
      </c>
      <c r="CI436" t="s">
        <v>446</v>
      </c>
      <c r="CJ436" t="s">
        <v>796</v>
      </c>
      <c r="CK436" t="s">
        <v>1491</v>
      </c>
      <c r="CL436" t="s">
        <v>474</v>
      </c>
      <c r="CN436">
        <v>0</v>
      </c>
      <c r="CO436">
        <v>1</v>
      </c>
      <c r="CP436" t="s">
        <v>437</v>
      </c>
      <c r="CQ436" t="s">
        <v>438</v>
      </c>
      <c r="CX436" t="s">
        <v>667</v>
      </c>
      <c r="CY436" t="s">
        <v>400</v>
      </c>
      <c r="CZ436">
        <v>0</v>
      </c>
      <c r="DD436">
        <v>0</v>
      </c>
      <c r="DE436" t="s">
        <v>1892</v>
      </c>
      <c r="DF436" t="s">
        <v>2640</v>
      </c>
      <c r="DG436" t="s">
        <v>2380</v>
      </c>
      <c r="DH436">
        <v>1</v>
      </c>
      <c r="DI436">
        <v>1</v>
      </c>
      <c r="DK436" t="s">
        <v>8549</v>
      </c>
      <c r="DL436">
        <v>0</v>
      </c>
      <c r="DM436" t="s">
        <v>538</v>
      </c>
      <c r="DN436" t="s">
        <v>856</v>
      </c>
      <c r="DO436" t="s">
        <v>2599</v>
      </c>
      <c r="DP436" t="s">
        <v>601</v>
      </c>
      <c r="DT436" t="s">
        <v>2080</v>
      </c>
      <c r="DU436" t="s">
        <v>446</v>
      </c>
      <c r="DV436" t="s">
        <v>791</v>
      </c>
      <c r="DW436" t="s">
        <v>638</v>
      </c>
      <c r="DX436" t="s">
        <v>4515</v>
      </c>
      <c r="DY436" t="s">
        <v>600</v>
      </c>
      <c r="DZ436" t="s">
        <v>796</v>
      </c>
      <c r="EA436" t="s">
        <v>474</v>
      </c>
      <c r="ED436" t="s">
        <v>2640</v>
      </c>
      <c r="EE436" t="s">
        <v>2380</v>
      </c>
      <c r="EG436" t="s">
        <v>2361</v>
      </c>
      <c r="EP436" t="s">
        <v>601</v>
      </c>
      <c r="EQ436" t="s">
        <v>796</v>
      </c>
      <c r="ER436">
        <v>0</v>
      </c>
      <c r="ES436">
        <v>0</v>
      </c>
      <c r="ET436" t="s">
        <v>549</v>
      </c>
      <c r="EU436">
        <v>0</v>
      </c>
    </row>
    <row r="437" spans="1:211" x14ac:dyDescent="0.25">
      <c r="A437" t="s">
        <v>8565</v>
      </c>
      <c r="B437" t="str">
        <f>"801542993450"</f>
        <v>801542993450</v>
      </c>
      <c r="C437" t="s">
        <v>8566</v>
      </c>
      <c r="D437" t="s">
        <v>769</v>
      </c>
      <c r="E437" t="s">
        <v>515</v>
      </c>
      <c r="F437" t="s">
        <v>516</v>
      </c>
      <c r="G437" t="str">
        <f>"30"</f>
        <v>30</v>
      </c>
      <c r="H437" t="str">
        <f>"34.25"</f>
        <v>34.25</v>
      </c>
      <c r="I437" t="str">
        <f>"32"</f>
        <v>32</v>
      </c>
      <c r="J437" t="str">
        <f>"44.09"</f>
        <v>44.09</v>
      </c>
      <c r="K437" t="s">
        <v>584</v>
      </c>
      <c r="L437" t="s">
        <v>4748</v>
      </c>
      <c r="N437" t="s">
        <v>416</v>
      </c>
      <c r="O437" t="s">
        <v>519</v>
      </c>
      <c r="T437" t="s">
        <v>373</v>
      </c>
      <c r="U437" t="s">
        <v>373</v>
      </c>
      <c r="V437" t="s">
        <v>8567</v>
      </c>
      <c r="W437" t="s">
        <v>8568</v>
      </c>
      <c r="X437" t="s">
        <v>8569</v>
      </c>
      <c r="Y437" t="s">
        <v>8570</v>
      </c>
      <c r="Z437" t="s">
        <v>8571</v>
      </c>
      <c r="AA437" t="s">
        <v>8572</v>
      </c>
      <c r="AB437" t="s">
        <v>8573</v>
      </c>
      <c r="AC437" t="s">
        <v>8574</v>
      </c>
      <c r="AD437" t="s">
        <v>8575</v>
      </c>
      <c r="AE437" t="s">
        <v>8576</v>
      </c>
      <c r="AF437" t="s">
        <v>8577</v>
      </c>
      <c r="AG437" t="s">
        <v>8578</v>
      </c>
      <c r="AH437" t="s">
        <v>8579</v>
      </c>
      <c r="BA437" t="str">
        <f>"1849"</f>
        <v>1849</v>
      </c>
      <c r="BB437" t="str">
        <f>"780"</f>
        <v>780</v>
      </c>
      <c r="BC437" t="s">
        <v>388</v>
      </c>
      <c r="BD437" t="str">
        <f t="shared" si="98"/>
        <v>1</v>
      </c>
      <c r="BE437" t="s">
        <v>8548</v>
      </c>
      <c r="BF437" t="str">
        <f>"33.07"</f>
        <v>33.07</v>
      </c>
      <c r="BG437" t="str">
        <f>"38.58"</f>
        <v>38.58</v>
      </c>
      <c r="BH437" t="str">
        <f>"33.46"</f>
        <v>33.46</v>
      </c>
      <c r="BI437" t="str">
        <f>"61.73"</f>
        <v>61.73</v>
      </c>
      <c r="BY437" t="str">
        <f>"20.62"</f>
        <v>20.62</v>
      </c>
      <c r="BZ437" t="str">
        <f>"0.584"</f>
        <v>0.584</v>
      </c>
      <c r="CA437" t="s">
        <v>431</v>
      </c>
      <c r="CH437" t="s">
        <v>601</v>
      </c>
      <c r="CI437" t="s">
        <v>446</v>
      </c>
      <c r="CJ437" t="s">
        <v>796</v>
      </c>
      <c r="CK437" t="s">
        <v>1491</v>
      </c>
      <c r="CL437" t="s">
        <v>474</v>
      </c>
      <c r="CN437">
        <v>0</v>
      </c>
      <c r="CO437">
        <v>1</v>
      </c>
      <c r="CP437" t="s">
        <v>437</v>
      </c>
      <c r="CQ437" t="s">
        <v>438</v>
      </c>
      <c r="CX437" t="s">
        <v>667</v>
      </c>
      <c r="CY437" t="s">
        <v>400</v>
      </c>
      <c r="CZ437">
        <v>0</v>
      </c>
      <c r="DD437">
        <v>0</v>
      </c>
      <c r="DE437" t="s">
        <v>1892</v>
      </c>
      <c r="DF437" t="s">
        <v>2640</v>
      </c>
      <c r="DG437" t="s">
        <v>2380</v>
      </c>
      <c r="DH437">
        <v>1</v>
      </c>
      <c r="DI437">
        <v>1</v>
      </c>
      <c r="DK437" t="s">
        <v>8549</v>
      </c>
      <c r="DL437">
        <v>0</v>
      </c>
      <c r="DM437" t="s">
        <v>538</v>
      </c>
      <c r="DN437" t="s">
        <v>856</v>
      </c>
      <c r="DO437" t="s">
        <v>2599</v>
      </c>
      <c r="DP437" t="s">
        <v>601</v>
      </c>
      <c r="DT437" t="s">
        <v>2080</v>
      </c>
      <c r="DU437" t="s">
        <v>446</v>
      </c>
      <c r="DV437" t="s">
        <v>791</v>
      </c>
      <c r="DW437" t="s">
        <v>638</v>
      </c>
      <c r="DX437" t="s">
        <v>4515</v>
      </c>
      <c r="DY437" t="s">
        <v>600</v>
      </c>
      <c r="DZ437" t="s">
        <v>796</v>
      </c>
      <c r="EA437" t="s">
        <v>474</v>
      </c>
      <c r="ED437" t="s">
        <v>2640</v>
      </c>
      <c r="EE437" t="s">
        <v>2380</v>
      </c>
      <c r="EG437" t="s">
        <v>2361</v>
      </c>
      <c r="EP437" t="s">
        <v>601</v>
      </c>
      <c r="EQ437" t="s">
        <v>796</v>
      </c>
      <c r="ER437">
        <v>0</v>
      </c>
      <c r="ES437">
        <v>0</v>
      </c>
      <c r="ET437" t="s">
        <v>549</v>
      </c>
      <c r="EU437">
        <v>0</v>
      </c>
    </row>
    <row r="438" spans="1:211" x14ac:dyDescent="0.25">
      <c r="A438" t="s">
        <v>8580</v>
      </c>
      <c r="B438" t="str">
        <f>"801542091682"</f>
        <v>801542091682</v>
      </c>
      <c r="C438" t="s">
        <v>8581</v>
      </c>
      <c r="D438" t="s">
        <v>1420</v>
      </c>
      <c r="E438" t="s">
        <v>988</v>
      </c>
      <c r="G438" t="str">
        <f>"68.75"</f>
        <v>68.75</v>
      </c>
      <c r="H438" t="str">
        <f>"17.5"</f>
        <v>17.5</v>
      </c>
      <c r="I438" t="str">
        <f>"34.25"</f>
        <v>34.25</v>
      </c>
      <c r="J438" t="str">
        <f>"212.74"</f>
        <v>212.74</v>
      </c>
      <c r="K438" t="s">
        <v>8065</v>
      </c>
      <c r="N438" t="s">
        <v>1970</v>
      </c>
      <c r="O438" t="s">
        <v>372</v>
      </c>
      <c r="T438" t="s">
        <v>373</v>
      </c>
      <c r="U438" t="s">
        <v>373</v>
      </c>
      <c r="V438" t="s">
        <v>8582</v>
      </c>
      <c r="W438" t="s">
        <v>8583</v>
      </c>
      <c r="X438" t="s">
        <v>8584</v>
      </c>
      <c r="Y438" t="s">
        <v>8585</v>
      </c>
      <c r="Z438" t="s">
        <v>8586</v>
      </c>
      <c r="AA438" t="s">
        <v>8587</v>
      </c>
      <c r="AB438" t="s">
        <v>8588</v>
      </c>
      <c r="AC438" t="s">
        <v>8589</v>
      </c>
      <c r="AD438" t="s">
        <v>8590</v>
      </c>
      <c r="AE438" t="s">
        <v>8591</v>
      </c>
      <c r="AF438" t="s">
        <v>8592</v>
      </c>
      <c r="AG438" t="s">
        <v>8593</v>
      </c>
      <c r="AH438" t="s">
        <v>8594</v>
      </c>
      <c r="AI438" t="s">
        <v>8595</v>
      </c>
      <c r="AJ438" t="s">
        <v>8596</v>
      </c>
      <c r="AK438" t="s">
        <v>8597</v>
      </c>
      <c r="AL438" t="s">
        <v>8598</v>
      </c>
      <c r="AM438" t="s">
        <v>8599</v>
      </c>
      <c r="AN438" t="s">
        <v>8600</v>
      </c>
      <c r="AO438" t="s">
        <v>8601</v>
      </c>
      <c r="AP438" t="s">
        <v>8602</v>
      </c>
      <c r="AQ438" t="s">
        <v>8603</v>
      </c>
      <c r="AR438" t="s">
        <v>8604</v>
      </c>
      <c r="AS438" t="s">
        <v>8605</v>
      </c>
      <c r="AT438" t="s">
        <v>8606</v>
      </c>
      <c r="AU438" t="s">
        <v>8607</v>
      </c>
      <c r="AV438" t="s">
        <v>8608</v>
      </c>
      <c r="AW438" t="s">
        <v>8609</v>
      </c>
      <c r="BA438" t="str">
        <f>"2099"</f>
        <v>2099</v>
      </c>
      <c r="BB438" t="str">
        <f>"885"</f>
        <v>885</v>
      </c>
      <c r="BC438" t="s">
        <v>665</v>
      </c>
      <c r="BD438" t="str">
        <f t="shared" si="98"/>
        <v>1</v>
      </c>
      <c r="BE438" t="s">
        <v>1266</v>
      </c>
      <c r="BF438" t="str">
        <f>"72.64"</f>
        <v>72.64</v>
      </c>
      <c r="BG438" t="str">
        <f>"21.46"</f>
        <v>21.46</v>
      </c>
      <c r="BH438" t="str">
        <f>"39.76"</f>
        <v>39.76</v>
      </c>
      <c r="BI438" t="str">
        <f>"249.12"</f>
        <v>249.12</v>
      </c>
      <c r="BY438" t="str">
        <f>"35.88"</f>
        <v>35.88</v>
      </c>
      <c r="BZ438" t="str">
        <f>"1.016"</f>
        <v>1.016</v>
      </c>
      <c r="CA438" t="s">
        <v>495</v>
      </c>
      <c r="CR438" t="s">
        <v>1343</v>
      </c>
      <c r="CS438">
        <v>6</v>
      </c>
      <c r="CT438" t="s">
        <v>1312</v>
      </c>
      <c r="CV438">
        <v>0</v>
      </c>
      <c r="CX438" t="s">
        <v>1980</v>
      </c>
      <c r="CY438" t="s">
        <v>1009</v>
      </c>
      <c r="DC438">
        <v>0</v>
      </c>
      <c r="DJ438" t="s">
        <v>1010</v>
      </c>
      <c r="DK438" t="s">
        <v>8082</v>
      </c>
      <c r="DM438" t="s">
        <v>473</v>
      </c>
      <c r="DX438" t="s">
        <v>3079</v>
      </c>
      <c r="EN438">
        <v>0</v>
      </c>
      <c r="FI438">
        <v>0</v>
      </c>
      <c r="FJ438" t="s">
        <v>1012</v>
      </c>
      <c r="FR438" t="s">
        <v>8084</v>
      </c>
      <c r="FS438" t="s">
        <v>8084</v>
      </c>
      <c r="FT438" t="s">
        <v>8610</v>
      </c>
      <c r="FU438" t="s">
        <v>8611</v>
      </c>
      <c r="FV438" t="s">
        <v>6162</v>
      </c>
      <c r="FW438" t="s">
        <v>6162</v>
      </c>
      <c r="FX438" t="s">
        <v>1008</v>
      </c>
      <c r="FZ438" t="s">
        <v>1018</v>
      </c>
      <c r="GA438" t="s">
        <v>402</v>
      </c>
      <c r="GY438" t="s">
        <v>8084</v>
      </c>
      <c r="HA438" t="s">
        <v>8612</v>
      </c>
      <c r="HC438" t="s">
        <v>6162</v>
      </c>
    </row>
    <row r="439" spans="1:211" x14ac:dyDescent="0.25">
      <c r="A439" t="s">
        <v>8613</v>
      </c>
      <c r="B439" t="str">
        <f>"801542091675"</f>
        <v>801542091675</v>
      </c>
      <c r="C439" t="s">
        <v>8614</v>
      </c>
      <c r="D439" t="s">
        <v>1420</v>
      </c>
      <c r="E439" t="s">
        <v>988</v>
      </c>
      <c r="G439" t="str">
        <f>"34"</f>
        <v>34</v>
      </c>
      <c r="H439" t="str">
        <f>"17.5"</f>
        <v>17.5</v>
      </c>
      <c r="I439" t="str">
        <f>"44"</f>
        <v>44</v>
      </c>
      <c r="J439" t="str">
        <f>"159.83"</f>
        <v>159.83</v>
      </c>
      <c r="K439" t="s">
        <v>8065</v>
      </c>
      <c r="N439" t="s">
        <v>1970</v>
      </c>
      <c r="O439" t="s">
        <v>372</v>
      </c>
      <c r="T439" t="s">
        <v>373</v>
      </c>
      <c r="U439" t="s">
        <v>373</v>
      </c>
      <c r="V439" t="s">
        <v>8615</v>
      </c>
      <c r="W439" t="s">
        <v>8616</v>
      </c>
      <c r="X439" t="s">
        <v>8617</v>
      </c>
      <c r="Y439" t="s">
        <v>8618</v>
      </c>
      <c r="Z439" t="s">
        <v>8619</v>
      </c>
      <c r="AA439" t="s">
        <v>8620</v>
      </c>
      <c r="AB439" t="s">
        <v>8621</v>
      </c>
      <c r="AC439" t="s">
        <v>8622</v>
      </c>
      <c r="AD439" t="s">
        <v>8623</v>
      </c>
      <c r="AE439" t="s">
        <v>8624</v>
      </c>
      <c r="AF439" t="s">
        <v>8625</v>
      </c>
      <c r="AG439" t="s">
        <v>8626</v>
      </c>
      <c r="AH439" t="s">
        <v>8627</v>
      </c>
      <c r="AI439" t="s">
        <v>8628</v>
      </c>
      <c r="BA439" t="str">
        <f>"1599"</f>
        <v>1599</v>
      </c>
      <c r="BB439" t="str">
        <f>"675"</f>
        <v>675</v>
      </c>
      <c r="BC439" t="s">
        <v>665</v>
      </c>
      <c r="BD439" t="str">
        <f t="shared" si="98"/>
        <v>1</v>
      </c>
      <c r="BE439" t="s">
        <v>1266</v>
      </c>
      <c r="BF439" t="str">
        <f>"37.8"</f>
        <v>37.8</v>
      </c>
      <c r="BG439" t="str">
        <f>"21.46"</f>
        <v>21.46</v>
      </c>
      <c r="BH439" t="str">
        <f>"49.61"</f>
        <v>49.61</v>
      </c>
      <c r="BI439" t="str">
        <f>"185.19"</f>
        <v>185.19</v>
      </c>
      <c r="BY439" t="str">
        <f>"23.27"</f>
        <v>23.27</v>
      </c>
      <c r="BZ439" t="str">
        <f>"0.659"</f>
        <v>0.659</v>
      </c>
      <c r="CA439" t="s">
        <v>390</v>
      </c>
      <c r="CR439" t="s">
        <v>1343</v>
      </c>
      <c r="CS439">
        <v>5</v>
      </c>
      <c r="CT439" t="s">
        <v>1312</v>
      </c>
      <c r="CV439">
        <v>0</v>
      </c>
      <c r="CX439" t="s">
        <v>1980</v>
      </c>
      <c r="CY439" t="s">
        <v>1009</v>
      </c>
      <c r="DC439">
        <v>0</v>
      </c>
      <c r="DJ439" t="s">
        <v>1267</v>
      </c>
      <c r="DK439" t="s">
        <v>8082</v>
      </c>
      <c r="DM439" t="s">
        <v>473</v>
      </c>
      <c r="DX439" t="s">
        <v>742</v>
      </c>
      <c r="EN439">
        <v>0</v>
      </c>
      <c r="FI439">
        <v>0</v>
      </c>
      <c r="FJ439" t="s">
        <v>1012</v>
      </c>
      <c r="FR439" t="s">
        <v>8084</v>
      </c>
      <c r="FS439" t="s">
        <v>8084</v>
      </c>
      <c r="FT439" t="s">
        <v>8629</v>
      </c>
      <c r="FU439" t="s">
        <v>8630</v>
      </c>
      <c r="FV439" t="s">
        <v>8631</v>
      </c>
      <c r="FW439" t="s">
        <v>8631</v>
      </c>
      <c r="FX439" t="s">
        <v>1008</v>
      </c>
      <c r="FZ439" t="s">
        <v>1018</v>
      </c>
      <c r="GA439" t="s">
        <v>402</v>
      </c>
      <c r="GY439" t="s">
        <v>8084</v>
      </c>
      <c r="HA439" t="s">
        <v>8632</v>
      </c>
      <c r="HC439" t="s">
        <v>8631</v>
      </c>
    </row>
    <row r="440" spans="1:211" x14ac:dyDescent="0.25">
      <c r="A440" t="s">
        <v>8633</v>
      </c>
      <c r="B440" t="str">
        <f>"801542091699"</f>
        <v>801542091699</v>
      </c>
      <c r="C440" t="s">
        <v>8634</v>
      </c>
      <c r="D440" t="s">
        <v>1420</v>
      </c>
      <c r="E440" t="s">
        <v>1043</v>
      </c>
      <c r="G440" t="str">
        <f>"22"</f>
        <v>22</v>
      </c>
      <c r="H440" t="str">
        <f>"17.75"</f>
        <v>17.75</v>
      </c>
      <c r="I440" t="str">
        <f>"25"</f>
        <v>25</v>
      </c>
      <c r="J440" t="str">
        <f>"52.91"</f>
        <v>52.91</v>
      </c>
      <c r="K440" t="s">
        <v>8065</v>
      </c>
      <c r="N440" t="s">
        <v>1970</v>
      </c>
      <c r="O440" t="s">
        <v>372</v>
      </c>
      <c r="T440" t="s">
        <v>373</v>
      </c>
      <c r="U440" t="s">
        <v>373</v>
      </c>
      <c r="V440" t="s">
        <v>8635</v>
      </c>
      <c r="W440" t="s">
        <v>8636</v>
      </c>
      <c r="X440" t="s">
        <v>8637</v>
      </c>
      <c r="Y440" t="s">
        <v>8638</v>
      </c>
      <c r="Z440" t="s">
        <v>8639</v>
      </c>
      <c r="AA440" t="s">
        <v>8640</v>
      </c>
      <c r="AB440" t="s">
        <v>8641</v>
      </c>
      <c r="AC440" t="s">
        <v>8642</v>
      </c>
      <c r="AD440" t="s">
        <v>8643</v>
      </c>
      <c r="AE440" t="s">
        <v>8644</v>
      </c>
      <c r="AF440" t="s">
        <v>8645</v>
      </c>
      <c r="AG440" t="s">
        <v>8646</v>
      </c>
      <c r="AH440" t="s">
        <v>8647</v>
      </c>
      <c r="AI440" t="s">
        <v>8648</v>
      </c>
      <c r="BA440" t="str">
        <f>"699"</f>
        <v>699</v>
      </c>
      <c r="BB440" t="str">
        <f>"295"</f>
        <v>295</v>
      </c>
      <c r="BC440" t="s">
        <v>665</v>
      </c>
      <c r="BD440" t="str">
        <f t="shared" si="98"/>
        <v>1</v>
      </c>
      <c r="BE440" t="s">
        <v>1266</v>
      </c>
      <c r="BF440" t="str">
        <f>"25.98"</f>
        <v>25.98</v>
      </c>
      <c r="BG440" t="str">
        <f>"21.46"</f>
        <v>21.46</v>
      </c>
      <c r="BH440" t="str">
        <f>"30.91"</f>
        <v>30.91</v>
      </c>
      <c r="BI440" t="str">
        <f>"68.34"</f>
        <v>68.34</v>
      </c>
      <c r="BY440" t="str">
        <f>"9.96"</f>
        <v>9.96</v>
      </c>
      <c r="BZ440" t="str">
        <f>"0.282"</f>
        <v>0.282</v>
      </c>
      <c r="CA440" t="s">
        <v>495</v>
      </c>
      <c r="CR440" t="s">
        <v>1343</v>
      </c>
      <c r="CS440">
        <v>2</v>
      </c>
      <c r="CT440" t="s">
        <v>1008</v>
      </c>
      <c r="CV440">
        <v>0</v>
      </c>
      <c r="CX440" t="s">
        <v>1980</v>
      </c>
      <c r="CY440" t="s">
        <v>1009</v>
      </c>
      <c r="DC440">
        <v>0</v>
      </c>
      <c r="DJ440" t="s">
        <v>408</v>
      </c>
      <c r="DK440" t="s">
        <v>8082</v>
      </c>
      <c r="DM440" t="s">
        <v>473</v>
      </c>
      <c r="DX440" t="s">
        <v>742</v>
      </c>
      <c r="EN440">
        <v>0</v>
      </c>
      <c r="FI440">
        <v>0</v>
      </c>
      <c r="FJ440" t="s">
        <v>1012</v>
      </c>
      <c r="FR440" t="s">
        <v>8084</v>
      </c>
      <c r="FS440" t="s">
        <v>4207</v>
      </c>
      <c r="FT440" t="s">
        <v>7678</v>
      </c>
      <c r="FU440" t="s">
        <v>575</v>
      </c>
      <c r="FV440" t="s">
        <v>8649</v>
      </c>
      <c r="FW440" t="s">
        <v>8649</v>
      </c>
      <c r="FX440" t="s">
        <v>1008</v>
      </c>
      <c r="FZ440" t="s">
        <v>1018</v>
      </c>
      <c r="GA440" t="s">
        <v>402</v>
      </c>
    </row>
    <row r="441" spans="1:211" x14ac:dyDescent="0.25">
      <c r="A441" t="s">
        <v>8650</v>
      </c>
      <c r="B441" t="str">
        <f>"801542750251"</f>
        <v>801542750251</v>
      </c>
      <c r="C441" t="s">
        <v>8651</v>
      </c>
      <c r="D441" t="s">
        <v>8652</v>
      </c>
      <c r="E441" t="s">
        <v>1077</v>
      </c>
      <c r="G441" t="str">
        <f>"39.25"</f>
        <v>39.25</v>
      </c>
      <c r="H441" t="str">
        <f>"39.25"</f>
        <v>39.25</v>
      </c>
      <c r="I441" t="str">
        <f>"15"</f>
        <v>15</v>
      </c>
      <c r="J441" t="str">
        <f>"78.04"</f>
        <v>78.04</v>
      </c>
      <c r="K441" t="s">
        <v>8653</v>
      </c>
      <c r="N441" t="s">
        <v>6389</v>
      </c>
      <c r="T441" t="s">
        <v>373</v>
      </c>
      <c r="U441" t="s">
        <v>373</v>
      </c>
      <c r="V441" t="s">
        <v>8654</v>
      </c>
      <c r="W441" t="s">
        <v>8655</v>
      </c>
      <c r="X441" t="s">
        <v>8656</v>
      </c>
      <c r="Y441" t="s">
        <v>8657</v>
      </c>
      <c r="Z441" t="s">
        <v>8658</v>
      </c>
      <c r="AA441" t="s">
        <v>8659</v>
      </c>
      <c r="AB441" t="s">
        <v>8660</v>
      </c>
      <c r="AC441" t="s">
        <v>8661</v>
      </c>
      <c r="AD441" t="s">
        <v>8662</v>
      </c>
      <c r="AE441" t="s">
        <v>8663</v>
      </c>
      <c r="AF441" t="s">
        <v>8664</v>
      </c>
      <c r="AG441" t="s">
        <v>8665</v>
      </c>
      <c r="BA441" t="str">
        <f>"1449"</f>
        <v>1449</v>
      </c>
      <c r="BB441" t="str">
        <f>"610"</f>
        <v>610</v>
      </c>
      <c r="BC441" t="s">
        <v>388</v>
      </c>
      <c r="BD441" t="str">
        <f>"2"</f>
        <v>2</v>
      </c>
      <c r="BE441" t="s">
        <v>1089</v>
      </c>
      <c r="BF441" t="str">
        <f>"42.72"</f>
        <v>42.72</v>
      </c>
      <c r="BG441" t="str">
        <f>"4.72"</f>
        <v>4.72</v>
      </c>
      <c r="BH441" t="str">
        <f>"42.72"</f>
        <v>42.72</v>
      </c>
      <c r="BI441" t="str">
        <f>"71.21"</f>
        <v>71.21</v>
      </c>
      <c r="BJ441" t="s">
        <v>1090</v>
      </c>
      <c r="BK441" t="str">
        <f>"26.57"</f>
        <v>26.57</v>
      </c>
      <c r="BL441" t="str">
        <f>"26.57"</f>
        <v>26.57</v>
      </c>
      <c r="BM441" t="str">
        <f>"17.72"</f>
        <v>17.72</v>
      </c>
      <c r="BN441" t="str">
        <f>"35.27"</f>
        <v>35.27</v>
      </c>
      <c r="BY441" t="str">
        <f>"12.22"</f>
        <v>12.22</v>
      </c>
      <c r="BZ441" t="str">
        <f>"0.346"</f>
        <v>0.346</v>
      </c>
      <c r="CA441" t="s">
        <v>495</v>
      </c>
      <c r="CR441" t="s">
        <v>400</v>
      </c>
      <c r="CS441">
        <v>0</v>
      </c>
      <c r="CT441" t="s">
        <v>400</v>
      </c>
      <c r="CV441">
        <v>0</v>
      </c>
      <c r="CX441" t="s">
        <v>667</v>
      </c>
      <c r="CY441" t="s">
        <v>400</v>
      </c>
      <c r="DC441">
        <v>0</v>
      </c>
      <c r="DJ441" t="s">
        <v>471</v>
      </c>
      <c r="DK441" t="s">
        <v>8666</v>
      </c>
      <c r="DM441" t="s">
        <v>473</v>
      </c>
      <c r="DX441" t="s">
        <v>5146</v>
      </c>
      <c r="EI441" t="s">
        <v>3882</v>
      </c>
      <c r="EJ441" t="s">
        <v>5146</v>
      </c>
      <c r="EK441" t="s">
        <v>3882</v>
      </c>
      <c r="EL441" t="s">
        <v>1358</v>
      </c>
      <c r="EM441" t="s">
        <v>402</v>
      </c>
      <c r="EN441">
        <v>0</v>
      </c>
      <c r="EO441">
        <v>0</v>
      </c>
      <c r="EX441" t="s">
        <v>576</v>
      </c>
    </row>
    <row r="442" spans="1:211" x14ac:dyDescent="0.25">
      <c r="A442" t="s">
        <v>8667</v>
      </c>
      <c r="B442" t="str">
        <f>"801542047948"</f>
        <v>801542047948</v>
      </c>
      <c r="C442" t="s">
        <v>8668</v>
      </c>
      <c r="D442" t="s">
        <v>1420</v>
      </c>
      <c r="E442" t="s">
        <v>4074</v>
      </c>
      <c r="G442" t="str">
        <f>"60"</f>
        <v>60</v>
      </c>
      <c r="H442" t="str">
        <f>"16"</f>
        <v>16</v>
      </c>
      <c r="I442" t="str">
        <f>"30"</f>
        <v>30</v>
      </c>
      <c r="J442" t="str">
        <f>"84.88"</f>
        <v>84.88</v>
      </c>
      <c r="K442" t="s">
        <v>8065</v>
      </c>
      <c r="N442" t="s">
        <v>1970</v>
      </c>
      <c r="O442" t="s">
        <v>372</v>
      </c>
      <c r="T442" t="s">
        <v>373</v>
      </c>
      <c r="U442" t="s">
        <v>373</v>
      </c>
      <c r="V442" t="s">
        <v>8669</v>
      </c>
      <c r="W442" t="s">
        <v>8670</v>
      </c>
      <c r="X442" t="s">
        <v>8671</v>
      </c>
      <c r="Y442" t="s">
        <v>8672</v>
      </c>
      <c r="Z442" t="s">
        <v>8673</v>
      </c>
      <c r="AA442" t="s">
        <v>8674</v>
      </c>
      <c r="AB442" t="s">
        <v>8675</v>
      </c>
      <c r="AC442" t="s">
        <v>8676</v>
      </c>
      <c r="AD442" t="s">
        <v>8677</v>
      </c>
      <c r="AE442" t="s">
        <v>8678</v>
      </c>
      <c r="AF442" t="s">
        <v>8679</v>
      </c>
      <c r="AG442" t="s">
        <v>8680</v>
      </c>
      <c r="AH442" t="s">
        <v>8681</v>
      </c>
      <c r="BA442" t="str">
        <f>"1199"</f>
        <v>1199</v>
      </c>
      <c r="BB442" t="str">
        <f>"505"</f>
        <v>505</v>
      </c>
      <c r="BC442" t="s">
        <v>665</v>
      </c>
      <c r="BD442" t="str">
        <f>"1"</f>
        <v>1</v>
      </c>
      <c r="BE442" t="s">
        <v>1266</v>
      </c>
      <c r="BF442" t="str">
        <f>"64.17"</f>
        <v>64.17</v>
      </c>
      <c r="BG442" t="str">
        <f>"36.02"</f>
        <v>36.02</v>
      </c>
      <c r="BH442" t="str">
        <f>"20.08"</f>
        <v>20.08</v>
      </c>
      <c r="BI442" t="str">
        <f>"114.64"</f>
        <v>114.64</v>
      </c>
      <c r="BY442" t="str">
        <f>"26.87"</f>
        <v>26.87</v>
      </c>
      <c r="BZ442" t="str">
        <f>"0.761"</f>
        <v>0.761</v>
      </c>
      <c r="CA442" t="s">
        <v>431</v>
      </c>
      <c r="CB442" t="s">
        <v>1416</v>
      </c>
      <c r="CC442" t="s">
        <v>637</v>
      </c>
      <c r="CD442" t="s">
        <v>8682</v>
      </c>
      <c r="CE442" t="s">
        <v>1416</v>
      </c>
      <c r="CF442" t="s">
        <v>8683</v>
      </c>
      <c r="CG442" t="s">
        <v>8682</v>
      </c>
      <c r="CR442" t="s">
        <v>1343</v>
      </c>
      <c r="CS442">
        <v>3</v>
      </c>
      <c r="CT442" t="s">
        <v>1312</v>
      </c>
      <c r="CV442">
        <v>1</v>
      </c>
      <c r="CW442" t="s">
        <v>402</v>
      </c>
      <c r="CX442" t="s">
        <v>1980</v>
      </c>
      <c r="CY442" t="s">
        <v>1009</v>
      </c>
      <c r="DC442">
        <v>0</v>
      </c>
      <c r="DJ442" t="s">
        <v>408</v>
      </c>
      <c r="DK442" t="s">
        <v>8082</v>
      </c>
      <c r="DM442" t="s">
        <v>473</v>
      </c>
      <c r="DX442" t="s">
        <v>742</v>
      </c>
      <c r="DY442" t="s">
        <v>8684</v>
      </c>
      <c r="DZ442" t="s">
        <v>8682</v>
      </c>
      <c r="EI442" t="s">
        <v>1416</v>
      </c>
      <c r="EJ442" t="s">
        <v>1853</v>
      </c>
      <c r="EK442" t="s">
        <v>3545</v>
      </c>
      <c r="EL442" t="s">
        <v>3599</v>
      </c>
      <c r="EM442" t="s">
        <v>402</v>
      </c>
      <c r="EN442">
        <v>1</v>
      </c>
      <c r="EO442">
        <v>0</v>
      </c>
      <c r="FI442">
        <v>0</v>
      </c>
      <c r="FJ442" t="s">
        <v>1012</v>
      </c>
      <c r="FR442" t="s">
        <v>394</v>
      </c>
      <c r="FS442" t="s">
        <v>394</v>
      </c>
      <c r="FT442" t="s">
        <v>8685</v>
      </c>
      <c r="FU442" t="s">
        <v>8685</v>
      </c>
      <c r="FV442" t="s">
        <v>8686</v>
      </c>
      <c r="FW442" t="s">
        <v>8059</v>
      </c>
      <c r="FX442" t="s">
        <v>1008</v>
      </c>
      <c r="FZ442" t="s">
        <v>1018</v>
      </c>
      <c r="GA442" t="s">
        <v>402</v>
      </c>
    </row>
    <row r="443" spans="1:211" x14ac:dyDescent="0.25">
      <c r="A443" t="s">
        <v>8687</v>
      </c>
      <c r="B443" t="str">
        <f>"801542009663"</f>
        <v>801542009663</v>
      </c>
      <c r="C443" t="s">
        <v>8688</v>
      </c>
      <c r="D443" t="s">
        <v>1224</v>
      </c>
      <c r="E443" t="s">
        <v>4074</v>
      </c>
      <c r="G443" t="str">
        <f>"86"</f>
        <v>86</v>
      </c>
      <c r="H443" t="str">
        <f>"20.25"</f>
        <v>20.25</v>
      </c>
      <c r="I443" t="str">
        <f>"33"</f>
        <v>33</v>
      </c>
      <c r="J443" t="str">
        <f>"132.5"</f>
        <v>132.5</v>
      </c>
      <c r="K443" t="s">
        <v>8689</v>
      </c>
      <c r="L443" t="s">
        <v>8690</v>
      </c>
      <c r="N443" t="s">
        <v>8691</v>
      </c>
      <c r="O443" t="s">
        <v>1463</v>
      </c>
      <c r="T443" t="s">
        <v>402</v>
      </c>
      <c r="U443" t="s">
        <v>373</v>
      </c>
      <c r="V443" t="s">
        <v>8692</v>
      </c>
      <c r="W443" t="s">
        <v>8693</v>
      </c>
      <c r="X443" t="s">
        <v>8694</v>
      </c>
      <c r="Y443" t="s">
        <v>8695</v>
      </c>
      <c r="Z443" t="s">
        <v>8696</v>
      </c>
      <c r="AA443" t="s">
        <v>8697</v>
      </c>
      <c r="AB443" t="s">
        <v>8698</v>
      </c>
      <c r="AC443" t="s">
        <v>8699</v>
      </c>
      <c r="AD443" t="s">
        <v>8700</v>
      </c>
      <c r="AE443" t="s">
        <v>8701</v>
      </c>
      <c r="AF443" t="s">
        <v>8702</v>
      </c>
      <c r="AG443" t="s">
        <v>8703</v>
      </c>
      <c r="BA443" t="str">
        <f>"2399"</f>
        <v>2399</v>
      </c>
      <c r="BB443" t="str">
        <f>"1010"</f>
        <v>1010</v>
      </c>
      <c r="BC443" t="s">
        <v>1149</v>
      </c>
      <c r="BD443" t="str">
        <f>"1"</f>
        <v>1</v>
      </c>
      <c r="BE443" t="s">
        <v>389</v>
      </c>
      <c r="BF443" t="str">
        <f>"79.53"</f>
        <v>79.53</v>
      </c>
      <c r="BG443" t="str">
        <f>"25.98"</f>
        <v>25.98</v>
      </c>
      <c r="BH443" t="str">
        <f>"39.37"</f>
        <v>39.37</v>
      </c>
      <c r="BI443" t="str">
        <f>"227.96"</f>
        <v>227.96</v>
      </c>
      <c r="BY443" t="str">
        <f>"47.07"</f>
        <v>47.07</v>
      </c>
      <c r="BZ443" t="str">
        <f>"1.333"</f>
        <v>1.333</v>
      </c>
      <c r="CA443" t="s">
        <v>431</v>
      </c>
      <c r="CR443" t="s">
        <v>400</v>
      </c>
      <c r="CS443">
        <v>0</v>
      </c>
      <c r="CT443" t="s">
        <v>400</v>
      </c>
      <c r="CV443">
        <v>0</v>
      </c>
      <c r="CX443" t="s">
        <v>953</v>
      </c>
      <c r="CY443" t="s">
        <v>400</v>
      </c>
      <c r="DC443">
        <v>0</v>
      </c>
      <c r="DJ443" t="s">
        <v>408</v>
      </c>
      <c r="DK443" t="s">
        <v>8337</v>
      </c>
      <c r="DM443" t="s">
        <v>669</v>
      </c>
      <c r="DX443" t="s">
        <v>1510</v>
      </c>
      <c r="DY443" t="s">
        <v>1359</v>
      </c>
      <c r="DZ443" t="s">
        <v>8704</v>
      </c>
      <c r="EI443" t="s">
        <v>8705</v>
      </c>
      <c r="EJ443" t="s">
        <v>789</v>
      </c>
      <c r="EK443" t="s">
        <v>8706</v>
      </c>
      <c r="EL443" t="s">
        <v>635</v>
      </c>
      <c r="EM443" t="s">
        <v>402</v>
      </c>
      <c r="EN443">
        <v>0</v>
      </c>
      <c r="EO443">
        <v>0</v>
      </c>
      <c r="FI443">
        <v>0</v>
      </c>
      <c r="FJ443" t="s">
        <v>1012</v>
      </c>
    </row>
    <row r="444" spans="1:211" x14ac:dyDescent="0.25">
      <c r="A444" t="s">
        <v>8707</v>
      </c>
      <c r="B444" t="str">
        <f>"801542200848"</f>
        <v>801542200848</v>
      </c>
      <c r="C444" t="s">
        <v>8708</v>
      </c>
      <c r="D444" t="s">
        <v>1224</v>
      </c>
      <c r="E444" t="s">
        <v>4074</v>
      </c>
      <c r="G444" t="str">
        <f>"86"</f>
        <v>86</v>
      </c>
      <c r="H444" t="str">
        <f>"20.25"</f>
        <v>20.25</v>
      </c>
      <c r="I444" t="str">
        <f>"33"</f>
        <v>33</v>
      </c>
      <c r="J444" t="str">
        <f>"132.5"</f>
        <v>132.5</v>
      </c>
      <c r="K444" t="s">
        <v>8709</v>
      </c>
      <c r="L444" t="s">
        <v>8322</v>
      </c>
      <c r="N444" t="s">
        <v>8691</v>
      </c>
      <c r="O444" t="s">
        <v>1463</v>
      </c>
      <c r="T444" t="s">
        <v>373</v>
      </c>
      <c r="U444" t="s">
        <v>373</v>
      </c>
      <c r="V444" t="s">
        <v>8710</v>
      </c>
      <c r="W444" t="s">
        <v>8711</v>
      </c>
      <c r="X444" t="s">
        <v>8712</v>
      </c>
      <c r="Y444" t="s">
        <v>8713</v>
      </c>
      <c r="Z444" t="s">
        <v>8714</v>
      </c>
      <c r="AA444" t="s">
        <v>8715</v>
      </c>
      <c r="AB444" t="s">
        <v>8716</v>
      </c>
      <c r="AC444" t="s">
        <v>8717</v>
      </c>
      <c r="AD444" t="s">
        <v>8718</v>
      </c>
      <c r="AE444" t="s">
        <v>8330</v>
      </c>
      <c r="AF444" t="s">
        <v>8719</v>
      </c>
      <c r="AG444" t="s">
        <v>8720</v>
      </c>
      <c r="AH444" t="s">
        <v>8721</v>
      </c>
      <c r="AI444" t="s">
        <v>8722</v>
      </c>
      <c r="BA444" t="str">
        <f>"2399"</f>
        <v>2399</v>
      </c>
      <c r="BB444" t="str">
        <f>"1010"</f>
        <v>1010</v>
      </c>
      <c r="BC444" t="s">
        <v>1149</v>
      </c>
      <c r="BD444" t="str">
        <f>"1"</f>
        <v>1</v>
      </c>
      <c r="BE444" t="s">
        <v>389</v>
      </c>
      <c r="BF444" t="str">
        <f>"79.53"</f>
        <v>79.53</v>
      </c>
      <c r="BG444" t="str">
        <f>"25.98"</f>
        <v>25.98</v>
      </c>
      <c r="BH444" t="str">
        <f>"39.37"</f>
        <v>39.37</v>
      </c>
      <c r="BI444" t="str">
        <f>"227.96"</f>
        <v>227.96</v>
      </c>
      <c r="BY444" t="str">
        <f>"47.07"</f>
        <v>47.07</v>
      </c>
      <c r="BZ444" t="str">
        <f>"1.333"</f>
        <v>1.333</v>
      </c>
      <c r="CA444" t="s">
        <v>431</v>
      </c>
      <c r="CR444" t="s">
        <v>400</v>
      </c>
      <c r="CS444">
        <v>0</v>
      </c>
      <c r="CT444" t="s">
        <v>400</v>
      </c>
      <c r="CV444">
        <v>0</v>
      </c>
      <c r="CX444" t="s">
        <v>953</v>
      </c>
      <c r="CY444" t="s">
        <v>400</v>
      </c>
      <c r="DC444">
        <v>0</v>
      </c>
      <c r="DJ444" t="s">
        <v>408</v>
      </c>
      <c r="DK444" t="s">
        <v>8337</v>
      </c>
      <c r="DM444" t="s">
        <v>669</v>
      </c>
      <c r="DX444" t="s">
        <v>1510</v>
      </c>
      <c r="DY444" t="s">
        <v>1359</v>
      </c>
      <c r="DZ444" t="s">
        <v>8704</v>
      </c>
      <c r="EI444" t="s">
        <v>8705</v>
      </c>
      <c r="EJ444" t="s">
        <v>789</v>
      </c>
      <c r="EK444" t="s">
        <v>8706</v>
      </c>
      <c r="EL444" t="s">
        <v>635</v>
      </c>
      <c r="EM444" t="s">
        <v>402</v>
      </c>
      <c r="EN444">
        <v>0</v>
      </c>
      <c r="EO444">
        <v>0</v>
      </c>
      <c r="FI444">
        <v>0</v>
      </c>
      <c r="FJ444" t="s">
        <v>1012</v>
      </c>
    </row>
    <row r="445" spans="1:211" x14ac:dyDescent="0.25">
      <c r="A445" t="s">
        <v>8723</v>
      </c>
      <c r="B445" t="str">
        <f>"801542105891"</f>
        <v>801542105891</v>
      </c>
      <c r="C445" t="s">
        <v>8724</v>
      </c>
      <c r="D445" t="s">
        <v>769</v>
      </c>
      <c r="E445" t="s">
        <v>413</v>
      </c>
      <c r="G445" t="str">
        <f>"94"</f>
        <v>94</v>
      </c>
      <c r="H445" t="str">
        <f>"37.5"</f>
        <v>37.5</v>
      </c>
      <c r="I445" t="str">
        <f>"30.5"</f>
        <v>30.5</v>
      </c>
      <c r="J445" t="str">
        <f>"127.87"</f>
        <v>127.87</v>
      </c>
      <c r="K445" t="s">
        <v>6263</v>
      </c>
      <c r="L445" t="s">
        <v>4748</v>
      </c>
      <c r="N445" t="s">
        <v>1949</v>
      </c>
      <c r="O445" t="s">
        <v>1950</v>
      </c>
      <c r="P445" t="s">
        <v>1535</v>
      </c>
      <c r="Q445" t="s">
        <v>519</v>
      </c>
      <c r="T445" t="s">
        <v>373</v>
      </c>
      <c r="U445" t="s">
        <v>402</v>
      </c>
      <c r="V445" t="s">
        <v>8725</v>
      </c>
      <c r="W445" t="s">
        <v>8726</v>
      </c>
      <c r="X445" t="s">
        <v>8727</v>
      </c>
      <c r="Y445" t="s">
        <v>8728</v>
      </c>
      <c r="Z445" t="s">
        <v>8729</v>
      </c>
      <c r="AA445" t="s">
        <v>8730</v>
      </c>
      <c r="AB445" t="s">
        <v>8731</v>
      </c>
      <c r="AC445" t="s">
        <v>8732</v>
      </c>
      <c r="AD445" t="s">
        <v>8733</v>
      </c>
      <c r="AE445" t="s">
        <v>8734</v>
      </c>
      <c r="AF445" t="s">
        <v>8735</v>
      </c>
      <c r="AG445" t="s">
        <v>8736</v>
      </c>
      <c r="AH445" t="s">
        <v>8737</v>
      </c>
      <c r="AI445" t="s">
        <v>8738</v>
      </c>
      <c r="AJ445" t="s">
        <v>8739</v>
      </c>
      <c r="AK445" t="s">
        <v>8740</v>
      </c>
      <c r="BA445" t="str">
        <f>"2899"</f>
        <v>2899</v>
      </c>
      <c r="BB445" t="str">
        <f>"1220"</f>
        <v>1220</v>
      </c>
      <c r="BC445" t="s">
        <v>388</v>
      </c>
      <c r="BD445" t="str">
        <f>"1"</f>
        <v>1</v>
      </c>
      <c r="BE445" t="s">
        <v>389</v>
      </c>
      <c r="BF445" t="str">
        <f>"94.49"</f>
        <v>94.49</v>
      </c>
      <c r="BG445" t="str">
        <f>"38.58"</f>
        <v>38.58</v>
      </c>
      <c r="BH445" t="str">
        <f>"29.53"</f>
        <v>29.53</v>
      </c>
      <c r="BI445" t="str">
        <f>"161.82"</f>
        <v>161.82</v>
      </c>
      <c r="BY445" t="str">
        <f>"62.3"</f>
        <v>62.3</v>
      </c>
      <c r="BZ445" t="str">
        <f>"1.764"</f>
        <v>1.764</v>
      </c>
      <c r="CA445" t="s">
        <v>495</v>
      </c>
      <c r="CH445" t="s">
        <v>3096</v>
      </c>
      <c r="CI445" t="s">
        <v>448</v>
      </c>
      <c r="CJ445" t="s">
        <v>3712</v>
      </c>
      <c r="CK445" t="s">
        <v>600</v>
      </c>
      <c r="CL445" t="s">
        <v>449</v>
      </c>
      <c r="CM445" t="s">
        <v>642</v>
      </c>
      <c r="CN445">
        <v>0</v>
      </c>
      <c r="CO445">
        <v>2</v>
      </c>
      <c r="CP445" t="s">
        <v>437</v>
      </c>
      <c r="CQ445" t="s">
        <v>631</v>
      </c>
      <c r="CU445" t="s">
        <v>8741</v>
      </c>
      <c r="CX445" t="s">
        <v>403</v>
      </c>
      <c r="CY445" t="s">
        <v>400</v>
      </c>
      <c r="CZ445">
        <v>0</v>
      </c>
      <c r="DD445">
        <v>25000</v>
      </c>
      <c r="DE445" t="s">
        <v>439</v>
      </c>
      <c r="DF445" t="s">
        <v>406</v>
      </c>
      <c r="DG445" t="s">
        <v>454</v>
      </c>
      <c r="DH445">
        <v>1</v>
      </c>
      <c r="DI445">
        <v>4</v>
      </c>
      <c r="DK445" t="s">
        <v>8742</v>
      </c>
      <c r="DL445">
        <v>0</v>
      </c>
      <c r="DM445" t="s">
        <v>795</v>
      </c>
      <c r="DN445" t="s">
        <v>600</v>
      </c>
      <c r="DO445" t="s">
        <v>450</v>
      </c>
      <c r="DP445" t="s">
        <v>859</v>
      </c>
      <c r="DT445" t="s">
        <v>1037</v>
      </c>
      <c r="DU445" t="s">
        <v>448</v>
      </c>
      <c r="DV445" t="s">
        <v>511</v>
      </c>
      <c r="DW445" t="s">
        <v>8743</v>
      </c>
      <c r="DX445" t="s">
        <v>2599</v>
      </c>
      <c r="DY445" t="s">
        <v>1853</v>
      </c>
      <c r="DZ445" t="s">
        <v>2905</v>
      </c>
      <c r="EA445" t="s">
        <v>635</v>
      </c>
      <c r="ED445" t="s">
        <v>406</v>
      </c>
      <c r="EE445" t="s">
        <v>454</v>
      </c>
      <c r="EF445" t="s">
        <v>831</v>
      </c>
      <c r="EG445" t="s">
        <v>615</v>
      </c>
    </row>
    <row r="446" spans="1:211" x14ac:dyDescent="0.25">
      <c r="A446" t="s">
        <v>8744</v>
      </c>
      <c r="B446" t="str">
        <f>"801542750640"</f>
        <v>801542750640</v>
      </c>
      <c r="C446" t="s">
        <v>8745</v>
      </c>
      <c r="D446" t="s">
        <v>646</v>
      </c>
      <c r="E446" t="s">
        <v>647</v>
      </c>
      <c r="F446" t="s">
        <v>648</v>
      </c>
      <c r="G446" t="str">
        <f>"110.25"</f>
        <v>110.25</v>
      </c>
      <c r="H446" t="str">
        <f>"35.5"</f>
        <v>35.5</v>
      </c>
      <c r="I446" t="str">
        <f>"30"</f>
        <v>30</v>
      </c>
      <c r="J446" t="str">
        <f>"138.89"</f>
        <v>138.89</v>
      </c>
      <c r="K446" t="s">
        <v>649</v>
      </c>
      <c r="L446" t="s">
        <v>650</v>
      </c>
      <c r="N446" t="s">
        <v>461</v>
      </c>
      <c r="T446" t="s">
        <v>373</v>
      </c>
      <c r="U446" t="s">
        <v>373</v>
      </c>
      <c r="V446" t="s">
        <v>8746</v>
      </c>
      <c r="W446" t="s">
        <v>8747</v>
      </c>
      <c r="X446" t="s">
        <v>8748</v>
      </c>
      <c r="Y446" t="s">
        <v>8749</v>
      </c>
      <c r="Z446" t="s">
        <v>8750</v>
      </c>
      <c r="AA446" t="s">
        <v>8751</v>
      </c>
      <c r="AB446" t="s">
        <v>8752</v>
      </c>
      <c r="AC446" t="s">
        <v>8753</v>
      </c>
      <c r="AD446" t="s">
        <v>8754</v>
      </c>
      <c r="AE446" t="s">
        <v>8755</v>
      </c>
      <c r="AF446" t="s">
        <v>8756</v>
      </c>
      <c r="AG446" t="s">
        <v>8757</v>
      </c>
      <c r="BA446" t="str">
        <f>"1699"</f>
        <v>1699</v>
      </c>
      <c r="BB446" t="str">
        <f>"715"</f>
        <v>715</v>
      </c>
      <c r="BC446" t="s">
        <v>665</v>
      </c>
      <c r="BD446" t="str">
        <f>"2"</f>
        <v>2</v>
      </c>
      <c r="BE446" t="s">
        <v>8758</v>
      </c>
      <c r="BF446" t="str">
        <f>"113.98"</f>
        <v>113.98</v>
      </c>
      <c r="BG446" t="str">
        <f>"39.17"</f>
        <v>39.17</v>
      </c>
      <c r="BH446" t="str">
        <f>"8.27"</f>
        <v>8.27</v>
      </c>
      <c r="BI446" t="str">
        <f>"145.51"</f>
        <v>145.51</v>
      </c>
      <c r="BJ446" t="s">
        <v>8759</v>
      </c>
      <c r="BK446" t="str">
        <f>"34.25"</f>
        <v>34.25</v>
      </c>
      <c r="BL446" t="str">
        <f>"33.46"</f>
        <v>33.46</v>
      </c>
      <c r="BM446" t="str">
        <f>"10.63"</f>
        <v>10.63</v>
      </c>
      <c r="BN446" t="str">
        <f>"38.58"</f>
        <v>38.58</v>
      </c>
      <c r="BY446" t="str">
        <f>"28.43"</f>
        <v>28.43</v>
      </c>
      <c r="BZ446" t="str">
        <f>"0.805"</f>
        <v>0.805</v>
      </c>
      <c r="CA446" t="s">
        <v>495</v>
      </c>
      <c r="CR446" t="s">
        <v>400</v>
      </c>
      <c r="CS446">
        <v>0</v>
      </c>
      <c r="CT446" t="s">
        <v>400</v>
      </c>
      <c r="CV446">
        <v>0</v>
      </c>
      <c r="CX446" t="s">
        <v>667</v>
      </c>
      <c r="CY446" t="s">
        <v>400</v>
      </c>
      <c r="DA446">
        <v>0</v>
      </c>
      <c r="DB446">
        <v>0</v>
      </c>
      <c r="DC446">
        <v>0</v>
      </c>
      <c r="DI446">
        <v>12</v>
      </c>
      <c r="DJ446" t="s">
        <v>1437</v>
      </c>
      <c r="DK446" t="s">
        <v>8760</v>
      </c>
      <c r="DM446" t="s">
        <v>669</v>
      </c>
      <c r="DX446" t="s">
        <v>8761</v>
      </c>
      <c r="DY446" t="s">
        <v>1412</v>
      </c>
      <c r="DZ446" t="s">
        <v>8762</v>
      </c>
      <c r="EI446" t="s">
        <v>1349</v>
      </c>
      <c r="EJ446" t="s">
        <v>8455</v>
      </c>
      <c r="EK446" t="s">
        <v>8041</v>
      </c>
      <c r="EL446" t="s">
        <v>1355</v>
      </c>
      <c r="EM446" t="s">
        <v>402</v>
      </c>
      <c r="EN446">
        <v>0</v>
      </c>
      <c r="EO446">
        <v>0</v>
      </c>
      <c r="EV446" t="s">
        <v>3856</v>
      </c>
      <c r="EW446" t="s">
        <v>638</v>
      </c>
      <c r="EX446" t="s">
        <v>540</v>
      </c>
      <c r="EY446" t="s">
        <v>677</v>
      </c>
    </row>
    <row r="447" spans="1:211" x14ac:dyDescent="0.25">
      <c r="A447" t="s">
        <v>8763</v>
      </c>
      <c r="B447" t="str">
        <f>"801542820572"</f>
        <v>801542820572</v>
      </c>
      <c r="C447" t="s">
        <v>8764</v>
      </c>
      <c r="D447" t="s">
        <v>646</v>
      </c>
      <c r="E447" t="s">
        <v>647</v>
      </c>
      <c r="F447" t="s">
        <v>648</v>
      </c>
      <c r="G447" t="str">
        <f>"110.25"</f>
        <v>110.25</v>
      </c>
      <c r="H447" t="str">
        <f>"35.5"</f>
        <v>35.5</v>
      </c>
      <c r="I447" t="str">
        <f>"30"</f>
        <v>30</v>
      </c>
      <c r="J447" t="str">
        <f>"138.89"</f>
        <v>138.89</v>
      </c>
      <c r="K447" t="s">
        <v>460</v>
      </c>
      <c r="N447" t="s">
        <v>461</v>
      </c>
      <c r="T447" t="s">
        <v>373</v>
      </c>
      <c r="U447" t="s">
        <v>373</v>
      </c>
      <c r="V447" t="s">
        <v>8765</v>
      </c>
      <c r="W447" t="s">
        <v>8766</v>
      </c>
      <c r="X447" t="s">
        <v>8767</v>
      </c>
      <c r="Y447" t="s">
        <v>8768</v>
      </c>
      <c r="Z447" t="s">
        <v>8769</v>
      </c>
      <c r="AA447" t="s">
        <v>8770</v>
      </c>
      <c r="AB447" t="s">
        <v>8771</v>
      </c>
      <c r="AC447" t="s">
        <v>8772</v>
      </c>
      <c r="AD447" t="s">
        <v>8773</v>
      </c>
      <c r="AE447" t="s">
        <v>8774</v>
      </c>
      <c r="AF447" t="s">
        <v>8775</v>
      </c>
      <c r="AG447" t="s">
        <v>8776</v>
      </c>
      <c r="BA447" t="str">
        <f>"1799"</f>
        <v>1799</v>
      </c>
      <c r="BB447" t="str">
        <f>"760"</f>
        <v>760</v>
      </c>
      <c r="BC447" t="s">
        <v>665</v>
      </c>
      <c r="BD447" t="str">
        <f>"2"</f>
        <v>2</v>
      </c>
      <c r="BE447" t="s">
        <v>8758</v>
      </c>
      <c r="BF447" t="str">
        <f>"113.98"</f>
        <v>113.98</v>
      </c>
      <c r="BG447" t="str">
        <f>"39.17"</f>
        <v>39.17</v>
      </c>
      <c r="BH447" t="str">
        <f>"8.27"</f>
        <v>8.27</v>
      </c>
      <c r="BI447" t="str">
        <f>"145.51"</f>
        <v>145.51</v>
      </c>
      <c r="BJ447" t="s">
        <v>8759</v>
      </c>
      <c r="BK447" t="str">
        <f>"34.25"</f>
        <v>34.25</v>
      </c>
      <c r="BL447" t="str">
        <f>"33.46"</f>
        <v>33.46</v>
      </c>
      <c r="BM447" t="str">
        <f>"10.63"</f>
        <v>10.63</v>
      </c>
      <c r="BN447" t="str">
        <f>"38.58"</f>
        <v>38.58</v>
      </c>
      <c r="BY447" t="str">
        <f>"28.43"</f>
        <v>28.43</v>
      </c>
      <c r="BZ447" t="str">
        <f>"0.805"</f>
        <v>0.805</v>
      </c>
      <c r="CA447" t="s">
        <v>390</v>
      </c>
      <c r="CR447" t="s">
        <v>400</v>
      </c>
      <c r="CS447">
        <v>0</v>
      </c>
      <c r="CT447" t="s">
        <v>400</v>
      </c>
      <c r="CV447">
        <v>0</v>
      </c>
      <c r="CX447" t="s">
        <v>667</v>
      </c>
      <c r="CY447" t="s">
        <v>400</v>
      </c>
      <c r="DA447">
        <v>0</v>
      </c>
      <c r="DB447">
        <v>0</v>
      </c>
      <c r="DC447">
        <v>0</v>
      </c>
      <c r="DI447">
        <v>12</v>
      </c>
      <c r="DJ447" t="s">
        <v>1437</v>
      </c>
      <c r="DK447" t="s">
        <v>8760</v>
      </c>
      <c r="DM447" t="s">
        <v>669</v>
      </c>
      <c r="DX447" t="s">
        <v>8761</v>
      </c>
      <c r="DY447" t="s">
        <v>1412</v>
      </c>
      <c r="DZ447" t="s">
        <v>8762</v>
      </c>
      <c r="EI447" t="s">
        <v>1349</v>
      </c>
      <c r="EJ447" t="s">
        <v>8455</v>
      </c>
      <c r="EK447" t="s">
        <v>8041</v>
      </c>
      <c r="EL447" t="s">
        <v>1355</v>
      </c>
      <c r="EM447" t="s">
        <v>402</v>
      </c>
      <c r="EN447">
        <v>0</v>
      </c>
      <c r="EO447">
        <v>0</v>
      </c>
      <c r="EV447" t="s">
        <v>3856</v>
      </c>
      <c r="EW447" t="s">
        <v>638</v>
      </c>
      <c r="EX447" t="s">
        <v>540</v>
      </c>
      <c r="EY447" t="s">
        <v>677</v>
      </c>
    </row>
    <row r="448" spans="1:211" x14ac:dyDescent="0.25">
      <c r="A448" t="s">
        <v>8777</v>
      </c>
      <c r="B448" t="str">
        <f>"801542751104"</f>
        <v>801542751104</v>
      </c>
      <c r="C448" t="s">
        <v>8745</v>
      </c>
      <c r="D448" t="s">
        <v>646</v>
      </c>
      <c r="E448" t="s">
        <v>647</v>
      </c>
      <c r="F448" t="s">
        <v>648</v>
      </c>
      <c r="G448" t="str">
        <f>"86.5"</f>
        <v>86.5</v>
      </c>
      <c r="H448" t="str">
        <f>"35.5"</f>
        <v>35.5</v>
      </c>
      <c r="I448" t="str">
        <f>"30"</f>
        <v>30</v>
      </c>
      <c r="J448" t="str">
        <f>"109.13"</f>
        <v>109.13</v>
      </c>
      <c r="K448" t="s">
        <v>649</v>
      </c>
      <c r="L448" t="s">
        <v>650</v>
      </c>
      <c r="N448" t="s">
        <v>461</v>
      </c>
      <c r="T448" t="s">
        <v>373</v>
      </c>
      <c r="U448" t="s">
        <v>373</v>
      </c>
      <c r="V448" t="s">
        <v>8778</v>
      </c>
      <c r="W448" t="s">
        <v>8779</v>
      </c>
      <c r="X448" t="s">
        <v>8780</v>
      </c>
      <c r="Y448" t="s">
        <v>8781</v>
      </c>
      <c r="Z448" t="s">
        <v>8782</v>
      </c>
      <c r="AA448" t="s">
        <v>8783</v>
      </c>
      <c r="AB448" t="s">
        <v>8784</v>
      </c>
      <c r="AC448" t="s">
        <v>8785</v>
      </c>
      <c r="AD448" t="s">
        <v>8786</v>
      </c>
      <c r="AE448" t="s">
        <v>8787</v>
      </c>
      <c r="AF448" t="s">
        <v>8788</v>
      </c>
      <c r="AG448" t="s">
        <v>8789</v>
      </c>
      <c r="BA448" t="str">
        <f>"1499"</f>
        <v>1499</v>
      </c>
      <c r="BB448" t="str">
        <f>"630"</f>
        <v>630</v>
      </c>
      <c r="BC448" t="s">
        <v>665</v>
      </c>
      <c r="BD448" t="str">
        <f>"2"</f>
        <v>2</v>
      </c>
      <c r="BE448" t="s">
        <v>8758</v>
      </c>
      <c r="BF448" t="str">
        <f>"90.94"</f>
        <v>90.94</v>
      </c>
      <c r="BG448" t="str">
        <f>"39.17"</f>
        <v>39.17</v>
      </c>
      <c r="BH448" t="str">
        <f>"8.27"</f>
        <v>8.27</v>
      </c>
      <c r="BI448" t="str">
        <f>"110.23"</f>
        <v>110.23</v>
      </c>
      <c r="BJ448" t="s">
        <v>8759</v>
      </c>
      <c r="BK448" t="str">
        <f>"34.25"</f>
        <v>34.25</v>
      </c>
      <c r="BL448" t="str">
        <f>"33.46"</f>
        <v>33.46</v>
      </c>
      <c r="BM448" t="str">
        <f>"10.63"</f>
        <v>10.63</v>
      </c>
      <c r="BN448" t="str">
        <f>"38.58"</f>
        <v>38.58</v>
      </c>
      <c r="BY448" t="str">
        <f>"24.12"</f>
        <v>24.12</v>
      </c>
      <c r="BZ448" t="str">
        <f>"0.683"</f>
        <v>0.683</v>
      </c>
      <c r="CA448" t="s">
        <v>431</v>
      </c>
      <c r="CR448" t="s">
        <v>400</v>
      </c>
      <c r="CS448">
        <v>0</v>
      </c>
      <c r="CT448" t="s">
        <v>400</v>
      </c>
      <c r="CV448">
        <v>0</v>
      </c>
      <c r="CX448" t="s">
        <v>667</v>
      </c>
      <c r="CY448" t="s">
        <v>400</v>
      </c>
      <c r="DA448">
        <v>0</v>
      </c>
      <c r="DB448">
        <v>0</v>
      </c>
      <c r="DC448">
        <v>0</v>
      </c>
      <c r="DI448">
        <v>8</v>
      </c>
      <c r="DJ448" t="s">
        <v>1437</v>
      </c>
      <c r="DK448" t="s">
        <v>8760</v>
      </c>
      <c r="DM448" t="s">
        <v>669</v>
      </c>
      <c r="DX448" t="s">
        <v>1015</v>
      </c>
      <c r="DY448" t="s">
        <v>1412</v>
      </c>
      <c r="DZ448" t="s">
        <v>8790</v>
      </c>
      <c r="EI448" t="s">
        <v>1349</v>
      </c>
      <c r="EJ448" t="s">
        <v>8455</v>
      </c>
      <c r="EK448" t="s">
        <v>393</v>
      </c>
      <c r="EL448" t="s">
        <v>1355</v>
      </c>
      <c r="EN448">
        <v>0</v>
      </c>
      <c r="EO448">
        <v>0</v>
      </c>
      <c r="EV448" t="s">
        <v>3856</v>
      </c>
      <c r="EW448" t="s">
        <v>638</v>
      </c>
      <c r="EX448" t="s">
        <v>540</v>
      </c>
      <c r="EY448" t="s">
        <v>5485</v>
      </c>
    </row>
    <row r="449" spans="1:269" x14ac:dyDescent="0.25">
      <c r="A449" t="s">
        <v>8791</v>
      </c>
      <c r="B449" t="str">
        <f>"801542811570"</f>
        <v>801542811570</v>
      </c>
      <c r="C449" t="s">
        <v>8764</v>
      </c>
      <c r="D449" t="s">
        <v>646</v>
      </c>
      <c r="E449" t="s">
        <v>647</v>
      </c>
      <c r="F449" t="s">
        <v>648</v>
      </c>
      <c r="G449" t="str">
        <f>"86.5"</f>
        <v>86.5</v>
      </c>
      <c r="H449" t="str">
        <f>"35.5"</f>
        <v>35.5</v>
      </c>
      <c r="I449" t="str">
        <f>"30"</f>
        <v>30</v>
      </c>
      <c r="J449" t="str">
        <f>"109.13"</f>
        <v>109.13</v>
      </c>
      <c r="K449" t="s">
        <v>460</v>
      </c>
      <c r="N449" t="s">
        <v>461</v>
      </c>
      <c r="T449" t="s">
        <v>373</v>
      </c>
      <c r="U449" t="s">
        <v>373</v>
      </c>
      <c r="V449" t="s">
        <v>8765</v>
      </c>
      <c r="W449" t="s">
        <v>8792</v>
      </c>
      <c r="X449" t="s">
        <v>8793</v>
      </c>
      <c r="Y449" t="s">
        <v>8794</v>
      </c>
      <c r="Z449" t="s">
        <v>8795</v>
      </c>
      <c r="AA449" t="s">
        <v>8796</v>
      </c>
      <c r="AB449" t="s">
        <v>8797</v>
      </c>
      <c r="AC449" t="s">
        <v>8798</v>
      </c>
      <c r="AD449" t="s">
        <v>8799</v>
      </c>
      <c r="AE449" t="s">
        <v>8800</v>
      </c>
      <c r="AF449" t="s">
        <v>8801</v>
      </c>
      <c r="BA449" t="str">
        <f>"1599"</f>
        <v>1599</v>
      </c>
      <c r="BB449" t="str">
        <f>"675"</f>
        <v>675</v>
      </c>
      <c r="BC449" t="s">
        <v>665</v>
      </c>
      <c r="BD449" t="str">
        <f>"2"</f>
        <v>2</v>
      </c>
      <c r="BE449" t="s">
        <v>8758</v>
      </c>
      <c r="BF449" t="str">
        <f>"90.94"</f>
        <v>90.94</v>
      </c>
      <c r="BG449" t="str">
        <f>"39.17"</f>
        <v>39.17</v>
      </c>
      <c r="BH449" t="str">
        <f>"8.27"</f>
        <v>8.27</v>
      </c>
      <c r="BI449" t="str">
        <f>"110.23"</f>
        <v>110.23</v>
      </c>
      <c r="BJ449" t="s">
        <v>8759</v>
      </c>
      <c r="BK449" t="str">
        <f>"34.25"</f>
        <v>34.25</v>
      </c>
      <c r="BL449" t="str">
        <f>"33.46"</f>
        <v>33.46</v>
      </c>
      <c r="BM449" t="str">
        <f>"10.63"</f>
        <v>10.63</v>
      </c>
      <c r="BN449" t="str">
        <f>"38.58"</f>
        <v>38.58</v>
      </c>
      <c r="BY449" t="str">
        <f>"24.12"</f>
        <v>24.12</v>
      </c>
      <c r="BZ449" t="str">
        <f>"0.683"</f>
        <v>0.683</v>
      </c>
      <c r="CA449" t="s">
        <v>390</v>
      </c>
      <c r="CR449" t="s">
        <v>400</v>
      </c>
      <c r="CS449">
        <v>0</v>
      </c>
      <c r="CT449" t="s">
        <v>400</v>
      </c>
      <c r="CV449">
        <v>0</v>
      </c>
      <c r="CX449" t="s">
        <v>667</v>
      </c>
      <c r="CY449" t="s">
        <v>400</v>
      </c>
      <c r="DA449">
        <v>0</v>
      </c>
      <c r="DB449">
        <v>0</v>
      </c>
      <c r="DC449">
        <v>0</v>
      </c>
      <c r="DI449">
        <v>8</v>
      </c>
      <c r="DJ449" t="s">
        <v>1437</v>
      </c>
      <c r="DK449" t="s">
        <v>8760</v>
      </c>
      <c r="DM449" t="s">
        <v>669</v>
      </c>
      <c r="DX449" t="s">
        <v>1015</v>
      </c>
      <c r="DY449" t="s">
        <v>1412</v>
      </c>
      <c r="DZ449" t="s">
        <v>8790</v>
      </c>
      <c r="EI449" t="s">
        <v>1349</v>
      </c>
      <c r="EJ449" t="s">
        <v>8455</v>
      </c>
      <c r="EK449" t="s">
        <v>393</v>
      </c>
      <c r="EL449" t="s">
        <v>1355</v>
      </c>
      <c r="EN449">
        <v>0</v>
      </c>
      <c r="EO449">
        <v>0</v>
      </c>
      <c r="EV449" t="s">
        <v>3856</v>
      </c>
      <c r="EW449" t="s">
        <v>638</v>
      </c>
      <c r="EX449" t="s">
        <v>540</v>
      </c>
      <c r="EY449" t="s">
        <v>5485</v>
      </c>
    </row>
    <row r="450" spans="1:269" x14ac:dyDescent="0.25">
      <c r="A450" t="s">
        <v>8802</v>
      </c>
      <c r="B450" t="str">
        <f>"801542066796"</f>
        <v>801542066796</v>
      </c>
      <c r="C450" t="s">
        <v>8803</v>
      </c>
      <c r="D450" t="s">
        <v>769</v>
      </c>
      <c r="E450" t="s">
        <v>2388</v>
      </c>
      <c r="G450" t="str">
        <f>"27.25"</f>
        <v>27.25</v>
      </c>
      <c r="H450" t="str">
        <f>"23.5"</f>
        <v>23.5</v>
      </c>
      <c r="I450" t="str">
        <f>"13.5"</f>
        <v>13.5</v>
      </c>
      <c r="J450" t="str">
        <f>"21.16"</f>
        <v>21.16</v>
      </c>
      <c r="K450" t="s">
        <v>1576</v>
      </c>
      <c r="L450" t="s">
        <v>4748</v>
      </c>
      <c r="N450" t="s">
        <v>416</v>
      </c>
      <c r="O450" t="s">
        <v>519</v>
      </c>
      <c r="T450" t="s">
        <v>373</v>
      </c>
      <c r="U450" t="s">
        <v>373</v>
      </c>
      <c r="V450" t="s">
        <v>8804</v>
      </c>
      <c r="W450" t="s">
        <v>8805</v>
      </c>
      <c r="X450" t="s">
        <v>8806</v>
      </c>
      <c r="Y450" t="s">
        <v>8807</v>
      </c>
      <c r="Z450" t="s">
        <v>8808</v>
      </c>
      <c r="AA450" t="s">
        <v>8809</v>
      </c>
      <c r="AB450" t="s">
        <v>8810</v>
      </c>
      <c r="AC450" t="s">
        <v>8811</v>
      </c>
      <c r="AD450" t="s">
        <v>8812</v>
      </c>
      <c r="AE450" t="s">
        <v>8813</v>
      </c>
      <c r="BA450" t="str">
        <f>"849"</f>
        <v>849</v>
      </c>
      <c r="BB450" t="str">
        <f>"360"</f>
        <v>360</v>
      </c>
      <c r="BC450" t="s">
        <v>388</v>
      </c>
      <c r="BD450" t="str">
        <f t="shared" ref="BD450:BD497" si="100">"1"</f>
        <v>1</v>
      </c>
      <c r="BE450" t="s">
        <v>389</v>
      </c>
      <c r="BF450" t="str">
        <f>"31.5"</f>
        <v>31.5</v>
      </c>
      <c r="BG450" t="str">
        <f>"27.95"</f>
        <v>27.95</v>
      </c>
      <c r="BH450" t="str">
        <f>"14.96"</f>
        <v>14.96</v>
      </c>
      <c r="BI450" t="str">
        <f>"34.17"</f>
        <v>34.17</v>
      </c>
      <c r="BY450" t="str">
        <f>"7.63"</f>
        <v>7.63</v>
      </c>
      <c r="BZ450" t="str">
        <f>"0.216"</f>
        <v>0.216</v>
      </c>
      <c r="CA450" t="s">
        <v>431</v>
      </c>
      <c r="CH450" t="s">
        <v>603</v>
      </c>
      <c r="CI450" t="s">
        <v>446</v>
      </c>
      <c r="CJ450" t="s">
        <v>634</v>
      </c>
      <c r="CK450" t="s">
        <v>603</v>
      </c>
      <c r="CL450" t="s">
        <v>2696</v>
      </c>
      <c r="CM450" t="s">
        <v>634</v>
      </c>
      <c r="CO450">
        <v>0</v>
      </c>
      <c r="CQ450" t="s">
        <v>438</v>
      </c>
      <c r="CX450" t="s">
        <v>403</v>
      </c>
      <c r="CY450" t="s">
        <v>400</v>
      </c>
      <c r="CZ450">
        <v>0</v>
      </c>
      <c r="DD450">
        <v>0</v>
      </c>
      <c r="DE450" t="s">
        <v>405</v>
      </c>
      <c r="DF450" t="s">
        <v>2640</v>
      </c>
      <c r="DG450" t="s">
        <v>2380</v>
      </c>
      <c r="DH450">
        <v>1</v>
      </c>
      <c r="DI450">
        <v>1</v>
      </c>
      <c r="DJ450" t="s">
        <v>408</v>
      </c>
      <c r="DK450" t="s">
        <v>8549</v>
      </c>
      <c r="DL450">
        <v>0</v>
      </c>
      <c r="DM450" t="s">
        <v>538</v>
      </c>
      <c r="DX450" t="s">
        <v>433</v>
      </c>
      <c r="DY450" t="s">
        <v>613</v>
      </c>
      <c r="DZ450" t="s">
        <v>1092</v>
      </c>
      <c r="EG450" t="s">
        <v>2361</v>
      </c>
      <c r="ET450" t="s">
        <v>549</v>
      </c>
    </row>
    <row r="451" spans="1:269" x14ac:dyDescent="0.25">
      <c r="A451" t="s">
        <v>8814</v>
      </c>
      <c r="B451" t="str">
        <f>"801542066802"</f>
        <v>801542066802</v>
      </c>
      <c r="C451" t="s">
        <v>8815</v>
      </c>
      <c r="D451" t="s">
        <v>769</v>
      </c>
      <c r="E451" t="s">
        <v>2388</v>
      </c>
      <c r="G451" t="str">
        <f>"27.25"</f>
        <v>27.25</v>
      </c>
      <c r="H451" t="str">
        <f>"23.5"</f>
        <v>23.5</v>
      </c>
      <c r="I451" t="str">
        <f>"13.5"</f>
        <v>13.5</v>
      </c>
      <c r="J451" t="str">
        <f>"21.16"</f>
        <v>21.16</v>
      </c>
      <c r="K451" t="s">
        <v>2310</v>
      </c>
      <c r="L451" t="s">
        <v>4748</v>
      </c>
      <c r="N451" t="s">
        <v>416</v>
      </c>
      <c r="O451" t="s">
        <v>519</v>
      </c>
      <c r="T451" t="s">
        <v>373</v>
      </c>
      <c r="U451" t="s">
        <v>373</v>
      </c>
      <c r="V451" t="s">
        <v>8804</v>
      </c>
      <c r="W451" t="s">
        <v>8816</v>
      </c>
      <c r="X451" t="s">
        <v>8817</v>
      </c>
      <c r="Y451" t="s">
        <v>8818</v>
      </c>
      <c r="Z451" t="s">
        <v>8819</v>
      </c>
      <c r="AA451" t="s">
        <v>8820</v>
      </c>
      <c r="AB451" t="s">
        <v>2319</v>
      </c>
      <c r="AC451" t="s">
        <v>8821</v>
      </c>
      <c r="AD451" t="s">
        <v>8822</v>
      </c>
      <c r="AE451" t="s">
        <v>8823</v>
      </c>
      <c r="AF451" t="s">
        <v>8824</v>
      </c>
      <c r="BA451" t="str">
        <f>"849"</f>
        <v>849</v>
      </c>
      <c r="BB451" t="str">
        <f>"360"</f>
        <v>360</v>
      </c>
      <c r="BC451" t="s">
        <v>388</v>
      </c>
      <c r="BD451" t="str">
        <f t="shared" si="100"/>
        <v>1</v>
      </c>
      <c r="BE451" t="s">
        <v>389</v>
      </c>
      <c r="BF451" t="str">
        <f>"31.5"</f>
        <v>31.5</v>
      </c>
      <c r="BG451" t="str">
        <f>"27.95"</f>
        <v>27.95</v>
      </c>
      <c r="BH451" t="str">
        <f>"14.96"</f>
        <v>14.96</v>
      </c>
      <c r="BI451" t="str">
        <f>"34.17"</f>
        <v>34.17</v>
      </c>
      <c r="BY451" t="str">
        <f>"7.63"</f>
        <v>7.63</v>
      </c>
      <c r="BZ451" t="str">
        <f>"0.216"</f>
        <v>0.216</v>
      </c>
      <c r="CA451" t="s">
        <v>495</v>
      </c>
      <c r="CH451" t="s">
        <v>603</v>
      </c>
      <c r="CI451" t="s">
        <v>446</v>
      </c>
      <c r="CJ451" t="s">
        <v>634</v>
      </c>
      <c r="CK451" t="s">
        <v>603</v>
      </c>
      <c r="CL451" t="s">
        <v>2696</v>
      </c>
      <c r="CM451" t="s">
        <v>634</v>
      </c>
      <c r="CO451">
        <v>0</v>
      </c>
      <c r="CQ451" t="s">
        <v>438</v>
      </c>
      <c r="CX451" t="s">
        <v>403</v>
      </c>
      <c r="CY451" t="s">
        <v>400</v>
      </c>
      <c r="CZ451">
        <v>0</v>
      </c>
      <c r="DD451">
        <v>0</v>
      </c>
      <c r="DE451" t="s">
        <v>405</v>
      </c>
      <c r="DF451" t="s">
        <v>2640</v>
      </c>
      <c r="DG451" t="s">
        <v>2380</v>
      </c>
      <c r="DH451">
        <v>1</v>
      </c>
      <c r="DI451">
        <v>1</v>
      </c>
      <c r="DJ451" t="s">
        <v>408</v>
      </c>
      <c r="DK451" t="s">
        <v>8549</v>
      </c>
      <c r="DL451">
        <v>0</v>
      </c>
      <c r="DM451" t="s">
        <v>538</v>
      </c>
      <c r="DX451" t="s">
        <v>433</v>
      </c>
      <c r="DY451" t="s">
        <v>613</v>
      </c>
      <c r="DZ451" t="s">
        <v>1092</v>
      </c>
      <c r="EG451" t="s">
        <v>2361</v>
      </c>
      <c r="ET451" t="s">
        <v>549</v>
      </c>
    </row>
    <row r="452" spans="1:269" x14ac:dyDescent="0.25">
      <c r="A452" t="s">
        <v>8825</v>
      </c>
      <c r="B452" t="str">
        <f>"801542993474"</f>
        <v>801542993474</v>
      </c>
      <c r="C452" t="s">
        <v>8826</v>
      </c>
      <c r="D452" t="s">
        <v>769</v>
      </c>
      <c r="E452" t="s">
        <v>2388</v>
      </c>
      <c r="G452" t="str">
        <f>"27.25"</f>
        <v>27.25</v>
      </c>
      <c r="H452" t="str">
        <f>"23.5"</f>
        <v>23.5</v>
      </c>
      <c r="I452" t="str">
        <f>"13.5"</f>
        <v>13.5</v>
      </c>
      <c r="J452" t="str">
        <f>"21.16"</f>
        <v>21.16</v>
      </c>
      <c r="K452" t="s">
        <v>584</v>
      </c>
      <c r="L452" t="s">
        <v>4748</v>
      </c>
      <c r="N452" t="s">
        <v>416</v>
      </c>
      <c r="O452" t="s">
        <v>519</v>
      </c>
      <c r="T452" t="s">
        <v>373</v>
      </c>
      <c r="U452" t="s">
        <v>373</v>
      </c>
      <c r="V452" t="s">
        <v>8827</v>
      </c>
      <c r="W452" t="s">
        <v>8828</v>
      </c>
      <c r="X452" t="s">
        <v>8829</v>
      </c>
      <c r="Y452" t="s">
        <v>8830</v>
      </c>
      <c r="Z452" t="s">
        <v>8831</v>
      </c>
      <c r="AA452" t="s">
        <v>8832</v>
      </c>
      <c r="AB452" t="s">
        <v>8833</v>
      </c>
      <c r="AC452" t="s">
        <v>8834</v>
      </c>
      <c r="AD452" t="s">
        <v>8835</v>
      </c>
      <c r="AE452" t="s">
        <v>8836</v>
      </c>
      <c r="AF452" t="s">
        <v>8837</v>
      </c>
      <c r="BA452" t="str">
        <f>"849"</f>
        <v>849</v>
      </c>
      <c r="BB452" t="str">
        <f>"360"</f>
        <v>360</v>
      </c>
      <c r="BC452" t="s">
        <v>388</v>
      </c>
      <c r="BD452" t="str">
        <f t="shared" si="100"/>
        <v>1</v>
      </c>
      <c r="BE452" t="s">
        <v>389</v>
      </c>
      <c r="BF452" t="str">
        <f>"31.5"</f>
        <v>31.5</v>
      </c>
      <c r="BG452" t="str">
        <f>"27.95"</f>
        <v>27.95</v>
      </c>
      <c r="BH452" t="str">
        <f>"14.96"</f>
        <v>14.96</v>
      </c>
      <c r="BI452" t="str">
        <f>"34.17"</f>
        <v>34.17</v>
      </c>
      <c r="BY452" t="str">
        <f>"7.63"</f>
        <v>7.63</v>
      </c>
      <c r="BZ452" t="str">
        <f>"0.216"</f>
        <v>0.216</v>
      </c>
      <c r="CA452" t="s">
        <v>495</v>
      </c>
      <c r="CH452" t="s">
        <v>603</v>
      </c>
      <c r="CI452" t="s">
        <v>446</v>
      </c>
      <c r="CJ452" t="s">
        <v>634</v>
      </c>
      <c r="CK452" t="s">
        <v>603</v>
      </c>
      <c r="CL452" t="s">
        <v>2696</v>
      </c>
      <c r="CM452" t="s">
        <v>634</v>
      </c>
      <c r="CO452">
        <v>0</v>
      </c>
      <c r="CQ452" t="s">
        <v>438</v>
      </c>
      <c r="CX452" t="s">
        <v>403</v>
      </c>
      <c r="CY452" t="s">
        <v>400</v>
      </c>
      <c r="CZ452">
        <v>0</v>
      </c>
      <c r="DD452">
        <v>0</v>
      </c>
      <c r="DE452" t="s">
        <v>405</v>
      </c>
      <c r="DF452" t="s">
        <v>2640</v>
      </c>
      <c r="DG452" t="s">
        <v>2380</v>
      </c>
      <c r="DH452">
        <v>1</v>
      </c>
      <c r="DI452">
        <v>1</v>
      </c>
      <c r="DJ452" t="s">
        <v>408</v>
      </c>
      <c r="DK452" t="s">
        <v>8549</v>
      </c>
      <c r="DL452">
        <v>0</v>
      </c>
      <c r="DM452" t="s">
        <v>538</v>
      </c>
      <c r="DX452" t="s">
        <v>433</v>
      </c>
      <c r="DY452" t="s">
        <v>613</v>
      </c>
      <c r="DZ452" t="s">
        <v>1092</v>
      </c>
      <c r="EG452" t="s">
        <v>2361</v>
      </c>
      <c r="ET452" t="s">
        <v>549</v>
      </c>
    </row>
    <row r="453" spans="1:269" x14ac:dyDescent="0.25">
      <c r="A453" t="s">
        <v>8838</v>
      </c>
      <c r="B453" t="str">
        <f>"801542774240"</f>
        <v>801542774240</v>
      </c>
      <c r="C453" t="s">
        <v>8839</v>
      </c>
      <c r="D453" t="s">
        <v>583</v>
      </c>
      <c r="E453" t="s">
        <v>367</v>
      </c>
      <c r="F453" t="s">
        <v>368</v>
      </c>
      <c r="G453" t="str">
        <f>"61"</f>
        <v>61</v>
      </c>
      <c r="H453" t="str">
        <f>"21"</f>
        <v>21</v>
      </c>
      <c r="I453" t="str">
        <f>"18"</f>
        <v>18</v>
      </c>
      <c r="J453" t="str">
        <f>"49.6"</f>
        <v>49.6</v>
      </c>
      <c r="K453" t="s">
        <v>1768</v>
      </c>
      <c r="N453" t="s">
        <v>416</v>
      </c>
      <c r="T453" t="s">
        <v>402</v>
      </c>
      <c r="U453" t="s">
        <v>373</v>
      </c>
      <c r="V453" t="s">
        <v>8840</v>
      </c>
      <c r="W453" t="s">
        <v>8841</v>
      </c>
      <c r="X453" t="s">
        <v>8842</v>
      </c>
      <c r="Y453" t="s">
        <v>8843</v>
      </c>
      <c r="Z453" t="s">
        <v>8844</v>
      </c>
      <c r="AA453" t="s">
        <v>8845</v>
      </c>
      <c r="AB453" t="s">
        <v>8846</v>
      </c>
      <c r="AC453" t="s">
        <v>8847</v>
      </c>
      <c r="AD453" t="s">
        <v>8848</v>
      </c>
      <c r="AE453" t="s">
        <v>8849</v>
      </c>
      <c r="AF453" t="s">
        <v>8850</v>
      </c>
      <c r="AG453" t="s">
        <v>8851</v>
      </c>
      <c r="AH453" t="s">
        <v>8852</v>
      </c>
      <c r="BA453" t="str">
        <f>"1649"</f>
        <v>1649</v>
      </c>
      <c r="BB453" t="str">
        <f>"695"</f>
        <v>695</v>
      </c>
      <c r="BC453" t="s">
        <v>388</v>
      </c>
      <c r="BD453" t="str">
        <f t="shared" si="100"/>
        <v>1</v>
      </c>
      <c r="BE453" t="s">
        <v>8853</v>
      </c>
      <c r="BF453" t="str">
        <f>"62.6"</f>
        <v>62.6</v>
      </c>
      <c r="BG453" t="str">
        <f>"21.65"</f>
        <v>21.65</v>
      </c>
      <c r="BH453" t="str">
        <f>"19.69"</f>
        <v>19.69</v>
      </c>
      <c r="BI453" t="str">
        <f>"62.83"</f>
        <v>62.83</v>
      </c>
      <c r="BY453" t="str">
        <f>"15.43"</f>
        <v>15.43</v>
      </c>
      <c r="BZ453" t="str">
        <f>"0.437"</f>
        <v>0.437</v>
      </c>
      <c r="CA453" t="s">
        <v>390</v>
      </c>
      <c r="CK453" t="s">
        <v>1151</v>
      </c>
      <c r="CL453" t="s">
        <v>449</v>
      </c>
      <c r="CM453" t="s">
        <v>2927</v>
      </c>
      <c r="CN453">
        <v>0</v>
      </c>
      <c r="CO453">
        <v>0</v>
      </c>
      <c r="CP453" t="s">
        <v>398</v>
      </c>
      <c r="CQ453" t="s">
        <v>438</v>
      </c>
      <c r="CR453" t="s">
        <v>400</v>
      </c>
      <c r="CS453">
        <v>0</v>
      </c>
      <c r="CT453" t="s">
        <v>400</v>
      </c>
      <c r="CV453">
        <v>0</v>
      </c>
      <c r="CX453" t="s">
        <v>403</v>
      </c>
      <c r="CY453" t="s">
        <v>400</v>
      </c>
      <c r="CZ453">
        <v>0</v>
      </c>
      <c r="DA453">
        <v>0</v>
      </c>
      <c r="DB453">
        <v>0</v>
      </c>
      <c r="DC453">
        <v>0</v>
      </c>
      <c r="DD453">
        <v>0</v>
      </c>
      <c r="DE453" t="s">
        <v>405</v>
      </c>
      <c r="DH453">
        <v>0</v>
      </c>
      <c r="DI453">
        <v>3</v>
      </c>
      <c r="DJ453" t="s">
        <v>408</v>
      </c>
      <c r="DK453" t="s">
        <v>633</v>
      </c>
      <c r="DL453">
        <v>0</v>
      </c>
      <c r="DM453" t="s">
        <v>410</v>
      </c>
      <c r="DX453" t="s">
        <v>613</v>
      </c>
      <c r="DZ453" t="s">
        <v>8854</v>
      </c>
      <c r="EG453" t="s">
        <v>641</v>
      </c>
      <c r="ET453" t="s">
        <v>643</v>
      </c>
    </row>
    <row r="454" spans="1:269" x14ac:dyDescent="0.25">
      <c r="A454" t="s">
        <v>8855</v>
      </c>
      <c r="B454" t="str">
        <f>"801542061258"</f>
        <v>801542061258</v>
      </c>
      <c r="C454" t="s">
        <v>8856</v>
      </c>
      <c r="D454" t="s">
        <v>583</v>
      </c>
      <c r="E454" t="s">
        <v>367</v>
      </c>
      <c r="F454" t="s">
        <v>368</v>
      </c>
      <c r="G454" t="str">
        <f>"61"</f>
        <v>61</v>
      </c>
      <c r="H454" t="str">
        <f>"21"</f>
        <v>21</v>
      </c>
      <c r="I454" t="str">
        <f>"18"</f>
        <v>18</v>
      </c>
      <c r="J454" t="str">
        <f>"49.6"</f>
        <v>49.6</v>
      </c>
      <c r="K454" t="s">
        <v>3083</v>
      </c>
      <c r="N454" t="s">
        <v>1170</v>
      </c>
      <c r="O454" t="s">
        <v>3084</v>
      </c>
      <c r="T454" t="s">
        <v>402</v>
      </c>
      <c r="U454" t="s">
        <v>373</v>
      </c>
      <c r="V454" t="s">
        <v>8857</v>
      </c>
      <c r="W454" t="s">
        <v>8858</v>
      </c>
      <c r="X454" t="s">
        <v>8859</v>
      </c>
      <c r="Y454" t="s">
        <v>8860</v>
      </c>
      <c r="Z454" t="s">
        <v>8861</v>
      </c>
      <c r="AA454" t="s">
        <v>8862</v>
      </c>
      <c r="AB454" t="s">
        <v>8863</v>
      </c>
      <c r="AC454" t="s">
        <v>8864</v>
      </c>
      <c r="AD454" t="s">
        <v>8865</v>
      </c>
      <c r="AE454" t="s">
        <v>8866</v>
      </c>
      <c r="AF454" t="s">
        <v>8867</v>
      </c>
      <c r="BA454" t="str">
        <f>"949"</f>
        <v>949</v>
      </c>
      <c r="BB454" t="str">
        <f>"400"</f>
        <v>400</v>
      </c>
      <c r="BC454" t="s">
        <v>388</v>
      </c>
      <c r="BD454" t="str">
        <f t="shared" si="100"/>
        <v>1</v>
      </c>
      <c r="BE454" t="s">
        <v>389</v>
      </c>
      <c r="BF454" t="str">
        <f>"62.6"</f>
        <v>62.6</v>
      </c>
      <c r="BG454" t="str">
        <f>"21.65"</f>
        <v>21.65</v>
      </c>
      <c r="BH454" t="str">
        <f>"19.69"</f>
        <v>19.69</v>
      </c>
      <c r="BI454" t="str">
        <f>"62.83"</f>
        <v>62.83</v>
      </c>
      <c r="BY454" t="str">
        <f>"15.43"</f>
        <v>15.43</v>
      </c>
      <c r="BZ454" t="str">
        <f>"0.437"</f>
        <v>0.437</v>
      </c>
      <c r="CA454" t="s">
        <v>390</v>
      </c>
      <c r="CK454" t="s">
        <v>1151</v>
      </c>
      <c r="CL454" t="s">
        <v>449</v>
      </c>
      <c r="CM454" t="s">
        <v>2927</v>
      </c>
      <c r="CN454">
        <v>0</v>
      </c>
      <c r="CO454">
        <v>0</v>
      </c>
      <c r="CP454" t="s">
        <v>398</v>
      </c>
      <c r="CQ454" t="s">
        <v>399</v>
      </c>
      <c r="CR454" t="s">
        <v>400</v>
      </c>
      <c r="CS454">
        <v>0</v>
      </c>
      <c r="CT454" t="s">
        <v>400</v>
      </c>
      <c r="CV454">
        <v>0</v>
      </c>
      <c r="CX454" t="s">
        <v>403</v>
      </c>
      <c r="CY454" t="s">
        <v>400</v>
      </c>
      <c r="CZ454">
        <v>0</v>
      </c>
      <c r="DA454">
        <v>0</v>
      </c>
      <c r="DB454">
        <v>0</v>
      </c>
      <c r="DC454">
        <v>0</v>
      </c>
      <c r="DD454">
        <v>100000</v>
      </c>
      <c r="DE454" t="s">
        <v>405</v>
      </c>
      <c r="DH454">
        <v>0</v>
      </c>
      <c r="DI454">
        <v>3</v>
      </c>
      <c r="DJ454" t="s">
        <v>408</v>
      </c>
      <c r="DK454" t="s">
        <v>633</v>
      </c>
      <c r="DL454">
        <v>0</v>
      </c>
      <c r="DM454" t="s">
        <v>410</v>
      </c>
      <c r="DX454" t="s">
        <v>613</v>
      </c>
      <c r="DZ454" t="s">
        <v>8854</v>
      </c>
      <c r="EG454" t="s">
        <v>641</v>
      </c>
      <c r="ET454" t="s">
        <v>643</v>
      </c>
    </row>
    <row r="455" spans="1:269" x14ac:dyDescent="0.25">
      <c r="A455" t="s">
        <v>8868</v>
      </c>
      <c r="B455" t="str">
        <f>"801542061265"</f>
        <v>801542061265</v>
      </c>
      <c r="C455" t="s">
        <v>8869</v>
      </c>
      <c r="D455" t="s">
        <v>583</v>
      </c>
      <c r="E455" t="s">
        <v>367</v>
      </c>
      <c r="F455" t="s">
        <v>368</v>
      </c>
      <c r="G455" t="str">
        <f>"61"</f>
        <v>61</v>
      </c>
      <c r="H455" t="str">
        <f>"21"</f>
        <v>21</v>
      </c>
      <c r="I455" t="str">
        <f>"18"</f>
        <v>18</v>
      </c>
      <c r="J455" t="str">
        <f>"49.6"</f>
        <v>49.6</v>
      </c>
      <c r="K455" t="s">
        <v>1792</v>
      </c>
      <c r="N455" t="s">
        <v>1793</v>
      </c>
      <c r="O455" t="s">
        <v>1794</v>
      </c>
      <c r="T455" t="s">
        <v>402</v>
      </c>
      <c r="U455" t="s">
        <v>373</v>
      </c>
      <c r="V455" t="s">
        <v>8870</v>
      </c>
      <c r="W455" t="s">
        <v>8871</v>
      </c>
      <c r="X455" t="s">
        <v>8872</v>
      </c>
      <c r="Y455" t="s">
        <v>8873</v>
      </c>
      <c r="Z455" t="s">
        <v>8874</v>
      </c>
      <c r="AA455" t="s">
        <v>8875</v>
      </c>
      <c r="AB455" t="s">
        <v>8876</v>
      </c>
      <c r="AC455" t="s">
        <v>8877</v>
      </c>
      <c r="AD455" t="s">
        <v>8878</v>
      </c>
      <c r="AE455" t="s">
        <v>8879</v>
      </c>
      <c r="AF455" t="s">
        <v>8880</v>
      </c>
      <c r="AG455" t="s">
        <v>8881</v>
      </c>
      <c r="BA455" t="str">
        <f>"949"</f>
        <v>949</v>
      </c>
      <c r="BB455" t="str">
        <f>"400"</f>
        <v>400</v>
      </c>
      <c r="BC455" t="s">
        <v>388</v>
      </c>
      <c r="BD455" t="str">
        <f t="shared" si="100"/>
        <v>1</v>
      </c>
      <c r="BE455" t="s">
        <v>389</v>
      </c>
      <c r="BF455" t="str">
        <f>"62.6"</f>
        <v>62.6</v>
      </c>
      <c r="BG455" t="str">
        <f>"21.65"</f>
        <v>21.65</v>
      </c>
      <c r="BH455" t="str">
        <f>"19.69"</f>
        <v>19.69</v>
      </c>
      <c r="BI455" t="str">
        <f>"62.83"</f>
        <v>62.83</v>
      </c>
      <c r="BY455" t="str">
        <f>"15.43"</f>
        <v>15.43</v>
      </c>
      <c r="BZ455" t="str">
        <f>"0.437"</f>
        <v>0.437</v>
      </c>
      <c r="CA455" t="s">
        <v>495</v>
      </c>
      <c r="CK455" t="s">
        <v>1151</v>
      </c>
      <c r="CL455" t="s">
        <v>449</v>
      </c>
      <c r="CM455" t="s">
        <v>2927</v>
      </c>
      <c r="CN455">
        <v>0</v>
      </c>
      <c r="CO455">
        <v>0</v>
      </c>
      <c r="CP455" t="s">
        <v>398</v>
      </c>
      <c r="CQ455" t="s">
        <v>438</v>
      </c>
      <c r="CR455" t="s">
        <v>400</v>
      </c>
      <c r="CS455">
        <v>0</v>
      </c>
      <c r="CT455" t="s">
        <v>400</v>
      </c>
      <c r="CV455">
        <v>0</v>
      </c>
      <c r="CX455" t="s">
        <v>403</v>
      </c>
      <c r="CY455" t="s">
        <v>400</v>
      </c>
      <c r="CZ455">
        <v>0</v>
      </c>
      <c r="DA455">
        <v>0</v>
      </c>
      <c r="DB455">
        <v>0</v>
      </c>
      <c r="DC455">
        <v>0</v>
      </c>
      <c r="DD455">
        <v>30000</v>
      </c>
      <c r="DE455" t="s">
        <v>405</v>
      </c>
      <c r="DH455">
        <v>0</v>
      </c>
      <c r="DI455">
        <v>3</v>
      </c>
      <c r="DJ455" t="s">
        <v>408</v>
      </c>
      <c r="DK455" t="s">
        <v>633</v>
      </c>
      <c r="DL455">
        <v>0</v>
      </c>
      <c r="DM455" t="s">
        <v>410</v>
      </c>
      <c r="DX455" t="s">
        <v>613</v>
      </c>
      <c r="DZ455" t="s">
        <v>8854</v>
      </c>
      <c r="EG455" t="s">
        <v>641</v>
      </c>
      <c r="ET455" t="s">
        <v>643</v>
      </c>
    </row>
    <row r="456" spans="1:269" x14ac:dyDescent="0.25">
      <c r="A456" t="s">
        <v>8882</v>
      </c>
      <c r="B456" t="str">
        <f>"801542169121"</f>
        <v>801542169121</v>
      </c>
      <c r="C456" t="s">
        <v>8883</v>
      </c>
      <c r="D456" t="s">
        <v>7245</v>
      </c>
      <c r="E456" t="s">
        <v>8884</v>
      </c>
      <c r="F456" t="s">
        <v>8885</v>
      </c>
      <c r="G456" t="str">
        <f>"11.75"</f>
        <v>11.75</v>
      </c>
      <c r="H456" t="str">
        <f>"11.75"</f>
        <v>11.75</v>
      </c>
      <c r="I456" t="str">
        <f>"15.75"</f>
        <v>15.75</v>
      </c>
      <c r="J456" t="str">
        <f>"23.81"</f>
        <v>23.81</v>
      </c>
      <c r="K456" t="s">
        <v>7248</v>
      </c>
      <c r="N456" t="s">
        <v>7249</v>
      </c>
      <c r="T456" t="s">
        <v>373</v>
      </c>
      <c r="U456" t="s">
        <v>373</v>
      </c>
      <c r="V456" t="s">
        <v>7250</v>
      </c>
      <c r="W456" t="s">
        <v>8886</v>
      </c>
      <c r="X456" t="s">
        <v>8887</v>
      </c>
      <c r="Y456" t="s">
        <v>8888</v>
      </c>
      <c r="Z456" t="s">
        <v>8889</v>
      </c>
      <c r="AA456" t="s">
        <v>8890</v>
      </c>
      <c r="AB456" t="s">
        <v>8891</v>
      </c>
      <c r="AC456" t="s">
        <v>8892</v>
      </c>
      <c r="AD456" t="s">
        <v>8893</v>
      </c>
      <c r="AE456" t="s">
        <v>8894</v>
      </c>
      <c r="AF456" t="s">
        <v>8895</v>
      </c>
      <c r="AG456" t="s">
        <v>8896</v>
      </c>
      <c r="AH456" t="s">
        <v>8897</v>
      </c>
      <c r="AI456" t="s">
        <v>8898</v>
      </c>
      <c r="AJ456" t="s">
        <v>8899</v>
      </c>
      <c r="AK456" t="s">
        <v>8900</v>
      </c>
      <c r="AL456" t="s">
        <v>8901</v>
      </c>
      <c r="AM456" t="s">
        <v>8902</v>
      </c>
      <c r="AN456" t="s">
        <v>8903</v>
      </c>
      <c r="AO456" t="s">
        <v>8904</v>
      </c>
      <c r="AP456" t="s">
        <v>8905</v>
      </c>
      <c r="BA456" t="str">
        <f>"199"</f>
        <v>199</v>
      </c>
      <c r="BB456" t="str">
        <f>"85"</f>
        <v>85</v>
      </c>
      <c r="BC456" t="s">
        <v>6158</v>
      </c>
      <c r="BD456" t="str">
        <f t="shared" si="100"/>
        <v>1</v>
      </c>
      <c r="BE456" t="s">
        <v>389</v>
      </c>
      <c r="BF456" t="str">
        <f>"14.96"</f>
        <v>14.96</v>
      </c>
      <c r="BG456" t="str">
        <f>"14.96"</f>
        <v>14.96</v>
      </c>
      <c r="BH456" t="str">
        <f>"19.09"</f>
        <v>19.09</v>
      </c>
      <c r="BI456" t="str">
        <f>"31.75"</f>
        <v>31.75</v>
      </c>
      <c r="BY456" t="str">
        <f>"2.47"</f>
        <v>2.47</v>
      </c>
      <c r="BZ456" t="str">
        <f>"0.07"</f>
        <v>0.07</v>
      </c>
      <c r="CA456" t="s">
        <v>431</v>
      </c>
      <c r="CR456" t="s">
        <v>400</v>
      </c>
      <c r="CS456">
        <v>0</v>
      </c>
      <c r="CT456" t="s">
        <v>400</v>
      </c>
      <c r="CV456">
        <v>0</v>
      </c>
      <c r="CY456" t="s">
        <v>400</v>
      </c>
      <c r="DC456">
        <v>0</v>
      </c>
      <c r="DJ456" t="s">
        <v>471</v>
      </c>
      <c r="DK456" t="s">
        <v>8906</v>
      </c>
      <c r="DM456" t="s">
        <v>473</v>
      </c>
      <c r="DX456" t="s">
        <v>1240</v>
      </c>
      <c r="DY456" t="s">
        <v>2510</v>
      </c>
      <c r="DZ456" t="s">
        <v>2510</v>
      </c>
      <c r="EI456" t="s">
        <v>1512</v>
      </c>
      <c r="EJ456" t="s">
        <v>1055</v>
      </c>
      <c r="EK456" t="s">
        <v>1512</v>
      </c>
      <c r="EL456" t="s">
        <v>446</v>
      </c>
      <c r="EN456">
        <v>0</v>
      </c>
      <c r="EO456">
        <v>0</v>
      </c>
    </row>
    <row r="457" spans="1:269" x14ac:dyDescent="0.25">
      <c r="A457" t="s">
        <v>8907</v>
      </c>
      <c r="B457" t="str">
        <f>"801542779603"</f>
        <v>801542779603</v>
      </c>
      <c r="C457" t="s">
        <v>8908</v>
      </c>
      <c r="D457" t="s">
        <v>3784</v>
      </c>
      <c r="E457" t="s">
        <v>988</v>
      </c>
      <c r="G457" t="str">
        <f>"70"</f>
        <v>70</v>
      </c>
      <c r="H457" t="str">
        <f t="shared" ref="H457:H463" si="101">"18"</f>
        <v>18</v>
      </c>
      <c r="I457" t="str">
        <f>"39.5"</f>
        <v>39.5</v>
      </c>
      <c r="J457" t="str">
        <f>"216.05"</f>
        <v>216.05</v>
      </c>
      <c r="K457" t="s">
        <v>3861</v>
      </c>
      <c r="L457" t="s">
        <v>3862</v>
      </c>
      <c r="N457" t="s">
        <v>3787</v>
      </c>
      <c r="O457" t="s">
        <v>416</v>
      </c>
      <c r="T457" t="s">
        <v>373</v>
      </c>
      <c r="U457" t="s">
        <v>373</v>
      </c>
      <c r="V457" t="s">
        <v>8909</v>
      </c>
      <c r="W457" t="s">
        <v>8910</v>
      </c>
      <c r="X457" t="s">
        <v>8911</v>
      </c>
      <c r="Y457" t="s">
        <v>8912</v>
      </c>
      <c r="Z457" t="s">
        <v>8913</v>
      </c>
      <c r="AA457" t="s">
        <v>8914</v>
      </c>
      <c r="AB457" t="s">
        <v>8915</v>
      </c>
      <c r="AC457" t="s">
        <v>8916</v>
      </c>
      <c r="AD457" t="s">
        <v>8917</v>
      </c>
      <c r="AE457" t="s">
        <v>8918</v>
      </c>
      <c r="AF457" t="s">
        <v>8919</v>
      </c>
      <c r="AG457" t="s">
        <v>8920</v>
      </c>
      <c r="AH457" t="s">
        <v>8921</v>
      </c>
      <c r="AI457" t="s">
        <v>8922</v>
      </c>
      <c r="AJ457" t="s">
        <v>8923</v>
      </c>
      <c r="AK457" t="s">
        <v>8924</v>
      </c>
      <c r="BA457" t="str">
        <f>"2399"</f>
        <v>2399</v>
      </c>
      <c r="BB457" t="str">
        <f>"1010"</f>
        <v>1010</v>
      </c>
      <c r="BC457" t="s">
        <v>1149</v>
      </c>
      <c r="BD457" t="str">
        <f t="shared" si="100"/>
        <v>1</v>
      </c>
      <c r="BE457" t="s">
        <v>389</v>
      </c>
      <c r="BF457" t="str">
        <f>"74.8"</f>
        <v>74.8</v>
      </c>
      <c r="BG457" t="str">
        <f>"22.44"</f>
        <v>22.44</v>
      </c>
      <c r="BH457" t="str">
        <f>"45.28"</f>
        <v>45.28</v>
      </c>
      <c r="BI457" t="str">
        <f>"253.53"</f>
        <v>253.53</v>
      </c>
      <c r="BY457" t="str">
        <f>"43.97"</f>
        <v>43.97</v>
      </c>
      <c r="BZ457" t="str">
        <f>"1.245"</f>
        <v>1.245</v>
      </c>
      <c r="CA457" t="s">
        <v>390</v>
      </c>
      <c r="CR457" t="s">
        <v>3806</v>
      </c>
      <c r="CS457">
        <v>9</v>
      </c>
      <c r="CT457" t="s">
        <v>1008</v>
      </c>
      <c r="CV457">
        <v>0</v>
      </c>
      <c r="CX457" t="s">
        <v>1018</v>
      </c>
      <c r="CY457" t="s">
        <v>1009</v>
      </c>
      <c r="DC457">
        <v>0</v>
      </c>
      <c r="DJ457" t="s">
        <v>1010</v>
      </c>
      <c r="DK457" t="s">
        <v>3807</v>
      </c>
      <c r="DM457" t="s">
        <v>473</v>
      </c>
      <c r="DX457" t="s">
        <v>3880</v>
      </c>
      <c r="EM457" t="s">
        <v>402</v>
      </c>
      <c r="EN457">
        <v>0</v>
      </c>
      <c r="FI457">
        <v>0</v>
      </c>
      <c r="FJ457" t="s">
        <v>1012</v>
      </c>
      <c r="FR457" t="s">
        <v>1612</v>
      </c>
      <c r="FS457" t="s">
        <v>1612</v>
      </c>
      <c r="FT457" t="s">
        <v>8925</v>
      </c>
      <c r="FU457" t="s">
        <v>8926</v>
      </c>
      <c r="FV457" t="s">
        <v>750</v>
      </c>
      <c r="FW457" t="s">
        <v>8927</v>
      </c>
      <c r="FX457" t="s">
        <v>1008</v>
      </c>
      <c r="FZ457" t="s">
        <v>1018</v>
      </c>
      <c r="GA457" t="s">
        <v>402</v>
      </c>
    </row>
    <row r="458" spans="1:269" x14ac:dyDescent="0.25">
      <c r="A458" t="s">
        <v>8928</v>
      </c>
      <c r="B458" t="str">
        <f>"801542779610"</f>
        <v>801542779610</v>
      </c>
      <c r="C458" t="s">
        <v>8929</v>
      </c>
      <c r="D458" t="s">
        <v>3784</v>
      </c>
      <c r="E458" t="s">
        <v>988</v>
      </c>
      <c r="G458" t="str">
        <f>"70"</f>
        <v>70</v>
      </c>
      <c r="H458" t="str">
        <f t="shared" si="101"/>
        <v>18</v>
      </c>
      <c r="I458" t="str">
        <f>"39.5"</f>
        <v>39.5</v>
      </c>
      <c r="J458" t="str">
        <f>"216.05"</f>
        <v>216.05</v>
      </c>
      <c r="K458" t="s">
        <v>3886</v>
      </c>
      <c r="L458" t="s">
        <v>3786</v>
      </c>
      <c r="N458" t="s">
        <v>3787</v>
      </c>
      <c r="O458" t="s">
        <v>416</v>
      </c>
      <c r="T458" t="s">
        <v>373</v>
      </c>
      <c r="U458" t="s">
        <v>373</v>
      </c>
      <c r="V458" t="s">
        <v>8930</v>
      </c>
      <c r="W458" t="s">
        <v>8931</v>
      </c>
      <c r="X458" t="s">
        <v>8932</v>
      </c>
      <c r="Y458" t="s">
        <v>8933</v>
      </c>
      <c r="Z458" t="s">
        <v>8934</v>
      </c>
      <c r="AA458" t="s">
        <v>8935</v>
      </c>
      <c r="AB458" t="s">
        <v>8936</v>
      </c>
      <c r="AC458" t="s">
        <v>8937</v>
      </c>
      <c r="AD458" t="s">
        <v>8938</v>
      </c>
      <c r="AE458" t="s">
        <v>8939</v>
      </c>
      <c r="AF458" t="s">
        <v>8940</v>
      </c>
      <c r="AG458" t="s">
        <v>8941</v>
      </c>
      <c r="AH458" t="s">
        <v>8942</v>
      </c>
      <c r="AI458" t="s">
        <v>8943</v>
      </c>
      <c r="AJ458" t="s">
        <v>8944</v>
      </c>
      <c r="AK458" t="s">
        <v>8945</v>
      </c>
      <c r="BA458" t="str">
        <f>"2399"</f>
        <v>2399</v>
      </c>
      <c r="BB458" t="str">
        <f>"1010"</f>
        <v>1010</v>
      </c>
      <c r="BC458" t="s">
        <v>1149</v>
      </c>
      <c r="BD458" t="str">
        <f t="shared" si="100"/>
        <v>1</v>
      </c>
      <c r="BE458" t="s">
        <v>389</v>
      </c>
      <c r="BF458" t="str">
        <f>"74.8"</f>
        <v>74.8</v>
      </c>
      <c r="BG458" t="str">
        <f>"22.44"</f>
        <v>22.44</v>
      </c>
      <c r="BH458" t="str">
        <f>"45.28"</f>
        <v>45.28</v>
      </c>
      <c r="BI458" t="str">
        <f>"253.53"</f>
        <v>253.53</v>
      </c>
      <c r="BY458" t="str">
        <f>"43.97"</f>
        <v>43.97</v>
      </c>
      <c r="BZ458" t="str">
        <f>"1.245"</f>
        <v>1.245</v>
      </c>
      <c r="CA458" t="s">
        <v>495</v>
      </c>
      <c r="CR458" t="s">
        <v>3806</v>
      </c>
      <c r="CS458">
        <v>9</v>
      </c>
      <c r="CT458" t="s">
        <v>1008</v>
      </c>
      <c r="CV458">
        <v>0</v>
      </c>
      <c r="CX458" t="s">
        <v>1018</v>
      </c>
      <c r="CY458" t="s">
        <v>1009</v>
      </c>
      <c r="DC458">
        <v>0</v>
      </c>
      <c r="DJ458" t="s">
        <v>1010</v>
      </c>
      <c r="DK458" t="s">
        <v>3807</v>
      </c>
      <c r="DM458" t="s">
        <v>473</v>
      </c>
      <c r="DX458" t="s">
        <v>3880</v>
      </c>
      <c r="EM458" t="s">
        <v>402</v>
      </c>
      <c r="EN458">
        <v>0</v>
      </c>
      <c r="FI458">
        <v>0</v>
      </c>
      <c r="FJ458" t="s">
        <v>1012</v>
      </c>
      <c r="FR458" t="s">
        <v>1612</v>
      </c>
      <c r="FS458" t="s">
        <v>1612</v>
      </c>
      <c r="FT458" t="s">
        <v>8925</v>
      </c>
      <c r="FU458" t="s">
        <v>8926</v>
      </c>
      <c r="FV458" t="s">
        <v>750</v>
      </c>
      <c r="FW458" t="s">
        <v>8927</v>
      </c>
      <c r="FX458" t="s">
        <v>1008</v>
      </c>
      <c r="FZ458" t="s">
        <v>1018</v>
      </c>
      <c r="GA458" t="s">
        <v>402</v>
      </c>
    </row>
    <row r="459" spans="1:269" x14ac:dyDescent="0.25">
      <c r="A459" t="s">
        <v>8946</v>
      </c>
      <c r="B459" t="str">
        <f>"801542863494"</f>
        <v>801542863494</v>
      </c>
      <c r="C459" t="s">
        <v>8947</v>
      </c>
      <c r="D459" t="s">
        <v>3784</v>
      </c>
      <c r="E459" t="s">
        <v>988</v>
      </c>
      <c r="G459" t="str">
        <f>"70"</f>
        <v>70</v>
      </c>
      <c r="H459" t="str">
        <f t="shared" si="101"/>
        <v>18</v>
      </c>
      <c r="I459" t="str">
        <f>"39.5"</f>
        <v>39.5</v>
      </c>
      <c r="J459" t="str">
        <f>"216.05"</f>
        <v>216.05</v>
      </c>
      <c r="K459" t="s">
        <v>3785</v>
      </c>
      <c r="L459" t="s">
        <v>3786</v>
      </c>
      <c r="N459" t="s">
        <v>3787</v>
      </c>
      <c r="O459" t="s">
        <v>416</v>
      </c>
      <c r="T459" t="s">
        <v>373</v>
      </c>
      <c r="U459" t="s">
        <v>373</v>
      </c>
      <c r="V459" t="s">
        <v>8948</v>
      </c>
      <c r="W459" t="s">
        <v>8949</v>
      </c>
      <c r="X459" t="s">
        <v>8950</v>
      </c>
      <c r="Y459" t="s">
        <v>8951</v>
      </c>
      <c r="Z459" t="s">
        <v>8952</v>
      </c>
      <c r="AA459" t="s">
        <v>8953</v>
      </c>
      <c r="AB459" t="s">
        <v>8954</v>
      </c>
      <c r="AC459" t="s">
        <v>3796</v>
      </c>
      <c r="AD459" t="s">
        <v>8955</v>
      </c>
      <c r="AE459" t="s">
        <v>8956</v>
      </c>
      <c r="AF459" t="s">
        <v>8957</v>
      </c>
      <c r="AG459" t="s">
        <v>8958</v>
      </c>
      <c r="AH459" t="s">
        <v>8959</v>
      </c>
      <c r="AI459" t="s">
        <v>8960</v>
      </c>
      <c r="AJ459" t="s">
        <v>8961</v>
      </c>
      <c r="AK459" t="s">
        <v>8962</v>
      </c>
      <c r="BA459" t="str">
        <f>"2399"</f>
        <v>2399</v>
      </c>
      <c r="BB459" t="str">
        <f>"1010"</f>
        <v>1010</v>
      </c>
      <c r="BC459" t="s">
        <v>1149</v>
      </c>
      <c r="BD459" t="str">
        <f t="shared" si="100"/>
        <v>1</v>
      </c>
      <c r="BE459" t="s">
        <v>389</v>
      </c>
      <c r="BF459" t="str">
        <f>"74.8"</f>
        <v>74.8</v>
      </c>
      <c r="BG459" t="str">
        <f>"22.44"</f>
        <v>22.44</v>
      </c>
      <c r="BH459" t="str">
        <f>"45.28"</f>
        <v>45.28</v>
      </c>
      <c r="BI459" t="str">
        <f>"253.53"</f>
        <v>253.53</v>
      </c>
      <c r="BY459" t="str">
        <f>"43.97"</f>
        <v>43.97</v>
      </c>
      <c r="BZ459" t="str">
        <f>"1.245"</f>
        <v>1.245</v>
      </c>
      <c r="CA459" t="s">
        <v>495</v>
      </c>
      <c r="CR459" t="s">
        <v>3806</v>
      </c>
      <c r="CS459">
        <v>9</v>
      </c>
      <c r="CT459" t="s">
        <v>1008</v>
      </c>
      <c r="CV459">
        <v>0</v>
      </c>
      <c r="CX459" t="s">
        <v>1018</v>
      </c>
      <c r="CY459" t="s">
        <v>1009</v>
      </c>
      <c r="DC459">
        <v>0</v>
      </c>
      <c r="DJ459" t="s">
        <v>1010</v>
      </c>
      <c r="DK459" t="s">
        <v>3807</v>
      </c>
      <c r="DM459" t="s">
        <v>473</v>
      </c>
      <c r="DX459" t="s">
        <v>3880</v>
      </c>
      <c r="EM459" t="s">
        <v>402</v>
      </c>
      <c r="EN459">
        <v>0</v>
      </c>
      <c r="FI459">
        <v>0</v>
      </c>
      <c r="FJ459" t="s">
        <v>1012</v>
      </c>
      <c r="FR459" t="s">
        <v>1612</v>
      </c>
      <c r="FS459" t="s">
        <v>1612</v>
      </c>
      <c r="FT459" t="s">
        <v>8925</v>
      </c>
      <c r="FU459" t="s">
        <v>8926</v>
      </c>
      <c r="FV459" t="s">
        <v>750</v>
      </c>
      <c r="FW459" t="s">
        <v>8927</v>
      </c>
      <c r="FX459" t="s">
        <v>1008</v>
      </c>
      <c r="FZ459" t="s">
        <v>1018</v>
      </c>
      <c r="GA459" t="s">
        <v>402</v>
      </c>
    </row>
    <row r="460" spans="1:269" x14ac:dyDescent="0.25">
      <c r="A460" t="s">
        <v>8963</v>
      </c>
      <c r="B460" t="str">
        <f>"801542941659"</f>
        <v>801542941659</v>
      </c>
      <c r="C460" t="s">
        <v>8964</v>
      </c>
      <c r="D460" t="s">
        <v>3784</v>
      </c>
      <c r="E460" t="s">
        <v>1043</v>
      </c>
      <c r="G460" t="str">
        <f>"36"</f>
        <v>36</v>
      </c>
      <c r="H460" t="str">
        <f t="shared" si="101"/>
        <v>18</v>
      </c>
      <c r="I460" t="str">
        <f>"26"</f>
        <v>26</v>
      </c>
      <c r="J460" t="str">
        <f>"74.96"</f>
        <v>74.96</v>
      </c>
      <c r="K460" t="s">
        <v>3861</v>
      </c>
      <c r="L460" t="s">
        <v>3862</v>
      </c>
      <c r="N460" t="s">
        <v>3787</v>
      </c>
      <c r="O460" t="s">
        <v>416</v>
      </c>
      <c r="T460" t="s">
        <v>373</v>
      </c>
      <c r="U460" t="s">
        <v>373</v>
      </c>
      <c r="V460" t="s">
        <v>8965</v>
      </c>
      <c r="W460" t="s">
        <v>8966</v>
      </c>
      <c r="X460" t="s">
        <v>8967</v>
      </c>
      <c r="Y460" t="s">
        <v>8968</v>
      </c>
      <c r="Z460" t="s">
        <v>8969</v>
      </c>
      <c r="AA460" t="s">
        <v>8970</v>
      </c>
      <c r="AB460" t="s">
        <v>8971</v>
      </c>
      <c r="AC460" t="s">
        <v>8972</v>
      </c>
      <c r="AD460" t="s">
        <v>8973</v>
      </c>
      <c r="AE460" t="s">
        <v>8974</v>
      </c>
      <c r="AF460" t="s">
        <v>8975</v>
      </c>
      <c r="AG460" t="s">
        <v>8976</v>
      </c>
      <c r="AH460" t="s">
        <v>8977</v>
      </c>
      <c r="AI460" t="s">
        <v>8978</v>
      </c>
      <c r="AJ460" t="s">
        <v>8979</v>
      </c>
      <c r="BA460" t="str">
        <f>"1099"</f>
        <v>1099</v>
      </c>
      <c r="BB460" t="str">
        <f>"465"</f>
        <v>465</v>
      </c>
      <c r="BC460" t="s">
        <v>1149</v>
      </c>
      <c r="BD460" t="str">
        <f t="shared" si="100"/>
        <v>1</v>
      </c>
      <c r="BE460" t="s">
        <v>389</v>
      </c>
      <c r="BF460" t="str">
        <f>"40.94"</f>
        <v>40.94</v>
      </c>
      <c r="BG460" t="str">
        <f>"22.05"</f>
        <v>22.05</v>
      </c>
      <c r="BH460" t="str">
        <f>"30.98"</f>
        <v>30.98</v>
      </c>
      <c r="BI460" t="str">
        <f>"92.59"</f>
        <v>92.59</v>
      </c>
      <c r="BY460" t="str">
        <f>"16.17"</f>
        <v>16.17</v>
      </c>
      <c r="BZ460" t="str">
        <f>"0.458"</f>
        <v>0.458</v>
      </c>
      <c r="CA460" t="s">
        <v>495</v>
      </c>
      <c r="CR460" t="s">
        <v>3806</v>
      </c>
      <c r="CS460">
        <v>3</v>
      </c>
      <c r="CT460" t="s">
        <v>1008</v>
      </c>
      <c r="CV460">
        <v>0</v>
      </c>
      <c r="CX460" t="s">
        <v>1018</v>
      </c>
      <c r="CY460" t="s">
        <v>1009</v>
      </c>
      <c r="DC460">
        <v>0</v>
      </c>
      <c r="DJ460" t="s">
        <v>408</v>
      </c>
      <c r="DK460" t="s">
        <v>3807</v>
      </c>
      <c r="DM460" t="s">
        <v>473</v>
      </c>
      <c r="DX460" t="s">
        <v>7923</v>
      </c>
      <c r="EM460" t="s">
        <v>402</v>
      </c>
      <c r="EN460">
        <v>0</v>
      </c>
      <c r="FI460">
        <v>0</v>
      </c>
      <c r="FJ460" t="s">
        <v>1012</v>
      </c>
      <c r="FR460" t="s">
        <v>8980</v>
      </c>
      <c r="FS460" t="s">
        <v>8980</v>
      </c>
      <c r="FT460" t="s">
        <v>675</v>
      </c>
      <c r="FU460" t="s">
        <v>8981</v>
      </c>
      <c r="FV460" t="s">
        <v>8040</v>
      </c>
      <c r="FW460" t="s">
        <v>8040</v>
      </c>
      <c r="FX460" t="s">
        <v>1008</v>
      </c>
      <c r="FZ460" t="s">
        <v>1018</v>
      </c>
      <c r="GA460" t="s">
        <v>402</v>
      </c>
    </row>
    <row r="461" spans="1:269" x14ac:dyDescent="0.25">
      <c r="A461" t="s">
        <v>8982</v>
      </c>
      <c r="B461" t="str">
        <f>"801542941666"</f>
        <v>801542941666</v>
      </c>
      <c r="C461" t="s">
        <v>8983</v>
      </c>
      <c r="D461" t="s">
        <v>3784</v>
      </c>
      <c r="E461" t="s">
        <v>1043</v>
      </c>
      <c r="G461" t="str">
        <f>"36"</f>
        <v>36</v>
      </c>
      <c r="H461" t="str">
        <f t="shared" si="101"/>
        <v>18</v>
      </c>
      <c r="I461" t="str">
        <f>"26"</f>
        <v>26</v>
      </c>
      <c r="J461" t="str">
        <f>"74.96"</f>
        <v>74.96</v>
      </c>
      <c r="K461" t="s">
        <v>3886</v>
      </c>
      <c r="L461" t="s">
        <v>3786</v>
      </c>
      <c r="N461" t="s">
        <v>3787</v>
      </c>
      <c r="O461" t="s">
        <v>416</v>
      </c>
      <c r="T461" t="s">
        <v>373</v>
      </c>
      <c r="U461" t="s">
        <v>373</v>
      </c>
      <c r="V461" t="s">
        <v>8984</v>
      </c>
      <c r="W461" t="s">
        <v>8985</v>
      </c>
      <c r="X461" t="s">
        <v>8986</v>
      </c>
      <c r="Y461" t="s">
        <v>8987</v>
      </c>
      <c r="Z461" t="s">
        <v>8988</v>
      </c>
      <c r="AA461" t="s">
        <v>8989</v>
      </c>
      <c r="AB461" t="s">
        <v>8990</v>
      </c>
      <c r="AC461" t="s">
        <v>8991</v>
      </c>
      <c r="AD461" t="s">
        <v>8992</v>
      </c>
      <c r="AE461" t="s">
        <v>8993</v>
      </c>
      <c r="AF461" t="s">
        <v>8994</v>
      </c>
      <c r="AG461" t="s">
        <v>8995</v>
      </c>
      <c r="AH461" t="s">
        <v>8996</v>
      </c>
      <c r="BA461" t="str">
        <f>"1099"</f>
        <v>1099</v>
      </c>
      <c r="BB461" t="str">
        <f>"465"</f>
        <v>465</v>
      </c>
      <c r="BC461" t="s">
        <v>1149</v>
      </c>
      <c r="BD461" t="str">
        <f t="shared" si="100"/>
        <v>1</v>
      </c>
      <c r="BE461" t="s">
        <v>389</v>
      </c>
      <c r="BF461" t="str">
        <f>"40.94"</f>
        <v>40.94</v>
      </c>
      <c r="BG461" t="str">
        <f>"22.05"</f>
        <v>22.05</v>
      </c>
      <c r="BH461" t="str">
        <f>"30.98"</f>
        <v>30.98</v>
      </c>
      <c r="BI461" t="str">
        <f>"92.59"</f>
        <v>92.59</v>
      </c>
      <c r="BY461" t="str">
        <f>"16.17"</f>
        <v>16.17</v>
      </c>
      <c r="BZ461" t="str">
        <f>"0.458"</f>
        <v>0.458</v>
      </c>
      <c r="CA461" t="s">
        <v>495</v>
      </c>
      <c r="CR461" t="s">
        <v>3806</v>
      </c>
      <c r="CS461">
        <v>3</v>
      </c>
      <c r="CT461" t="s">
        <v>1008</v>
      </c>
      <c r="CV461">
        <v>0</v>
      </c>
      <c r="CX461" t="s">
        <v>1018</v>
      </c>
      <c r="CY461" t="s">
        <v>1009</v>
      </c>
      <c r="DC461">
        <v>0</v>
      </c>
      <c r="DJ461" t="s">
        <v>408</v>
      </c>
      <c r="DK461" t="s">
        <v>3807</v>
      </c>
      <c r="DM461" t="s">
        <v>473</v>
      </c>
      <c r="DX461" t="s">
        <v>7923</v>
      </c>
      <c r="EM461" t="s">
        <v>402</v>
      </c>
      <c r="EN461">
        <v>0</v>
      </c>
      <c r="FI461">
        <v>0</v>
      </c>
      <c r="FJ461" t="s">
        <v>1012</v>
      </c>
      <c r="FR461" t="s">
        <v>8980</v>
      </c>
      <c r="FS461" t="s">
        <v>8980</v>
      </c>
      <c r="FT461" t="s">
        <v>675</v>
      </c>
      <c r="FU461" t="s">
        <v>8981</v>
      </c>
      <c r="FV461" t="s">
        <v>8040</v>
      </c>
      <c r="FW461" t="s">
        <v>8040</v>
      </c>
      <c r="FX461" t="s">
        <v>1008</v>
      </c>
      <c r="FZ461" t="s">
        <v>1018</v>
      </c>
      <c r="GA461" t="s">
        <v>402</v>
      </c>
    </row>
    <row r="462" spans="1:269" x14ac:dyDescent="0.25">
      <c r="A462" t="s">
        <v>8997</v>
      </c>
      <c r="B462" t="str">
        <f>"801542941673"</f>
        <v>801542941673</v>
      </c>
      <c r="C462" t="s">
        <v>8998</v>
      </c>
      <c r="D462" t="s">
        <v>3784</v>
      </c>
      <c r="E462" t="s">
        <v>1043</v>
      </c>
      <c r="G462" t="str">
        <f>"36"</f>
        <v>36</v>
      </c>
      <c r="H462" t="str">
        <f t="shared" si="101"/>
        <v>18</v>
      </c>
      <c r="I462" t="str">
        <f>"26"</f>
        <v>26</v>
      </c>
      <c r="J462" t="str">
        <f>"74.96"</f>
        <v>74.96</v>
      </c>
      <c r="K462" t="s">
        <v>3785</v>
      </c>
      <c r="L462" t="s">
        <v>3786</v>
      </c>
      <c r="N462" t="s">
        <v>3787</v>
      </c>
      <c r="O462" t="s">
        <v>416</v>
      </c>
      <c r="T462" t="s">
        <v>373</v>
      </c>
      <c r="U462" t="s">
        <v>373</v>
      </c>
      <c r="V462" t="s">
        <v>8999</v>
      </c>
      <c r="W462" t="s">
        <v>9000</v>
      </c>
      <c r="X462" t="s">
        <v>9001</v>
      </c>
      <c r="Y462" t="s">
        <v>9002</v>
      </c>
      <c r="Z462" t="s">
        <v>9003</v>
      </c>
      <c r="AA462" t="s">
        <v>9004</v>
      </c>
      <c r="AB462" t="s">
        <v>9005</v>
      </c>
      <c r="AC462" t="s">
        <v>9006</v>
      </c>
      <c r="AD462" t="s">
        <v>3796</v>
      </c>
      <c r="AE462" t="s">
        <v>9007</v>
      </c>
      <c r="AF462" t="s">
        <v>9008</v>
      </c>
      <c r="AG462" t="s">
        <v>9009</v>
      </c>
      <c r="AH462" t="s">
        <v>9010</v>
      </c>
      <c r="AI462" t="s">
        <v>9011</v>
      </c>
      <c r="AJ462" t="s">
        <v>9012</v>
      </c>
      <c r="AK462" t="s">
        <v>9013</v>
      </c>
      <c r="BA462" t="str">
        <f>"1099"</f>
        <v>1099</v>
      </c>
      <c r="BB462" t="str">
        <f>"465"</f>
        <v>465</v>
      </c>
      <c r="BC462" t="s">
        <v>1149</v>
      </c>
      <c r="BD462" t="str">
        <f t="shared" si="100"/>
        <v>1</v>
      </c>
      <c r="BE462" t="s">
        <v>389</v>
      </c>
      <c r="BF462" t="str">
        <f>"40.94"</f>
        <v>40.94</v>
      </c>
      <c r="BG462" t="str">
        <f>"22.05"</f>
        <v>22.05</v>
      </c>
      <c r="BH462" t="str">
        <f>"30.98"</f>
        <v>30.98</v>
      </c>
      <c r="BI462" t="str">
        <f>"92.59"</f>
        <v>92.59</v>
      </c>
      <c r="BY462" t="str">
        <f>"16.17"</f>
        <v>16.17</v>
      </c>
      <c r="BZ462" t="str">
        <f>"0.458"</f>
        <v>0.458</v>
      </c>
      <c r="CA462" t="s">
        <v>495</v>
      </c>
      <c r="CR462" t="s">
        <v>3806</v>
      </c>
      <c r="CS462">
        <v>3</v>
      </c>
      <c r="CT462" t="s">
        <v>1008</v>
      </c>
      <c r="CV462">
        <v>0</v>
      </c>
      <c r="CX462" t="s">
        <v>1018</v>
      </c>
      <c r="CY462" t="s">
        <v>1009</v>
      </c>
      <c r="DC462">
        <v>0</v>
      </c>
      <c r="DJ462" t="s">
        <v>408</v>
      </c>
      <c r="DK462" t="s">
        <v>3807</v>
      </c>
      <c r="DM462" t="s">
        <v>473</v>
      </c>
      <c r="DX462" t="s">
        <v>7923</v>
      </c>
      <c r="EM462" t="s">
        <v>402</v>
      </c>
      <c r="EN462">
        <v>0</v>
      </c>
      <c r="FI462">
        <v>0</v>
      </c>
      <c r="FJ462" t="s">
        <v>1012</v>
      </c>
      <c r="FR462" t="s">
        <v>8980</v>
      </c>
      <c r="FS462" t="s">
        <v>8980</v>
      </c>
      <c r="FT462" t="s">
        <v>675</v>
      </c>
      <c r="FU462" t="s">
        <v>8981</v>
      </c>
      <c r="FV462" t="s">
        <v>8040</v>
      </c>
      <c r="FW462" t="s">
        <v>8040</v>
      </c>
      <c r="FX462" t="s">
        <v>1008</v>
      </c>
      <c r="FZ462" t="s">
        <v>1018</v>
      </c>
      <c r="GA462" t="s">
        <v>402</v>
      </c>
    </row>
    <row r="463" spans="1:269" x14ac:dyDescent="0.25">
      <c r="A463" t="s">
        <v>9014</v>
      </c>
      <c r="B463" t="str">
        <f>"801542144494"</f>
        <v>801542144494</v>
      </c>
      <c r="C463" t="s">
        <v>9015</v>
      </c>
      <c r="D463" t="s">
        <v>9016</v>
      </c>
      <c r="E463" t="s">
        <v>930</v>
      </c>
      <c r="G463" t="str">
        <f>"74"</f>
        <v>74</v>
      </c>
      <c r="H463" t="str">
        <f t="shared" si="101"/>
        <v>18</v>
      </c>
      <c r="I463" t="str">
        <f>"31.5"</f>
        <v>31.5</v>
      </c>
      <c r="J463" t="str">
        <f>"134.92"</f>
        <v>134.92</v>
      </c>
      <c r="K463" t="s">
        <v>9017</v>
      </c>
      <c r="N463" t="s">
        <v>933</v>
      </c>
      <c r="T463" t="s">
        <v>373</v>
      </c>
      <c r="U463" t="s">
        <v>373</v>
      </c>
      <c r="V463" t="s">
        <v>9018</v>
      </c>
      <c r="W463" t="s">
        <v>9019</v>
      </c>
      <c r="X463" t="s">
        <v>9020</v>
      </c>
      <c r="Y463" t="s">
        <v>9021</v>
      </c>
      <c r="Z463" t="s">
        <v>9022</v>
      </c>
      <c r="AA463" t="s">
        <v>9023</v>
      </c>
      <c r="AB463" t="s">
        <v>9024</v>
      </c>
      <c r="AC463" t="s">
        <v>9025</v>
      </c>
      <c r="AD463" t="s">
        <v>9026</v>
      </c>
      <c r="AE463" t="s">
        <v>9027</v>
      </c>
      <c r="AF463" t="s">
        <v>9028</v>
      </c>
      <c r="AG463" t="s">
        <v>9029</v>
      </c>
      <c r="AH463" t="s">
        <v>9030</v>
      </c>
      <c r="AI463" t="s">
        <v>9031</v>
      </c>
      <c r="AJ463" t="s">
        <v>9032</v>
      </c>
      <c r="AK463" t="s">
        <v>9033</v>
      </c>
      <c r="AL463" t="s">
        <v>9034</v>
      </c>
      <c r="AM463" t="s">
        <v>9035</v>
      </c>
      <c r="BA463" t="str">
        <f>"2099"</f>
        <v>2099</v>
      </c>
      <c r="BB463" t="str">
        <f>"885"</f>
        <v>885</v>
      </c>
      <c r="BC463" t="s">
        <v>949</v>
      </c>
      <c r="BD463" t="str">
        <f t="shared" si="100"/>
        <v>1</v>
      </c>
      <c r="BE463" t="s">
        <v>389</v>
      </c>
      <c r="BF463" t="str">
        <f>"78"</f>
        <v>78</v>
      </c>
      <c r="BG463" t="str">
        <f>"22.25"</f>
        <v>22.25</v>
      </c>
      <c r="BH463" t="str">
        <f>"37.5"</f>
        <v>37.5</v>
      </c>
      <c r="BI463" t="str">
        <f>"177.47"</f>
        <v>177.47</v>
      </c>
      <c r="BY463" t="str">
        <f>"37.65"</f>
        <v>37.65</v>
      </c>
      <c r="BZ463" t="str">
        <f>"1.066"</f>
        <v>1.066</v>
      </c>
      <c r="CA463" t="s">
        <v>495</v>
      </c>
      <c r="CE463" t="s">
        <v>474</v>
      </c>
      <c r="CF463" t="s">
        <v>1512</v>
      </c>
      <c r="CG463" t="s">
        <v>822</v>
      </c>
      <c r="CR463" t="s">
        <v>400</v>
      </c>
      <c r="CS463">
        <v>0</v>
      </c>
      <c r="CT463" t="s">
        <v>400</v>
      </c>
      <c r="CV463">
        <v>0</v>
      </c>
      <c r="CY463" t="s">
        <v>954</v>
      </c>
      <c r="DA463">
        <v>18.14</v>
      </c>
      <c r="DB463">
        <v>40</v>
      </c>
      <c r="DC463">
        <v>2</v>
      </c>
      <c r="DK463" t="s">
        <v>9036</v>
      </c>
      <c r="DM463" t="s">
        <v>669</v>
      </c>
      <c r="DX463" t="s">
        <v>450</v>
      </c>
      <c r="EM463" t="s">
        <v>402</v>
      </c>
      <c r="EN463">
        <v>2</v>
      </c>
      <c r="EZ463" t="s">
        <v>1493</v>
      </c>
      <c r="FA463" t="s">
        <v>1040</v>
      </c>
      <c r="FB463" t="s">
        <v>3804</v>
      </c>
      <c r="FC463" t="s">
        <v>474</v>
      </c>
      <c r="FD463" t="s">
        <v>956</v>
      </c>
      <c r="FE463" t="s">
        <v>1511</v>
      </c>
      <c r="FF463">
        <v>0</v>
      </c>
      <c r="FI463">
        <v>4</v>
      </c>
      <c r="FJ463" t="s">
        <v>960</v>
      </c>
      <c r="FK463" t="s">
        <v>1246</v>
      </c>
      <c r="FL463">
        <v>0</v>
      </c>
      <c r="FM463" t="s">
        <v>402</v>
      </c>
      <c r="FO463" t="s">
        <v>984</v>
      </c>
      <c r="GB463" t="s">
        <v>474</v>
      </c>
      <c r="GC463" t="s">
        <v>9037</v>
      </c>
      <c r="GD463" t="s">
        <v>822</v>
      </c>
      <c r="GX463" t="s">
        <v>827</v>
      </c>
      <c r="HI463" t="s">
        <v>402</v>
      </c>
      <c r="JG463" t="s">
        <v>510</v>
      </c>
      <c r="JH463" t="s">
        <v>956</v>
      </c>
      <c r="JI463" t="s">
        <v>789</v>
      </c>
    </row>
    <row r="464" spans="1:269" x14ac:dyDescent="0.25">
      <c r="A464" t="s">
        <v>9038</v>
      </c>
      <c r="B464" t="str">
        <f>"801542065706"</f>
        <v>801542065706</v>
      </c>
      <c r="C464" t="s">
        <v>9039</v>
      </c>
      <c r="D464" t="s">
        <v>9040</v>
      </c>
      <c r="E464" t="s">
        <v>930</v>
      </c>
      <c r="G464" t="str">
        <f>"85.5"</f>
        <v>85.5</v>
      </c>
      <c r="H464" t="str">
        <f>"17.5"</f>
        <v>17.5</v>
      </c>
      <c r="I464" t="str">
        <f>"31"</f>
        <v>31</v>
      </c>
      <c r="J464" t="str">
        <f>"187.39"</f>
        <v>187.39</v>
      </c>
      <c r="K464" t="s">
        <v>9041</v>
      </c>
      <c r="N464" t="s">
        <v>9042</v>
      </c>
      <c r="O464" t="s">
        <v>9043</v>
      </c>
      <c r="T464" t="s">
        <v>373</v>
      </c>
      <c r="U464" t="s">
        <v>373</v>
      </c>
      <c r="V464" t="s">
        <v>9044</v>
      </c>
      <c r="W464" t="s">
        <v>9045</v>
      </c>
      <c r="X464" t="s">
        <v>9046</v>
      </c>
      <c r="Y464" t="s">
        <v>9047</v>
      </c>
      <c r="Z464" t="s">
        <v>9048</v>
      </c>
      <c r="AA464" t="s">
        <v>9049</v>
      </c>
      <c r="AB464" t="s">
        <v>9050</v>
      </c>
      <c r="AC464" t="s">
        <v>9051</v>
      </c>
      <c r="AD464" t="s">
        <v>9052</v>
      </c>
      <c r="AE464" t="s">
        <v>9053</v>
      </c>
      <c r="AF464" t="s">
        <v>9054</v>
      </c>
      <c r="AG464" t="s">
        <v>9055</v>
      </c>
      <c r="AH464" t="s">
        <v>9056</v>
      </c>
      <c r="AI464" t="s">
        <v>9057</v>
      </c>
      <c r="AJ464" t="s">
        <v>9058</v>
      </c>
      <c r="AK464" t="s">
        <v>9059</v>
      </c>
      <c r="BA464" t="str">
        <f>"1849"</f>
        <v>1849</v>
      </c>
      <c r="BB464" t="str">
        <f>"780"</f>
        <v>780</v>
      </c>
      <c r="BC464" t="s">
        <v>665</v>
      </c>
      <c r="BD464" t="str">
        <f t="shared" si="100"/>
        <v>1</v>
      </c>
      <c r="BE464" t="s">
        <v>9060</v>
      </c>
      <c r="BF464" t="str">
        <f>"89.17"</f>
        <v>89.17</v>
      </c>
      <c r="BG464" t="str">
        <f>"21.85"</f>
        <v>21.85</v>
      </c>
      <c r="BH464" t="str">
        <f>"26.97"</f>
        <v>26.97</v>
      </c>
      <c r="BI464" t="str">
        <f>"229.28"</f>
        <v>229.28</v>
      </c>
      <c r="BY464" t="str">
        <f>"30.41"</f>
        <v>30.41</v>
      </c>
      <c r="BZ464" t="str">
        <f>"0.861"</f>
        <v>0.861</v>
      </c>
      <c r="CA464" t="s">
        <v>431</v>
      </c>
      <c r="CE464" t="s">
        <v>1013</v>
      </c>
      <c r="CF464" t="s">
        <v>2379</v>
      </c>
      <c r="CG464" t="s">
        <v>9061</v>
      </c>
      <c r="CR464" t="s">
        <v>400</v>
      </c>
      <c r="CS464">
        <v>0</v>
      </c>
      <c r="CT464" t="s">
        <v>400</v>
      </c>
      <c r="CV464">
        <v>0</v>
      </c>
      <c r="CX464" t="s">
        <v>953</v>
      </c>
      <c r="CY464" t="s">
        <v>954</v>
      </c>
      <c r="DA464">
        <v>18.14</v>
      </c>
      <c r="DB464">
        <v>40</v>
      </c>
      <c r="DC464">
        <v>3</v>
      </c>
      <c r="DK464" t="s">
        <v>9062</v>
      </c>
      <c r="DM464" t="s">
        <v>669</v>
      </c>
      <c r="DX464" t="s">
        <v>9063</v>
      </c>
      <c r="EM464" t="s">
        <v>402</v>
      </c>
      <c r="EN464">
        <v>3</v>
      </c>
      <c r="EZ464" t="s">
        <v>2379</v>
      </c>
      <c r="FA464" t="s">
        <v>4614</v>
      </c>
      <c r="FB464" t="s">
        <v>9064</v>
      </c>
      <c r="FC464" t="s">
        <v>1013</v>
      </c>
      <c r="FD464" t="s">
        <v>4614</v>
      </c>
      <c r="FE464" t="s">
        <v>9061</v>
      </c>
      <c r="FF464">
        <v>0</v>
      </c>
      <c r="FG464" t="s">
        <v>402</v>
      </c>
      <c r="FH464" t="s">
        <v>959</v>
      </c>
      <c r="FI464">
        <v>6</v>
      </c>
      <c r="FJ464" t="s">
        <v>960</v>
      </c>
      <c r="FK464" t="s">
        <v>961</v>
      </c>
      <c r="FL464">
        <v>0</v>
      </c>
      <c r="FM464" t="s">
        <v>402</v>
      </c>
      <c r="FO464" t="s">
        <v>984</v>
      </c>
      <c r="GB464" t="s">
        <v>1013</v>
      </c>
      <c r="GC464" t="s">
        <v>2379</v>
      </c>
      <c r="GD464" t="s">
        <v>9061</v>
      </c>
      <c r="GR464" t="s">
        <v>1013</v>
      </c>
      <c r="GT464" t="s">
        <v>2379</v>
      </c>
      <c r="GV464" t="s">
        <v>9061</v>
      </c>
      <c r="GX464" t="s">
        <v>1357</v>
      </c>
      <c r="HI464" t="s">
        <v>402</v>
      </c>
    </row>
    <row r="465" spans="1:297" x14ac:dyDescent="0.25">
      <c r="A465" t="s">
        <v>9065</v>
      </c>
      <c r="B465" t="str">
        <f>"801542024307"</f>
        <v>801542024307</v>
      </c>
      <c r="C465" t="s">
        <v>9066</v>
      </c>
      <c r="D465" t="s">
        <v>722</v>
      </c>
      <c r="E465" t="s">
        <v>930</v>
      </c>
      <c r="G465" t="str">
        <f>"78"</f>
        <v>78</v>
      </c>
      <c r="H465" t="str">
        <f>"17.75"</f>
        <v>17.75</v>
      </c>
      <c r="I465" t="str">
        <f>"34.75"</f>
        <v>34.75</v>
      </c>
      <c r="J465" t="str">
        <f>"205.03"</f>
        <v>205.03</v>
      </c>
      <c r="K465" t="s">
        <v>724</v>
      </c>
      <c r="L465" t="s">
        <v>9067</v>
      </c>
      <c r="M465" t="s">
        <v>9068</v>
      </c>
      <c r="N465" t="s">
        <v>372</v>
      </c>
      <c r="O465" t="s">
        <v>1970</v>
      </c>
      <c r="T465" t="s">
        <v>402</v>
      </c>
      <c r="U465" t="s">
        <v>373</v>
      </c>
      <c r="V465" t="s">
        <v>9069</v>
      </c>
      <c r="W465" t="s">
        <v>9070</v>
      </c>
      <c r="X465" t="s">
        <v>9071</v>
      </c>
      <c r="Y465" t="s">
        <v>9072</v>
      </c>
      <c r="Z465" t="s">
        <v>9073</v>
      </c>
      <c r="AA465" t="s">
        <v>9074</v>
      </c>
      <c r="AB465" t="s">
        <v>9075</v>
      </c>
      <c r="AC465" t="s">
        <v>9076</v>
      </c>
      <c r="AD465" t="s">
        <v>9077</v>
      </c>
      <c r="BA465" t="str">
        <f>"3499"</f>
        <v>3499</v>
      </c>
      <c r="BB465" t="str">
        <f>"1470"</f>
        <v>1470</v>
      </c>
      <c r="BC465" t="s">
        <v>388</v>
      </c>
      <c r="BD465" t="str">
        <f t="shared" si="100"/>
        <v>1</v>
      </c>
      <c r="BE465" t="s">
        <v>389</v>
      </c>
      <c r="BF465" t="str">
        <f>"82.28"</f>
        <v>82.28</v>
      </c>
      <c r="BG465" t="str">
        <f>"21.65"</f>
        <v>21.65</v>
      </c>
      <c r="BH465" t="str">
        <f>"38.19"</f>
        <v>38.19</v>
      </c>
      <c r="BI465" t="str">
        <f>"244.71"</f>
        <v>244.71</v>
      </c>
      <c r="BY465" t="str">
        <f>"39.38"</f>
        <v>39.38</v>
      </c>
      <c r="BZ465" t="str">
        <f>"1.115"</f>
        <v>1.115</v>
      </c>
      <c r="CA465" t="s">
        <v>495</v>
      </c>
      <c r="CE465" t="s">
        <v>5832</v>
      </c>
      <c r="CF465" t="s">
        <v>9078</v>
      </c>
      <c r="CG465" t="s">
        <v>9079</v>
      </c>
      <c r="CR465" t="s">
        <v>1007</v>
      </c>
      <c r="CS465">
        <v>2</v>
      </c>
      <c r="CT465" t="s">
        <v>400</v>
      </c>
      <c r="CV465">
        <v>0</v>
      </c>
      <c r="CX465" t="s">
        <v>403</v>
      </c>
      <c r="CY465" t="s">
        <v>954</v>
      </c>
      <c r="DA465">
        <v>18.14</v>
      </c>
      <c r="DB465">
        <v>40</v>
      </c>
      <c r="DC465">
        <v>2</v>
      </c>
      <c r="DK465" t="s">
        <v>7622</v>
      </c>
      <c r="DM465" t="s">
        <v>669</v>
      </c>
      <c r="DX465" t="s">
        <v>1358</v>
      </c>
      <c r="EM465" t="s">
        <v>402</v>
      </c>
      <c r="EN465">
        <v>2</v>
      </c>
      <c r="EZ465" t="s">
        <v>3882</v>
      </c>
      <c r="FA465" t="s">
        <v>1355</v>
      </c>
      <c r="FB465" t="s">
        <v>6637</v>
      </c>
      <c r="FC465" t="s">
        <v>5832</v>
      </c>
      <c r="FD465" t="s">
        <v>5144</v>
      </c>
      <c r="FE465" t="s">
        <v>9079</v>
      </c>
      <c r="FF465">
        <v>0</v>
      </c>
      <c r="FG465" t="s">
        <v>402</v>
      </c>
      <c r="FH465" t="s">
        <v>959</v>
      </c>
      <c r="FI465">
        <v>4</v>
      </c>
      <c r="FJ465" t="s">
        <v>960</v>
      </c>
      <c r="FK465" t="s">
        <v>1611</v>
      </c>
      <c r="FL465">
        <v>0</v>
      </c>
      <c r="FM465" t="s">
        <v>402</v>
      </c>
      <c r="FO465" t="s">
        <v>5044</v>
      </c>
      <c r="FR465" t="s">
        <v>748</v>
      </c>
      <c r="FT465" t="s">
        <v>1634</v>
      </c>
      <c r="FV465" t="s">
        <v>578</v>
      </c>
      <c r="FX465" t="s">
        <v>1017</v>
      </c>
      <c r="FZ465" t="s">
        <v>1018</v>
      </c>
      <c r="GB465" t="s">
        <v>5832</v>
      </c>
      <c r="GC465" t="s">
        <v>9078</v>
      </c>
      <c r="GD465" t="s">
        <v>9079</v>
      </c>
      <c r="GX465" t="s">
        <v>1357</v>
      </c>
      <c r="HI465" t="s">
        <v>402</v>
      </c>
    </row>
    <row r="466" spans="1:297" x14ac:dyDescent="0.25">
      <c r="A466" t="s">
        <v>9080</v>
      </c>
      <c r="B466" t="str">
        <f>"801542275099"</f>
        <v>801542275099</v>
      </c>
      <c r="C466" t="s">
        <v>9081</v>
      </c>
      <c r="D466" t="s">
        <v>9082</v>
      </c>
      <c r="E466" t="s">
        <v>930</v>
      </c>
      <c r="G466" t="str">
        <f>"72"</f>
        <v>72</v>
      </c>
      <c r="H466" t="str">
        <f>"21"</f>
        <v>21</v>
      </c>
      <c r="I466" t="str">
        <f>"31"</f>
        <v>31</v>
      </c>
      <c r="J466" t="str">
        <f>"181.44"</f>
        <v>181.44</v>
      </c>
      <c r="K466" t="s">
        <v>9083</v>
      </c>
      <c r="L466" t="s">
        <v>9084</v>
      </c>
      <c r="M466" t="s">
        <v>9085</v>
      </c>
      <c r="N466" t="s">
        <v>9086</v>
      </c>
      <c r="O466" t="s">
        <v>6144</v>
      </c>
      <c r="P466" t="s">
        <v>6143</v>
      </c>
      <c r="T466" t="s">
        <v>373</v>
      </c>
      <c r="U466" t="s">
        <v>373</v>
      </c>
      <c r="V466" t="s">
        <v>9087</v>
      </c>
      <c r="W466" t="s">
        <v>9088</v>
      </c>
      <c r="X466" t="s">
        <v>9089</v>
      </c>
      <c r="Y466" t="s">
        <v>9090</v>
      </c>
      <c r="Z466" t="s">
        <v>9091</v>
      </c>
      <c r="AA466" t="s">
        <v>9092</v>
      </c>
      <c r="AB466" t="s">
        <v>9093</v>
      </c>
      <c r="AC466" t="s">
        <v>9094</v>
      </c>
      <c r="AD466" t="s">
        <v>9095</v>
      </c>
      <c r="AE466" t="s">
        <v>9096</v>
      </c>
      <c r="AF466" t="s">
        <v>9097</v>
      </c>
      <c r="AG466" t="s">
        <v>9098</v>
      </c>
      <c r="AH466" t="s">
        <v>9099</v>
      </c>
      <c r="AI466" t="s">
        <v>9100</v>
      </c>
      <c r="AJ466" t="s">
        <v>9101</v>
      </c>
      <c r="AK466" t="s">
        <v>9102</v>
      </c>
      <c r="AL466" t="s">
        <v>9103</v>
      </c>
      <c r="AM466" t="s">
        <v>9104</v>
      </c>
      <c r="AN466" t="s">
        <v>9105</v>
      </c>
      <c r="BA466" t="str">
        <f>"2099"</f>
        <v>2099</v>
      </c>
      <c r="BB466" t="str">
        <f>"885"</f>
        <v>885</v>
      </c>
      <c r="BC466" t="s">
        <v>6158</v>
      </c>
      <c r="BD466" t="str">
        <f t="shared" si="100"/>
        <v>1</v>
      </c>
      <c r="BE466" t="s">
        <v>389</v>
      </c>
      <c r="BF466" t="str">
        <f>"76.77"</f>
        <v>76.77</v>
      </c>
      <c r="BG466" t="str">
        <f>"25.2"</f>
        <v>25.2</v>
      </c>
      <c r="BH466" t="str">
        <f>"37.01"</f>
        <v>37.01</v>
      </c>
      <c r="BI466" t="str">
        <f>"228.18"</f>
        <v>228.18</v>
      </c>
      <c r="BY466" t="str">
        <f>"41.42"</f>
        <v>41.42</v>
      </c>
      <c r="BZ466" t="str">
        <f>"1.173"</f>
        <v>1.173</v>
      </c>
      <c r="CA466" t="s">
        <v>431</v>
      </c>
      <c r="CE466" t="s">
        <v>9106</v>
      </c>
      <c r="CF466" t="s">
        <v>9107</v>
      </c>
      <c r="CG466" t="s">
        <v>9108</v>
      </c>
      <c r="CR466" t="s">
        <v>400</v>
      </c>
      <c r="CS466">
        <v>0</v>
      </c>
      <c r="CT466" t="s">
        <v>400</v>
      </c>
      <c r="CV466">
        <v>0</v>
      </c>
      <c r="CX466" t="s">
        <v>1980</v>
      </c>
      <c r="CY466" t="s">
        <v>954</v>
      </c>
      <c r="DA466">
        <v>18.14</v>
      </c>
      <c r="DB466">
        <v>40</v>
      </c>
      <c r="DC466">
        <v>2</v>
      </c>
      <c r="DK466" t="s">
        <v>9109</v>
      </c>
      <c r="DM466" t="s">
        <v>669</v>
      </c>
      <c r="DX466" t="s">
        <v>446</v>
      </c>
      <c r="EN466">
        <v>2</v>
      </c>
      <c r="EZ466" t="s">
        <v>9110</v>
      </c>
      <c r="FA466" t="s">
        <v>4614</v>
      </c>
      <c r="FB466" t="s">
        <v>7921</v>
      </c>
      <c r="FC466" t="s">
        <v>9111</v>
      </c>
      <c r="FD466" t="s">
        <v>4614</v>
      </c>
      <c r="FE466" t="s">
        <v>9108</v>
      </c>
      <c r="FF466">
        <v>0</v>
      </c>
      <c r="FG466" t="s">
        <v>402</v>
      </c>
      <c r="FI466">
        <v>4</v>
      </c>
      <c r="FJ466" t="s">
        <v>960</v>
      </c>
      <c r="FK466" t="s">
        <v>961</v>
      </c>
      <c r="FL466">
        <v>0</v>
      </c>
      <c r="FM466" t="s">
        <v>402</v>
      </c>
      <c r="FO466" t="s">
        <v>984</v>
      </c>
      <c r="GX466" t="s">
        <v>1393</v>
      </c>
      <c r="HI466" t="s">
        <v>402</v>
      </c>
    </row>
    <row r="467" spans="1:297" x14ac:dyDescent="0.25">
      <c r="A467" t="s">
        <v>9112</v>
      </c>
      <c r="B467" t="str">
        <f>"801542066772"</f>
        <v>801542066772</v>
      </c>
      <c r="C467" t="s">
        <v>9113</v>
      </c>
      <c r="D467" t="s">
        <v>769</v>
      </c>
      <c r="E467" t="s">
        <v>2388</v>
      </c>
      <c r="G467" t="str">
        <f>"50.25"</f>
        <v>50.25</v>
      </c>
      <c r="H467" t="str">
        <f>"37"</f>
        <v>37</v>
      </c>
      <c r="I467" t="str">
        <f>"15.25"</f>
        <v>15.25</v>
      </c>
      <c r="J467" t="str">
        <f>"52.91"</f>
        <v>52.91</v>
      </c>
      <c r="K467" t="s">
        <v>1576</v>
      </c>
      <c r="L467" t="s">
        <v>4748</v>
      </c>
      <c r="N467" t="s">
        <v>416</v>
      </c>
      <c r="O467" t="s">
        <v>519</v>
      </c>
      <c r="T467" t="s">
        <v>373</v>
      </c>
      <c r="U467" t="s">
        <v>373</v>
      </c>
      <c r="V467" t="s">
        <v>8804</v>
      </c>
      <c r="W467" t="s">
        <v>9114</v>
      </c>
      <c r="X467" t="s">
        <v>9115</v>
      </c>
      <c r="Y467" t="s">
        <v>9116</v>
      </c>
      <c r="Z467" t="s">
        <v>9117</v>
      </c>
      <c r="AA467" t="s">
        <v>9118</v>
      </c>
      <c r="AB467" t="s">
        <v>9119</v>
      </c>
      <c r="AC467" t="s">
        <v>9120</v>
      </c>
      <c r="AD467" t="s">
        <v>9121</v>
      </c>
      <c r="AE467" t="s">
        <v>9122</v>
      </c>
      <c r="AF467" t="s">
        <v>9123</v>
      </c>
      <c r="BA467" t="str">
        <f>"1599"</f>
        <v>1599</v>
      </c>
      <c r="BB467" t="str">
        <f>"675"</f>
        <v>675</v>
      </c>
      <c r="BC467" t="s">
        <v>388</v>
      </c>
      <c r="BD467" t="str">
        <f t="shared" si="100"/>
        <v>1</v>
      </c>
      <c r="BE467" t="s">
        <v>389</v>
      </c>
      <c r="BF467" t="str">
        <f>"52.36"</f>
        <v>52.36</v>
      </c>
      <c r="BG467" t="str">
        <f>"40.16"</f>
        <v>40.16</v>
      </c>
      <c r="BH467" t="str">
        <f>"18.11"</f>
        <v>18.11</v>
      </c>
      <c r="BI467" t="str">
        <f>"72.75"</f>
        <v>72.75</v>
      </c>
      <c r="BY467" t="str">
        <f>"22.04"</f>
        <v>22.04</v>
      </c>
      <c r="BZ467" t="str">
        <f>"0.624"</f>
        <v>0.624</v>
      </c>
      <c r="CA467" t="s">
        <v>495</v>
      </c>
      <c r="CH467" t="s">
        <v>2146</v>
      </c>
      <c r="CI467" t="s">
        <v>446</v>
      </c>
      <c r="CJ467" t="s">
        <v>1162</v>
      </c>
      <c r="CK467" t="s">
        <v>2146</v>
      </c>
      <c r="CL467" t="s">
        <v>6161</v>
      </c>
      <c r="CM467" t="s">
        <v>1162</v>
      </c>
      <c r="CO467">
        <v>0</v>
      </c>
      <c r="CQ467" t="s">
        <v>438</v>
      </c>
      <c r="CX467" t="s">
        <v>403</v>
      </c>
      <c r="CY467" t="s">
        <v>400</v>
      </c>
      <c r="CZ467">
        <v>0</v>
      </c>
      <c r="DD467">
        <v>0</v>
      </c>
      <c r="DE467" t="s">
        <v>405</v>
      </c>
      <c r="DF467" t="s">
        <v>2640</v>
      </c>
      <c r="DG467" t="s">
        <v>2380</v>
      </c>
      <c r="DH467">
        <v>1</v>
      </c>
      <c r="DI467">
        <v>2</v>
      </c>
      <c r="DJ467" t="s">
        <v>408</v>
      </c>
      <c r="DK467" t="s">
        <v>8549</v>
      </c>
      <c r="DL467">
        <v>0</v>
      </c>
      <c r="DM467" t="s">
        <v>1736</v>
      </c>
      <c r="DX467" t="s">
        <v>433</v>
      </c>
      <c r="DY467" t="s">
        <v>451</v>
      </c>
      <c r="DZ467" t="s">
        <v>1162</v>
      </c>
      <c r="EG467" t="s">
        <v>2361</v>
      </c>
      <c r="ET467" t="s">
        <v>549</v>
      </c>
    </row>
    <row r="468" spans="1:297" x14ac:dyDescent="0.25">
      <c r="A468" t="s">
        <v>9124</v>
      </c>
      <c r="B468" t="str">
        <f>"801542066789"</f>
        <v>801542066789</v>
      </c>
      <c r="C468" t="s">
        <v>9125</v>
      </c>
      <c r="D468" t="s">
        <v>769</v>
      </c>
      <c r="E468" t="s">
        <v>2388</v>
      </c>
      <c r="G468" t="str">
        <f>"50.25"</f>
        <v>50.25</v>
      </c>
      <c r="H468" t="str">
        <f>"37"</f>
        <v>37</v>
      </c>
      <c r="I468" t="str">
        <f>"15.25"</f>
        <v>15.25</v>
      </c>
      <c r="J468" t="str">
        <f>"52.91"</f>
        <v>52.91</v>
      </c>
      <c r="K468" t="s">
        <v>2310</v>
      </c>
      <c r="L468" t="s">
        <v>4748</v>
      </c>
      <c r="N468" t="s">
        <v>416</v>
      </c>
      <c r="O468" t="s">
        <v>519</v>
      </c>
      <c r="T468" t="s">
        <v>373</v>
      </c>
      <c r="U468" t="s">
        <v>373</v>
      </c>
      <c r="V468" t="s">
        <v>8804</v>
      </c>
      <c r="W468" t="s">
        <v>9126</v>
      </c>
      <c r="X468" t="s">
        <v>9127</v>
      </c>
      <c r="Y468" t="s">
        <v>9128</v>
      </c>
      <c r="Z468" t="s">
        <v>9129</v>
      </c>
      <c r="AA468" t="s">
        <v>9130</v>
      </c>
      <c r="AB468" t="s">
        <v>9131</v>
      </c>
      <c r="AC468" t="s">
        <v>2319</v>
      </c>
      <c r="AD468" t="s">
        <v>9132</v>
      </c>
      <c r="AE468" t="s">
        <v>9133</v>
      </c>
      <c r="AF468" t="s">
        <v>9134</v>
      </c>
      <c r="AG468" t="s">
        <v>9135</v>
      </c>
      <c r="BA468" t="str">
        <f>"1599"</f>
        <v>1599</v>
      </c>
      <c r="BB468" t="str">
        <f>"675"</f>
        <v>675</v>
      </c>
      <c r="BC468" t="s">
        <v>388</v>
      </c>
      <c r="BD468" t="str">
        <f t="shared" si="100"/>
        <v>1</v>
      </c>
      <c r="BE468" t="s">
        <v>389</v>
      </c>
      <c r="BF468" t="str">
        <f>"52.36"</f>
        <v>52.36</v>
      </c>
      <c r="BG468" t="str">
        <f>"40.16"</f>
        <v>40.16</v>
      </c>
      <c r="BH468" t="str">
        <f>"18.11"</f>
        <v>18.11</v>
      </c>
      <c r="BI468" t="str">
        <f>"72.75"</f>
        <v>72.75</v>
      </c>
      <c r="BY468" t="str">
        <f>"22.04"</f>
        <v>22.04</v>
      </c>
      <c r="BZ468" t="str">
        <f>"0.624"</f>
        <v>0.624</v>
      </c>
      <c r="CA468" t="s">
        <v>431</v>
      </c>
      <c r="CH468" t="s">
        <v>2146</v>
      </c>
      <c r="CI468" t="s">
        <v>446</v>
      </c>
      <c r="CJ468" t="s">
        <v>1162</v>
      </c>
      <c r="CK468" t="s">
        <v>2146</v>
      </c>
      <c r="CL468" t="s">
        <v>6161</v>
      </c>
      <c r="CM468" t="s">
        <v>1162</v>
      </c>
      <c r="CO468">
        <v>0</v>
      </c>
      <c r="CQ468" t="s">
        <v>438</v>
      </c>
      <c r="CX468" t="s">
        <v>403</v>
      </c>
      <c r="CY468" t="s">
        <v>400</v>
      </c>
      <c r="CZ468">
        <v>0</v>
      </c>
      <c r="DD468">
        <v>0</v>
      </c>
      <c r="DE468" t="s">
        <v>405</v>
      </c>
      <c r="DF468" t="s">
        <v>2640</v>
      </c>
      <c r="DG468" t="s">
        <v>2380</v>
      </c>
      <c r="DH468">
        <v>1</v>
      </c>
      <c r="DI468">
        <v>2</v>
      </c>
      <c r="DJ468" t="s">
        <v>408</v>
      </c>
      <c r="DK468" t="s">
        <v>8549</v>
      </c>
      <c r="DL468">
        <v>0</v>
      </c>
      <c r="DM468" t="s">
        <v>1736</v>
      </c>
      <c r="DX468" t="s">
        <v>433</v>
      </c>
      <c r="DY468" t="s">
        <v>451</v>
      </c>
      <c r="DZ468" t="s">
        <v>1162</v>
      </c>
      <c r="EG468" t="s">
        <v>2361</v>
      </c>
      <c r="ET468" t="s">
        <v>549</v>
      </c>
    </row>
    <row r="469" spans="1:297" x14ac:dyDescent="0.25">
      <c r="A469" t="s">
        <v>9136</v>
      </c>
      <c r="B469" t="str">
        <f>"801542993467"</f>
        <v>801542993467</v>
      </c>
      <c r="C469" t="s">
        <v>9137</v>
      </c>
      <c r="D469" t="s">
        <v>769</v>
      </c>
      <c r="E469" t="s">
        <v>2388</v>
      </c>
      <c r="G469" t="str">
        <f>"50.25"</f>
        <v>50.25</v>
      </c>
      <c r="H469" t="str">
        <f>"37"</f>
        <v>37</v>
      </c>
      <c r="I469" t="str">
        <f>"15.25"</f>
        <v>15.25</v>
      </c>
      <c r="J469" t="str">
        <f>"52.91"</f>
        <v>52.91</v>
      </c>
      <c r="K469" t="s">
        <v>584</v>
      </c>
      <c r="L469" t="s">
        <v>4748</v>
      </c>
      <c r="N469" t="s">
        <v>416</v>
      </c>
      <c r="O469" t="s">
        <v>519</v>
      </c>
      <c r="T469" t="s">
        <v>373</v>
      </c>
      <c r="U469" t="s">
        <v>373</v>
      </c>
      <c r="V469" t="s">
        <v>9138</v>
      </c>
      <c r="W469" t="s">
        <v>9139</v>
      </c>
      <c r="X469" t="s">
        <v>9140</v>
      </c>
      <c r="Y469" t="s">
        <v>9141</v>
      </c>
      <c r="Z469" t="s">
        <v>9142</v>
      </c>
      <c r="AA469" t="s">
        <v>9143</v>
      </c>
      <c r="AB469" t="s">
        <v>9144</v>
      </c>
      <c r="AC469" t="s">
        <v>9145</v>
      </c>
      <c r="AD469" t="s">
        <v>9146</v>
      </c>
      <c r="AE469" t="s">
        <v>9147</v>
      </c>
      <c r="AF469" t="s">
        <v>9148</v>
      </c>
      <c r="AG469" t="s">
        <v>9149</v>
      </c>
      <c r="BA469" t="str">
        <f>"1599"</f>
        <v>1599</v>
      </c>
      <c r="BB469" t="str">
        <f>"675"</f>
        <v>675</v>
      </c>
      <c r="BC469" t="s">
        <v>388</v>
      </c>
      <c r="BD469" t="str">
        <f t="shared" si="100"/>
        <v>1</v>
      </c>
      <c r="BE469" t="s">
        <v>389</v>
      </c>
      <c r="BF469" t="str">
        <f>"52.36"</f>
        <v>52.36</v>
      </c>
      <c r="BG469" t="str">
        <f>"40.16"</f>
        <v>40.16</v>
      </c>
      <c r="BH469" t="str">
        <f>"18.11"</f>
        <v>18.11</v>
      </c>
      <c r="BI469" t="str">
        <f>"72.75"</f>
        <v>72.75</v>
      </c>
      <c r="BY469" t="str">
        <f>"22.04"</f>
        <v>22.04</v>
      </c>
      <c r="BZ469" t="str">
        <f>"0.624"</f>
        <v>0.624</v>
      </c>
      <c r="CA469" t="s">
        <v>495</v>
      </c>
      <c r="CH469" t="s">
        <v>2146</v>
      </c>
      <c r="CI469" t="s">
        <v>446</v>
      </c>
      <c r="CJ469" t="s">
        <v>1162</v>
      </c>
      <c r="CK469" t="s">
        <v>2146</v>
      </c>
      <c r="CL469" t="s">
        <v>6161</v>
      </c>
      <c r="CM469" t="s">
        <v>1162</v>
      </c>
      <c r="CO469">
        <v>0</v>
      </c>
      <c r="CQ469" t="s">
        <v>438</v>
      </c>
      <c r="CX469" t="s">
        <v>403</v>
      </c>
      <c r="CY469" t="s">
        <v>400</v>
      </c>
      <c r="CZ469">
        <v>0</v>
      </c>
      <c r="DD469">
        <v>0</v>
      </c>
      <c r="DE469" t="s">
        <v>405</v>
      </c>
      <c r="DF469" t="s">
        <v>2640</v>
      </c>
      <c r="DG469" t="s">
        <v>2380</v>
      </c>
      <c r="DH469">
        <v>1</v>
      </c>
      <c r="DI469">
        <v>2</v>
      </c>
      <c r="DJ469" t="s">
        <v>408</v>
      </c>
      <c r="DK469" t="s">
        <v>8549</v>
      </c>
      <c r="DL469">
        <v>0</v>
      </c>
      <c r="DM469" t="s">
        <v>1736</v>
      </c>
      <c r="DX469" t="s">
        <v>433</v>
      </c>
      <c r="DY469" t="s">
        <v>451</v>
      </c>
      <c r="DZ469" t="s">
        <v>1162</v>
      </c>
      <c r="EG469" t="s">
        <v>2361</v>
      </c>
      <c r="ET469" t="s">
        <v>549</v>
      </c>
    </row>
    <row r="470" spans="1:297" x14ac:dyDescent="0.25">
      <c r="A470" t="s">
        <v>9150</v>
      </c>
      <c r="B470" t="str">
        <f>"801542798918"</f>
        <v>801542798918</v>
      </c>
      <c r="C470" t="s">
        <v>9151</v>
      </c>
      <c r="D470" t="s">
        <v>1318</v>
      </c>
      <c r="E470" t="s">
        <v>515</v>
      </c>
      <c r="F470" t="s">
        <v>516</v>
      </c>
      <c r="G470" t="str">
        <f>"28.75"</f>
        <v>28.75</v>
      </c>
      <c r="H470" t="str">
        <f>"34"</f>
        <v>34</v>
      </c>
      <c r="I470" t="str">
        <f>"29.25"</f>
        <v>29.25</v>
      </c>
      <c r="J470" t="str">
        <f>"57.89"</f>
        <v>57.89</v>
      </c>
      <c r="K470" t="s">
        <v>9152</v>
      </c>
      <c r="L470" t="s">
        <v>7822</v>
      </c>
      <c r="N470" t="s">
        <v>1170</v>
      </c>
      <c r="O470" t="s">
        <v>3084</v>
      </c>
      <c r="P470" t="s">
        <v>372</v>
      </c>
      <c r="T470" t="s">
        <v>373</v>
      </c>
      <c r="U470" t="s">
        <v>373</v>
      </c>
      <c r="V470" t="s">
        <v>9153</v>
      </c>
      <c r="W470" t="s">
        <v>9154</v>
      </c>
      <c r="X470" t="s">
        <v>9155</v>
      </c>
      <c r="Y470" t="s">
        <v>9156</v>
      </c>
      <c r="Z470" t="s">
        <v>9157</v>
      </c>
      <c r="AA470" t="s">
        <v>9158</v>
      </c>
      <c r="AB470" t="s">
        <v>9159</v>
      </c>
      <c r="AC470" t="s">
        <v>9160</v>
      </c>
      <c r="AD470" t="s">
        <v>9161</v>
      </c>
      <c r="AE470" t="s">
        <v>9162</v>
      </c>
      <c r="AF470" t="s">
        <v>9163</v>
      </c>
      <c r="AG470" t="s">
        <v>9164</v>
      </c>
      <c r="AH470" t="s">
        <v>9165</v>
      </c>
      <c r="BA470" t="str">
        <f>"1149"</f>
        <v>1149</v>
      </c>
      <c r="BB470" t="str">
        <f>"485"</f>
        <v>485</v>
      </c>
      <c r="BC470" t="s">
        <v>388</v>
      </c>
      <c r="BD470" t="str">
        <f t="shared" si="100"/>
        <v>1</v>
      </c>
      <c r="BE470" t="s">
        <v>766</v>
      </c>
      <c r="BF470" t="str">
        <f>"28.74"</f>
        <v>28.74</v>
      </c>
      <c r="BG470" t="str">
        <f>"34.65"</f>
        <v>34.65</v>
      </c>
      <c r="BH470" t="str">
        <f>"30.71"</f>
        <v>30.71</v>
      </c>
      <c r="BI470" t="str">
        <f>"73.41"</f>
        <v>73.41</v>
      </c>
      <c r="BY470" t="str">
        <f>"13.95"</f>
        <v>13.95</v>
      </c>
      <c r="BZ470" t="str">
        <f>"0.395"</f>
        <v>0.395</v>
      </c>
      <c r="CA470" t="s">
        <v>495</v>
      </c>
      <c r="CK470" t="s">
        <v>2078</v>
      </c>
      <c r="CL470" t="s">
        <v>511</v>
      </c>
      <c r="CM470" t="s">
        <v>612</v>
      </c>
      <c r="CN470">
        <v>0</v>
      </c>
      <c r="CO470">
        <v>1</v>
      </c>
      <c r="CP470" t="s">
        <v>398</v>
      </c>
      <c r="CQ470" t="s">
        <v>631</v>
      </c>
      <c r="CX470" t="s">
        <v>403</v>
      </c>
      <c r="CY470" t="s">
        <v>1753</v>
      </c>
      <c r="CZ470">
        <v>0</v>
      </c>
      <c r="DD470">
        <v>30000</v>
      </c>
      <c r="DE470" t="s">
        <v>439</v>
      </c>
      <c r="DF470" t="s">
        <v>632</v>
      </c>
      <c r="DH470">
        <v>1</v>
      </c>
      <c r="DI470">
        <v>1</v>
      </c>
      <c r="DK470" t="s">
        <v>9166</v>
      </c>
      <c r="DL470">
        <v>0</v>
      </c>
      <c r="DM470" t="s">
        <v>538</v>
      </c>
      <c r="DX470" t="s">
        <v>827</v>
      </c>
      <c r="EA470" t="s">
        <v>1135</v>
      </c>
      <c r="ED470" t="s">
        <v>632</v>
      </c>
      <c r="EG470" t="s">
        <v>1513</v>
      </c>
      <c r="ER470">
        <v>0</v>
      </c>
      <c r="ES470">
        <v>0</v>
      </c>
      <c r="EU470">
        <v>0</v>
      </c>
      <c r="HM470" t="s">
        <v>1754</v>
      </c>
    </row>
    <row r="471" spans="1:297" x14ac:dyDescent="0.25">
      <c r="A471" t="s">
        <v>9167</v>
      </c>
      <c r="B471" t="str">
        <f>"801542099374"</f>
        <v>801542099374</v>
      </c>
      <c r="C471" t="s">
        <v>9168</v>
      </c>
      <c r="D471" t="s">
        <v>769</v>
      </c>
      <c r="E471" t="s">
        <v>515</v>
      </c>
      <c r="F471" t="s">
        <v>516</v>
      </c>
      <c r="G471" t="str">
        <f>"32.5"</f>
        <v>32.5</v>
      </c>
      <c r="H471" t="str">
        <f>"35.5"</f>
        <v>35.5</v>
      </c>
      <c r="I471" t="str">
        <f>"31.5"</f>
        <v>31.5</v>
      </c>
      <c r="J471" t="str">
        <f>"52.91"</f>
        <v>52.91</v>
      </c>
      <c r="K471" t="s">
        <v>1576</v>
      </c>
      <c r="L471" t="s">
        <v>1518</v>
      </c>
      <c r="N471" t="s">
        <v>416</v>
      </c>
      <c r="O471" t="s">
        <v>775</v>
      </c>
      <c r="T471" t="s">
        <v>373</v>
      </c>
      <c r="U471" t="s">
        <v>373</v>
      </c>
      <c r="V471" t="s">
        <v>9169</v>
      </c>
      <c r="W471" t="s">
        <v>9170</v>
      </c>
      <c r="X471" t="s">
        <v>9171</v>
      </c>
      <c r="Y471" t="s">
        <v>9172</v>
      </c>
      <c r="Z471" t="s">
        <v>9173</v>
      </c>
      <c r="AA471" t="s">
        <v>9174</v>
      </c>
      <c r="AB471" t="s">
        <v>9175</v>
      </c>
      <c r="AC471" t="s">
        <v>9176</v>
      </c>
      <c r="AD471" t="s">
        <v>9177</v>
      </c>
      <c r="AE471" t="s">
        <v>9178</v>
      </c>
      <c r="AF471" t="s">
        <v>9179</v>
      </c>
      <c r="AG471" t="s">
        <v>9180</v>
      </c>
      <c r="AH471" t="s">
        <v>9181</v>
      </c>
      <c r="BA471" t="str">
        <f>"2099"</f>
        <v>2099</v>
      </c>
      <c r="BB471" t="str">
        <f>"885"</f>
        <v>885</v>
      </c>
      <c r="BC471" t="s">
        <v>388</v>
      </c>
      <c r="BD471" t="str">
        <f t="shared" si="100"/>
        <v>1</v>
      </c>
      <c r="BE471" t="s">
        <v>389</v>
      </c>
      <c r="BF471" t="str">
        <f>"38.58"</f>
        <v>38.58</v>
      </c>
      <c r="BG471" t="str">
        <f>"35.43"</f>
        <v>35.43</v>
      </c>
      <c r="BH471" t="str">
        <f>"32.68"</f>
        <v>32.68</v>
      </c>
      <c r="BI471" t="str">
        <f>"74.96"</f>
        <v>74.96</v>
      </c>
      <c r="BY471" t="str">
        <f>"25.85"</f>
        <v>25.85</v>
      </c>
      <c r="BZ471" t="str">
        <f>"0.732"</f>
        <v>0.732</v>
      </c>
      <c r="CA471" t="s">
        <v>495</v>
      </c>
      <c r="CK471" t="s">
        <v>601</v>
      </c>
      <c r="CL471" t="s">
        <v>449</v>
      </c>
      <c r="CN471">
        <v>0</v>
      </c>
      <c r="CO471">
        <v>1</v>
      </c>
      <c r="CP471" t="s">
        <v>437</v>
      </c>
      <c r="CQ471" t="s">
        <v>438</v>
      </c>
      <c r="CX471" t="s">
        <v>403</v>
      </c>
      <c r="CY471" t="s">
        <v>400</v>
      </c>
      <c r="CZ471">
        <v>0</v>
      </c>
      <c r="DD471">
        <v>0</v>
      </c>
      <c r="DE471" t="s">
        <v>439</v>
      </c>
      <c r="DF471" t="s">
        <v>632</v>
      </c>
      <c r="DH471">
        <v>1</v>
      </c>
      <c r="DI471">
        <v>1</v>
      </c>
      <c r="DK471" t="s">
        <v>9182</v>
      </c>
      <c r="DL471">
        <v>0</v>
      </c>
      <c r="DM471" t="s">
        <v>538</v>
      </c>
      <c r="DN471" t="s">
        <v>578</v>
      </c>
      <c r="DO471" t="s">
        <v>2696</v>
      </c>
      <c r="DP471" t="s">
        <v>636</v>
      </c>
      <c r="DT471" t="s">
        <v>450</v>
      </c>
      <c r="DX471" t="s">
        <v>1489</v>
      </c>
      <c r="DY471" t="s">
        <v>3096</v>
      </c>
      <c r="DZ471" t="s">
        <v>2083</v>
      </c>
      <c r="EA471" t="s">
        <v>2696</v>
      </c>
      <c r="ED471" t="s">
        <v>632</v>
      </c>
      <c r="EP471" t="s">
        <v>791</v>
      </c>
      <c r="EQ471" t="s">
        <v>1151</v>
      </c>
      <c r="ER471">
        <v>0</v>
      </c>
      <c r="ES471">
        <v>0</v>
      </c>
      <c r="EU471">
        <v>0</v>
      </c>
    </row>
    <row r="472" spans="1:297" x14ac:dyDescent="0.25">
      <c r="A472" t="s">
        <v>9183</v>
      </c>
      <c r="B472" t="str">
        <f>"801542149840"</f>
        <v>801542149840</v>
      </c>
      <c r="C472" t="s">
        <v>9184</v>
      </c>
      <c r="D472" t="s">
        <v>769</v>
      </c>
      <c r="E472" t="s">
        <v>515</v>
      </c>
      <c r="F472" t="s">
        <v>516</v>
      </c>
      <c r="G472" t="str">
        <f>"32.5"</f>
        <v>32.5</v>
      </c>
      <c r="H472" t="str">
        <f>"35.5"</f>
        <v>35.5</v>
      </c>
      <c r="I472" t="str">
        <f>"31.5"</f>
        <v>31.5</v>
      </c>
      <c r="J472" t="str">
        <f>"52.91"</f>
        <v>52.91</v>
      </c>
      <c r="K472" t="s">
        <v>2310</v>
      </c>
      <c r="L472" t="s">
        <v>1518</v>
      </c>
      <c r="N472" t="s">
        <v>416</v>
      </c>
      <c r="O472" t="s">
        <v>775</v>
      </c>
      <c r="T472" t="s">
        <v>373</v>
      </c>
      <c r="U472" t="s">
        <v>373</v>
      </c>
      <c r="V472" t="s">
        <v>9169</v>
      </c>
      <c r="W472" t="s">
        <v>9185</v>
      </c>
      <c r="X472" t="s">
        <v>9186</v>
      </c>
      <c r="Y472" t="s">
        <v>9187</v>
      </c>
      <c r="Z472" t="s">
        <v>9188</v>
      </c>
      <c r="AA472" t="s">
        <v>9189</v>
      </c>
      <c r="AB472" t="s">
        <v>9190</v>
      </c>
      <c r="AC472" t="s">
        <v>9191</v>
      </c>
      <c r="AD472" t="s">
        <v>2319</v>
      </c>
      <c r="AE472" t="s">
        <v>9192</v>
      </c>
      <c r="AF472" t="s">
        <v>9193</v>
      </c>
      <c r="AG472" t="s">
        <v>9194</v>
      </c>
      <c r="AH472" t="s">
        <v>9195</v>
      </c>
      <c r="AI472" t="s">
        <v>9196</v>
      </c>
      <c r="BA472" t="str">
        <f>"2099"</f>
        <v>2099</v>
      </c>
      <c r="BB472" t="str">
        <f>"885"</f>
        <v>885</v>
      </c>
      <c r="BC472" t="s">
        <v>388</v>
      </c>
      <c r="BD472" t="str">
        <f t="shared" si="100"/>
        <v>1</v>
      </c>
      <c r="BE472" t="s">
        <v>389</v>
      </c>
      <c r="BF472" t="str">
        <f>"38.58"</f>
        <v>38.58</v>
      </c>
      <c r="BG472" t="str">
        <f>"35.43"</f>
        <v>35.43</v>
      </c>
      <c r="BH472" t="str">
        <f>"32.68"</f>
        <v>32.68</v>
      </c>
      <c r="BI472" t="str">
        <f>"74.96"</f>
        <v>74.96</v>
      </c>
      <c r="BY472" t="str">
        <f>"25.85"</f>
        <v>25.85</v>
      </c>
      <c r="BZ472" t="str">
        <f>"0.732"</f>
        <v>0.732</v>
      </c>
      <c r="CA472" t="s">
        <v>495</v>
      </c>
      <c r="CK472" t="s">
        <v>601</v>
      </c>
      <c r="CL472" t="s">
        <v>449</v>
      </c>
      <c r="CN472">
        <v>0</v>
      </c>
      <c r="CO472">
        <v>1</v>
      </c>
      <c r="CP472" t="s">
        <v>437</v>
      </c>
      <c r="CQ472" t="s">
        <v>438</v>
      </c>
      <c r="CX472" t="s">
        <v>403</v>
      </c>
      <c r="CY472" t="s">
        <v>400</v>
      </c>
      <c r="CZ472">
        <v>0</v>
      </c>
      <c r="DD472">
        <v>0</v>
      </c>
      <c r="DE472" t="s">
        <v>439</v>
      </c>
      <c r="DF472" t="s">
        <v>632</v>
      </c>
      <c r="DH472">
        <v>1</v>
      </c>
      <c r="DI472">
        <v>1</v>
      </c>
      <c r="DK472" t="s">
        <v>9182</v>
      </c>
      <c r="DL472">
        <v>0</v>
      </c>
      <c r="DM472" t="s">
        <v>538</v>
      </c>
      <c r="DN472" t="s">
        <v>578</v>
      </c>
      <c r="DO472" t="s">
        <v>2696</v>
      </c>
      <c r="DP472" t="s">
        <v>636</v>
      </c>
      <c r="DT472" t="s">
        <v>450</v>
      </c>
      <c r="DX472" t="s">
        <v>1489</v>
      </c>
      <c r="DY472" t="s">
        <v>3096</v>
      </c>
      <c r="DZ472" t="s">
        <v>2083</v>
      </c>
      <c r="EA472" t="s">
        <v>2696</v>
      </c>
      <c r="ED472" t="s">
        <v>632</v>
      </c>
      <c r="EP472" t="s">
        <v>791</v>
      </c>
      <c r="EQ472" t="s">
        <v>1151</v>
      </c>
      <c r="ER472">
        <v>0</v>
      </c>
      <c r="ES472">
        <v>0</v>
      </c>
      <c r="EU472">
        <v>0</v>
      </c>
    </row>
    <row r="473" spans="1:297" x14ac:dyDescent="0.25">
      <c r="A473" t="s">
        <v>9197</v>
      </c>
      <c r="B473" t="str">
        <f>"801542065676"</f>
        <v>801542065676</v>
      </c>
      <c r="C473" t="s">
        <v>9198</v>
      </c>
      <c r="D473" t="s">
        <v>769</v>
      </c>
      <c r="E473" t="s">
        <v>2388</v>
      </c>
      <c r="G473" t="str">
        <f t="shared" ref="G473:H475" si="102">"22.5"</f>
        <v>22.5</v>
      </c>
      <c r="H473" t="str">
        <f t="shared" si="102"/>
        <v>22.5</v>
      </c>
      <c r="I473" t="str">
        <f>"20.5"</f>
        <v>20.5</v>
      </c>
      <c r="J473" t="str">
        <f>"17.64"</f>
        <v>17.64</v>
      </c>
      <c r="K473" t="s">
        <v>9199</v>
      </c>
      <c r="L473" t="s">
        <v>585</v>
      </c>
      <c r="N473" t="s">
        <v>371</v>
      </c>
      <c r="O473" t="s">
        <v>775</v>
      </c>
      <c r="T473" t="s">
        <v>373</v>
      </c>
      <c r="U473" t="s">
        <v>373</v>
      </c>
      <c r="V473" t="s">
        <v>9200</v>
      </c>
      <c r="W473" t="s">
        <v>9201</v>
      </c>
      <c r="X473" t="s">
        <v>9202</v>
      </c>
      <c r="Y473" t="s">
        <v>9203</v>
      </c>
      <c r="Z473" t="s">
        <v>9204</v>
      </c>
      <c r="AA473" t="s">
        <v>9205</v>
      </c>
      <c r="AB473" t="s">
        <v>9206</v>
      </c>
      <c r="AC473" t="s">
        <v>9207</v>
      </c>
      <c r="AD473" t="s">
        <v>9208</v>
      </c>
      <c r="BA473" t="str">
        <f>"399"</f>
        <v>399</v>
      </c>
      <c r="BB473" t="str">
        <f>"170"</f>
        <v>170</v>
      </c>
      <c r="BC473" t="s">
        <v>388</v>
      </c>
      <c r="BD473" t="str">
        <f t="shared" si="100"/>
        <v>1</v>
      </c>
      <c r="BE473" t="s">
        <v>389</v>
      </c>
      <c r="BF473" t="str">
        <f t="shared" ref="BF473:BG475" si="103">"24.02"</f>
        <v>24.02</v>
      </c>
      <c r="BG473" t="str">
        <f t="shared" si="103"/>
        <v>24.02</v>
      </c>
      <c r="BH473" t="str">
        <f>"16.14"</f>
        <v>16.14</v>
      </c>
      <c r="BI473" t="str">
        <f>"22.71"</f>
        <v>22.71</v>
      </c>
      <c r="BY473" t="str">
        <f>"5.4"</f>
        <v>5.4</v>
      </c>
      <c r="BZ473" t="str">
        <f>"0.153"</f>
        <v>0.153</v>
      </c>
      <c r="CA473" t="s">
        <v>431</v>
      </c>
      <c r="CK473" t="s">
        <v>856</v>
      </c>
      <c r="CL473" t="s">
        <v>435</v>
      </c>
      <c r="CM473" t="s">
        <v>856</v>
      </c>
      <c r="CO473">
        <v>0</v>
      </c>
      <c r="CQ473" t="s">
        <v>399</v>
      </c>
      <c r="CX473" t="s">
        <v>403</v>
      </c>
      <c r="CY473" t="s">
        <v>400</v>
      </c>
      <c r="CZ473">
        <v>0</v>
      </c>
      <c r="DD473">
        <v>100000</v>
      </c>
      <c r="DE473" t="s">
        <v>570</v>
      </c>
      <c r="DF473" t="s">
        <v>632</v>
      </c>
      <c r="DH473">
        <v>1</v>
      </c>
      <c r="DI473">
        <v>1</v>
      </c>
      <c r="DJ473" t="s">
        <v>471</v>
      </c>
      <c r="DK473" t="s">
        <v>9209</v>
      </c>
      <c r="DL473">
        <v>0</v>
      </c>
      <c r="DM473" t="s">
        <v>538</v>
      </c>
      <c r="DX473" t="s">
        <v>3025</v>
      </c>
      <c r="DY473" t="s">
        <v>951</v>
      </c>
      <c r="DZ473" t="s">
        <v>951</v>
      </c>
      <c r="EG473" t="s">
        <v>2029</v>
      </c>
    </row>
    <row r="474" spans="1:297" x14ac:dyDescent="0.25">
      <c r="A474" t="s">
        <v>9210</v>
      </c>
      <c r="B474" t="str">
        <f>"801542135249"</f>
        <v>801542135249</v>
      </c>
      <c r="C474" t="s">
        <v>9211</v>
      </c>
      <c r="D474" t="s">
        <v>769</v>
      </c>
      <c r="E474" t="s">
        <v>2388</v>
      </c>
      <c r="G474" t="str">
        <f t="shared" si="102"/>
        <v>22.5</v>
      </c>
      <c r="H474" t="str">
        <f t="shared" si="102"/>
        <v>22.5</v>
      </c>
      <c r="I474" t="str">
        <f>"20.5"</f>
        <v>20.5</v>
      </c>
      <c r="J474" t="str">
        <f>"17.64"</f>
        <v>17.64</v>
      </c>
      <c r="K474" t="s">
        <v>9212</v>
      </c>
      <c r="L474" t="s">
        <v>9213</v>
      </c>
      <c r="N474" t="s">
        <v>371</v>
      </c>
      <c r="O474" t="s">
        <v>775</v>
      </c>
      <c r="T474" t="s">
        <v>373</v>
      </c>
      <c r="U474" t="s">
        <v>373</v>
      </c>
      <c r="V474" t="s">
        <v>9214</v>
      </c>
      <c r="W474" t="s">
        <v>9215</v>
      </c>
      <c r="X474" t="s">
        <v>9216</v>
      </c>
      <c r="Y474" t="s">
        <v>9217</v>
      </c>
      <c r="Z474" t="s">
        <v>9218</v>
      </c>
      <c r="AA474" t="s">
        <v>9219</v>
      </c>
      <c r="AB474" t="s">
        <v>9220</v>
      </c>
      <c r="AC474" t="s">
        <v>9221</v>
      </c>
      <c r="AD474" t="s">
        <v>9222</v>
      </c>
      <c r="AE474" t="s">
        <v>9223</v>
      </c>
      <c r="BA474" t="str">
        <f>"399"</f>
        <v>399</v>
      </c>
      <c r="BB474" t="str">
        <f>"170"</f>
        <v>170</v>
      </c>
      <c r="BC474" t="s">
        <v>388</v>
      </c>
      <c r="BD474" t="str">
        <f t="shared" si="100"/>
        <v>1</v>
      </c>
      <c r="BE474" t="s">
        <v>389</v>
      </c>
      <c r="BF474" t="str">
        <f t="shared" si="103"/>
        <v>24.02</v>
      </c>
      <c r="BG474" t="str">
        <f t="shared" si="103"/>
        <v>24.02</v>
      </c>
      <c r="BH474" t="str">
        <f>"16.14"</f>
        <v>16.14</v>
      </c>
      <c r="BI474" t="str">
        <f>"22.71"</f>
        <v>22.71</v>
      </c>
      <c r="BY474" t="str">
        <f>"5.4"</f>
        <v>5.4</v>
      </c>
      <c r="BZ474" t="str">
        <f>"0.153"</f>
        <v>0.153</v>
      </c>
      <c r="CA474" t="s">
        <v>431</v>
      </c>
      <c r="CK474" t="s">
        <v>856</v>
      </c>
      <c r="CL474" t="s">
        <v>435</v>
      </c>
      <c r="CM474" t="s">
        <v>856</v>
      </c>
      <c r="CO474">
        <v>0</v>
      </c>
      <c r="CQ474" t="s">
        <v>399</v>
      </c>
      <c r="CX474" t="s">
        <v>403</v>
      </c>
      <c r="CY474" t="s">
        <v>400</v>
      </c>
      <c r="CZ474">
        <v>0</v>
      </c>
      <c r="DD474">
        <v>100000</v>
      </c>
      <c r="DE474" t="s">
        <v>570</v>
      </c>
      <c r="DF474" t="s">
        <v>632</v>
      </c>
      <c r="DH474">
        <v>1</v>
      </c>
      <c r="DI474">
        <v>1</v>
      </c>
      <c r="DJ474" t="s">
        <v>471</v>
      </c>
      <c r="DK474" t="s">
        <v>9209</v>
      </c>
      <c r="DL474">
        <v>0</v>
      </c>
      <c r="DM474" t="s">
        <v>538</v>
      </c>
      <c r="DX474" t="s">
        <v>3025</v>
      </c>
      <c r="DY474" t="s">
        <v>951</v>
      </c>
      <c r="DZ474" t="s">
        <v>951</v>
      </c>
      <c r="EG474" t="s">
        <v>2029</v>
      </c>
    </row>
    <row r="475" spans="1:297" x14ac:dyDescent="0.25">
      <c r="A475" t="s">
        <v>9224</v>
      </c>
      <c r="B475" t="str">
        <f>"801542284091"</f>
        <v>801542284091</v>
      </c>
      <c r="C475" t="s">
        <v>9225</v>
      </c>
      <c r="D475" t="s">
        <v>769</v>
      </c>
      <c r="E475" t="s">
        <v>2388</v>
      </c>
      <c r="G475" t="str">
        <f t="shared" si="102"/>
        <v>22.5</v>
      </c>
      <c r="H475" t="str">
        <f t="shared" si="102"/>
        <v>22.5</v>
      </c>
      <c r="I475" t="str">
        <f>"20.5"</f>
        <v>20.5</v>
      </c>
      <c r="J475" t="str">
        <f>"17.64"</f>
        <v>17.64</v>
      </c>
      <c r="K475" t="s">
        <v>9226</v>
      </c>
      <c r="L475" t="s">
        <v>585</v>
      </c>
      <c r="N475" t="s">
        <v>9227</v>
      </c>
      <c r="O475" t="s">
        <v>9228</v>
      </c>
      <c r="P475" t="s">
        <v>9229</v>
      </c>
      <c r="Q475" t="s">
        <v>9230</v>
      </c>
      <c r="R475" t="s">
        <v>9231</v>
      </c>
      <c r="S475" t="s">
        <v>775</v>
      </c>
      <c r="T475" t="s">
        <v>373</v>
      </c>
      <c r="U475" t="s">
        <v>373</v>
      </c>
      <c r="V475" t="s">
        <v>9232</v>
      </c>
      <c r="W475" t="s">
        <v>9233</v>
      </c>
      <c r="X475" t="s">
        <v>9234</v>
      </c>
      <c r="Y475" t="s">
        <v>9235</v>
      </c>
      <c r="Z475" t="s">
        <v>9236</v>
      </c>
      <c r="AA475" t="s">
        <v>9237</v>
      </c>
      <c r="AB475" t="s">
        <v>9238</v>
      </c>
      <c r="AC475" t="s">
        <v>9239</v>
      </c>
      <c r="AD475" t="s">
        <v>9240</v>
      </c>
      <c r="AE475" t="s">
        <v>9241</v>
      </c>
      <c r="AF475" t="s">
        <v>9242</v>
      </c>
      <c r="BA475" t="str">
        <f>"449"</f>
        <v>449</v>
      </c>
      <c r="BB475" t="str">
        <f>"190"</f>
        <v>190</v>
      </c>
      <c r="BC475" t="s">
        <v>388</v>
      </c>
      <c r="BD475" t="str">
        <f t="shared" si="100"/>
        <v>1</v>
      </c>
      <c r="BE475" t="s">
        <v>389</v>
      </c>
      <c r="BF475" t="str">
        <f t="shared" si="103"/>
        <v>24.02</v>
      </c>
      <c r="BG475" t="str">
        <f t="shared" si="103"/>
        <v>24.02</v>
      </c>
      <c r="BH475" t="str">
        <f>"16.14"</f>
        <v>16.14</v>
      </c>
      <c r="BI475" t="str">
        <f>"22.71"</f>
        <v>22.71</v>
      </c>
      <c r="BY475" t="str">
        <f>"5.4"</f>
        <v>5.4</v>
      </c>
      <c r="BZ475" t="str">
        <f>"0.153"</f>
        <v>0.153</v>
      </c>
      <c r="CA475" t="s">
        <v>431</v>
      </c>
      <c r="CK475" t="s">
        <v>856</v>
      </c>
      <c r="CL475" t="s">
        <v>435</v>
      </c>
      <c r="CM475" t="s">
        <v>856</v>
      </c>
      <c r="CO475">
        <v>0</v>
      </c>
      <c r="CQ475" t="s">
        <v>399</v>
      </c>
      <c r="CX475" t="s">
        <v>403</v>
      </c>
      <c r="CY475" t="s">
        <v>400</v>
      </c>
      <c r="CZ475">
        <v>0</v>
      </c>
      <c r="DD475">
        <v>30000</v>
      </c>
      <c r="DE475" t="s">
        <v>570</v>
      </c>
      <c r="DF475" t="s">
        <v>632</v>
      </c>
      <c r="DH475">
        <v>1</v>
      </c>
      <c r="DI475">
        <v>1</v>
      </c>
      <c r="DJ475" t="s">
        <v>471</v>
      </c>
      <c r="DK475" t="s">
        <v>9209</v>
      </c>
      <c r="DL475">
        <v>0</v>
      </c>
      <c r="DM475" t="s">
        <v>538</v>
      </c>
      <c r="DX475" t="s">
        <v>3025</v>
      </c>
      <c r="DY475" t="s">
        <v>951</v>
      </c>
      <c r="DZ475" t="s">
        <v>951</v>
      </c>
      <c r="EG475" t="s">
        <v>2029</v>
      </c>
    </row>
    <row r="476" spans="1:297" x14ac:dyDescent="0.25">
      <c r="A476" t="s">
        <v>9243</v>
      </c>
      <c r="B476" t="str">
        <f>"801542129347"</f>
        <v>801542129347</v>
      </c>
      <c r="C476" t="s">
        <v>9244</v>
      </c>
      <c r="D476" t="s">
        <v>1098</v>
      </c>
      <c r="E476" t="s">
        <v>988</v>
      </c>
      <c r="G476" t="str">
        <f>"40"</f>
        <v>40</v>
      </c>
      <c r="H476" t="str">
        <f>"26"</f>
        <v>26</v>
      </c>
      <c r="I476" t="str">
        <f>"68"</f>
        <v>68</v>
      </c>
      <c r="J476" t="str">
        <f>"226.3"</f>
        <v>226.3</v>
      </c>
      <c r="K476" t="s">
        <v>8340</v>
      </c>
      <c r="N476" t="s">
        <v>933</v>
      </c>
      <c r="T476" t="s">
        <v>373</v>
      </c>
      <c r="U476" t="s">
        <v>373</v>
      </c>
      <c r="V476" t="s">
        <v>9245</v>
      </c>
      <c r="W476" t="s">
        <v>9246</v>
      </c>
      <c r="X476" t="s">
        <v>9247</v>
      </c>
      <c r="Y476" t="s">
        <v>9248</v>
      </c>
      <c r="Z476" t="s">
        <v>9249</v>
      </c>
      <c r="AA476" t="s">
        <v>9250</v>
      </c>
      <c r="AB476" t="s">
        <v>9251</v>
      </c>
      <c r="AC476" t="s">
        <v>9252</v>
      </c>
      <c r="AD476" t="s">
        <v>9253</v>
      </c>
      <c r="AE476" t="s">
        <v>9254</v>
      </c>
      <c r="AF476" t="s">
        <v>9255</v>
      </c>
      <c r="AG476" t="s">
        <v>9256</v>
      </c>
      <c r="AH476" t="s">
        <v>9257</v>
      </c>
      <c r="AI476" t="s">
        <v>9258</v>
      </c>
      <c r="BA476" t="str">
        <f>"2599"</f>
        <v>2599</v>
      </c>
      <c r="BB476" t="str">
        <f>"1095"</f>
        <v>1095</v>
      </c>
      <c r="BC476" t="s">
        <v>949</v>
      </c>
      <c r="BD476" t="str">
        <f t="shared" si="100"/>
        <v>1</v>
      </c>
      <c r="BE476" t="s">
        <v>389</v>
      </c>
      <c r="BF476" t="str">
        <f>"43"</f>
        <v>43</v>
      </c>
      <c r="BG476" t="str">
        <f>"29.5"</f>
        <v>29.5</v>
      </c>
      <c r="BH476" t="str">
        <f>"64.25"</f>
        <v>64.25</v>
      </c>
      <c r="BI476" t="str">
        <f>"260.55"</f>
        <v>260.55</v>
      </c>
      <c r="BY476" t="str">
        <f>"47.18"</f>
        <v>47.18</v>
      </c>
      <c r="BZ476" t="str">
        <f>"1.336"</f>
        <v>1.336</v>
      </c>
      <c r="CA476" t="s">
        <v>431</v>
      </c>
      <c r="CE476" t="s">
        <v>9259</v>
      </c>
      <c r="CF476" t="s">
        <v>9260</v>
      </c>
      <c r="CG476" t="s">
        <v>9261</v>
      </c>
      <c r="CR476" t="s">
        <v>1343</v>
      </c>
      <c r="CS476">
        <v>2</v>
      </c>
      <c r="CT476" t="s">
        <v>1008</v>
      </c>
      <c r="CV476">
        <v>0</v>
      </c>
      <c r="CX476" t="s">
        <v>953</v>
      </c>
      <c r="CY476" t="s">
        <v>954</v>
      </c>
      <c r="DC476">
        <v>1</v>
      </c>
      <c r="DK476" t="s">
        <v>9262</v>
      </c>
      <c r="DX476" t="s">
        <v>1634</v>
      </c>
      <c r="DZ476" t="s">
        <v>2146</v>
      </c>
      <c r="EM476" t="s">
        <v>402</v>
      </c>
      <c r="EN476">
        <v>2</v>
      </c>
      <c r="EZ476" t="s">
        <v>9263</v>
      </c>
      <c r="FA476" t="s">
        <v>1040</v>
      </c>
      <c r="FB476" t="s">
        <v>3982</v>
      </c>
      <c r="FC476" t="s">
        <v>638</v>
      </c>
      <c r="FD476" t="s">
        <v>1040</v>
      </c>
      <c r="FE476" t="s">
        <v>791</v>
      </c>
      <c r="FF476">
        <v>0</v>
      </c>
      <c r="FH476" t="s">
        <v>959</v>
      </c>
      <c r="FI476">
        <v>2</v>
      </c>
      <c r="FJ476" t="s">
        <v>960</v>
      </c>
      <c r="FK476" t="s">
        <v>1611</v>
      </c>
      <c r="FL476">
        <v>0</v>
      </c>
      <c r="FM476" t="s">
        <v>402</v>
      </c>
      <c r="FO476" t="s">
        <v>984</v>
      </c>
      <c r="FP476" t="s">
        <v>402</v>
      </c>
      <c r="FR476" t="s">
        <v>6161</v>
      </c>
      <c r="FS476" t="s">
        <v>6161</v>
      </c>
      <c r="FT476" t="s">
        <v>3025</v>
      </c>
      <c r="FU476" t="s">
        <v>797</v>
      </c>
      <c r="FV476" t="s">
        <v>957</v>
      </c>
      <c r="FW476" t="s">
        <v>957</v>
      </c>
      <c r="FX476" t="s">
        <v>1008</v>
      </c>
      <c r="FZ476" t="s">
        <v>1018</v>
      </c>
      <c r="GA476" t="s">
        <v>402</v>
      </c>
      <c r="GB476" t="s">
        <v>638</v>
      </c>
      <c r="GC476" t="s">
        <v>474</v>
      </c>
      <c r="GD476" t="s">
        <v>791</v>
      </c>
      <c r="KI476" t="s">
        <v>9264</v>
      </c>
      <c r="KJ476" t="s">
        <v>1040</v>
      </c>
      <c r="KK476" t="s">
        <v>3982</v>
      </c>
    </row>
    <row r="477" spans="1:297" x14ac:dyDescent="0.25">
      <c r="A477" t="s">
        <v>9265</v>
      </c>
      <c r="B477" t="str">
        <f>"801542101770"</f>
        <v>801542101770</v>
      </c>
      <c r="C477" t="s">
        <v>9266</v>
      </c>
      <c r="D477" t="s">
        <v>9267</v>
      </c>
      <c r="E477" t="s">
        <v>515</v>
      </c>
      <c r="F477" t="s">
        <v>516</v>
      </c>
      <c r="G477" t="str">
        <f>"29.5"</f>
        <v>29.5</v>
      </c>
      <c r="H477" t="str">
        <f>"31.5"</f>
        <v>31.5</v>
      </c>
      <c r="I477" t="str">
        <f>"32"</f>
        <v>32</v>
      </c>
      <c r="J477" t="str">
        <f>"39.68"</f>
        <v>39.68</v>
      </c>
      <c r="K477" t="s">
        <v>9268</v>
      </c>
      <c r="L477" t="s">
        <v>1948</v>
      </c>
      <c r="M477" t="s">
        <v>1987</v>
      </c>
      <c r="N477" t="s">
        <v>416</v>
      </c>
      <c r="O477" t="s">
        <v>519</v>
      </c>
      <c r="P477" t="s">
        <v>555</v>
      </c>
      <c r="T477" t="s">
        <v>373</v>
      </c>
      <c r="U477" t="s">
        <v>373</v>
      </c>
      <c r="V477" t="s">
        <v>9269</v>
      </c>
      <c r="W477" t="s">
        <v>9270</v>
      </c>
      <c r="X477" t="s">
        <v>9271</v>
      </c>
      <c r="Y477" t="s">
        <v>9272</v>
      </c>
      <c r="Z477" t="s">
        <v>9273</v>
      </c>
      <c r="AA477" t="s">
        <v>9274</v>
      </c>
      <c r="AB477" t="s">
        <v>9275</v>
      </c>
      <c r="AC477" t="s">
        <v>9276</v>
      </c>
      <c r="AD477" t="s">
        <v>9277</v>
      </c>
      <c r="AE477" t="s">
        <v>9278</v>
      </c>
      <c r="AF477" t="s">
        <v>9279</v>
      </c>
      <c r="AG477" t="s">
        <v>9280</v>
      </c>
      <c r="AH477" t="s">
        <v>9281</v>
      </c>
      <c r="BA477" t="str">
        <f>"1749"</f>
        <v>1749</v>
      </c>
      <c r="BB477" t="str">
        <f>"735"</f>
        <v>735</v>
      </c>
      <c r="BC477" t="s">
        <v>388</v>
      </c>
      <c r="BD477" t="str">
        <f t="shared" si="100"/>
        <v>1</v>
      </c>
      <c r="BE477" t="s">
        <v>389</v>
      </c>
      <c r="BF477" t="str">
        <f>"33.46"</f>
        <v>33.46</v>
      </c>
      <c r="BG477" t="str">
        <f>"31.5"</f>
        <v>31.5</v>
      </c>
      <c r="BH477" t="str">
        <f>"33.66"</f>
        <v>33.66</v>
      </c>
      <c r="BI477" t="str">
        <f>"55.12"</f>
        <v>55.12</v>
      </c>
      <c r="BY477" t="str">
        <f>"20.52"</f>
        <v>20.52</v>
      </c>
      <c r="BZ477" t="str">
        <f>"0.581"</f>
        <v>0.581</v>
      </c>
      <c r="CA477" t="s">
        <v>495</v>
      </c>
      <c r="CK477" t="s">
        <v>601</v>
      </c>
      <c r="CL477" t="s">
        <v>3020</v>
      </c>
      <c r="CM477" t="s">
        <v>2083</v>
      </c>
      <c r="CN477">
        <v>0</v>
      </c>
      <c r="CO477">
        <v>0</v>
      </c>
      <c r="CP477" t="s">
        <v>437</v>
      </c>
      <c r="CQ477" t="s">
        <v>438</v>
      </c>
      <c r="CX477" t="s">
        <v>403</v>
      </c>
      <c r="CY477" t="s">
        <v>400</v>
      </c>
      <c r="CZ477">
        <v>0</v>
      </c>
      <c r="DD477">
        <v>0</v>
      </c>
      <c r="DE477" t="s">
        <v>570</v>
      </c>
      <c r="DH477">
        <v>0</v>
      </c>
      <c r="DI477">
        <v>1</v>
      </c>
      <c r="DK477" t="s">
        <v>9282</v>
      </c>
      <c r="DL477">
        <v>0</v>
      </c>
      <c r="DM477" t="s">
        <v>538</v>
      </c>
      <c r="DN477" t="s">
        <v>600</v>
      </c>
      <c r="DO477" t="s">
        <v>433</v>
      </c>
      <c r="DP477" t="s">
        <v>1491</v>
      </c>
      <c r="DT477" t="s">
        <v>827</v>
      </c>
      <c r="DX477" t="s">
        <v>1159</v>
      </c>
      <c r="DY477" t="s">
        <v>451</v>
      </c>
      <c r="DZ477" t="s">
        <v>451</v>
      </c>
      <c r="EA477" t="s">
        <v>453</v>
      </c>
      <c r="EG477" t="s">
        <v>749</v>
      </c>
      <c r="ER477">
        <v>0</v>
      </c>
      <c r="ES477">
        <v>0</v>
      </c>
      <c r="EU477">
        <v>0</v>
      </c>
    </row>
    <row r="478" spans="1:297" x14ac:dyDescent="0.25">
      <c r="A478" t="s">
        <v>9283</v>
      </c>
      <c r="B478" t="str">
        <f>"801542745134"</f>
        <v>801542745134</v>
      </c>
      <c r="C478" t="s">
        <v>9284</v>
      </c>
      <c r="D478" t="s">
        <v>1276</v>
      </c>
      <c r="E478" t="s">
        <v>1043</v>
      </c>
      <c r="G478" t="str">
        <f>"20.5"</f>
        <v>20.5</v>
      </c>
      <c r="H478" t="str">
        <f>"19.25"</f>
        <v>19.25</v>
      </c>
      <c r="I478" t="str">
        <f>"25"</f>
        <v>25</v>
      </c>
      <c r="J478" t="str">
        <f>"62.83"</f>
        <v>62.83</v>
      </c>
      <c r="K478" t="s">
        <v>9285</v>
      </c>
      <c r="L478" t="s">
        <v>9286</v>
      </c>
      <c r="N478" t="s">
        <v>6858</v>
      </c>
      <c r="O478" t="s">
        <v>9287</v>
      </c>
      <c r="P478" t="s">
        <v>555</v>
      </c>
      <c r="T478" t="s">
        <v>373</v>
      </c>
      <c r="U478" t="s">
        <v>373</v>
      </c>
      <c r="W478" t="s">
        <v>9288</v>
      </c>
      <c r="X478" t="s">
        <v>9289</v>
      </c>
      <c r="Y478" t="s">
        <v>9290</v>
      </c>
      <c r="Z478" t="s">
        <v>9291</v>
      </c>
      <c r="AA478" t="s">
        <v>9292</v>
      </c>
      <c r="AB478" t="s">
        <v>9293</v>
      </c>
      <c r="AC478" t="s">
        <v>9294</v>
      </c>
      <c r="AD478" t="s">
        <v>9295</v>
      </c>
      <c r="AE478" t="s">
        <v>9296</v>
      </c>
      <c r="AF478" t="s">
        <v>9297</v>
      </c>
      <c r="AG478" t="s">
        <v>9298</v>
      </c>
      <c r="BA478" t="str">
        <f>"649"</f>
        <v>649</v>
      </c>
      <c r="BB478" t="str">
        <f>"275"</f>
        <v>275</v>
      </c>
      <c r="BC478" t="s">
        <v>665</v>
      </c>
      <c r="BD478" t="str">
        <f t="shared" si="100"/>
        <v>1</v>
      </c>
      <c r="BE478" t="s">
        <v>389</v>
      </c>
      <c r="BF478" t="str">
        <f>"24.61"</f>
        <v>24.61</v>
      </c>
      <c r="BG478" t="str">
        <f>"23.62"</f>
        <v>23.62</v>
      </c>
      <c r="BH478" t="str">
        <f>"31.69"</f>
        <v>31.69</v>
      </c>
      <c r="BI478" t="str">
        <f>"79.37"</f>
        <v>79.37</v>
      </c>
      <c r="BY478" t="str">
        <f>"10.67"</f>
        <v>10.67</v>
      </c>
      <c r="BZ478" t="str">
        <f>"0.302"</f>
        <v>0.302</v>
      </c>
      <c r="CA478" t="s">
        <v>431</v>
      </c>
      <c r="CE478" t="s">
        <v>2082</v>
      </c>
      <c r="CF478" t="s">
        <v>3830</v>
      </c>
      <c r="CG478" t="s">
        <v>2600</v>
      </c>
      <c r="CR478" t="s">
        <v>5068</v>
      </c>
      <c r="CS478">
        <v>1</v>
      </c>
      <c r="CT478" t="s">
        <v>400</v>
      </c>
      <c r="CV478">
        <v>0</v>
      </c>
      <c r="CX478" t="s">
        <v>1980</v>
      </c>
      <c r="CY478" t="s">
        <v>1009</v>
      </c>
      <c r="DC478">
        <v>0</v>
      </c>
      <c r="DJ478" t="s">
        <v>408</v>
      </c>
      <c r="DK478" t="s">
        <v>9299</v>
      </c>
      <c r="DM478" t="s">
        <v>473</v>
      </c>
      <c r="EM478" t="s">
        <v>402</v>
      </c>
      <c r="EN478">
        <v>1</v>
      </c>
      <c r="FI478">
        <v>0</v>
      </c>
      <c r="FJ478" t="s">
        <v>1012</v>
      </c>
      <c r="FP478" t="s">
        <v>402</v>
      </c>
      <c r="FR478" t="s">
        <v>4675</v>
      </c>
      <c r="FT478" t="s">
        <v>2081</v>
      </c>
      <c r="FV478" t="s">
        <v>8212</v>
      </c>
      <c r="FX478" t="s">
        <v>4210</v>
      </c>
      <c r="FZ478" t="s">
        <v>1018</v>
      </c>
    </row>
    <row r="479" spans="1:297" x14ac:dyDescent="0.25">
      <c r="A479" t="s">
        <v>9300</v>
      </c>
      <c r="B479" t="str">
        <f>"801542761318"</f>
        <v>801542761318</v>
      </c>
      <c r="C479" t="s">
        <v>9301</v>
      </c>
      <c r="D479" t="s">
        <v>1276</v>
      </c>
      <c r="E479" t="s">
        <v>1043</v>
      </c>
      <c r="G479" t="str">
        <f>"20.5"</f>
        <v>20.5</v>
      </c>
      <c r="H479" t="str">
        <f>"19.25"</f>
        <v>19.25</v>
      </c>
      <c r="I479" t="str">
        <f>"25"</f>
        <v>25</v>
      </c>
      <c r="J479" t="str">
        <f>"62.83"</f>
        <v>62.83</v>
      </c>
      <c r="K479" t="s">
        <v>9302</v>
      </c>
      <c r="L479" t="s">
        <v>9286</v>
      </c>
      <c r="N479" t="s">
        <v>6858</v>
      </c>
      <c r="O479" t="s">
        <v>9287</v>
      </c>
      <c r="P479" t="s">
        <v>555</v>
      </c>
      <c r="T479" t="s">
        <v>373</v>
      </c>
      <c r="U479" t="s">
        <v>373</v>
      </c>
      <c r="W479" t="s">
        <v>9303</v>
      </c>
      <c r="X479" t="s">
        <v>9304</v>
      </c>
      <c r="Y479" t="s">
        <v>9305</v>
      </c>
      <c r="Z479" t="s">
        <v>9306</v>
      </c>
      <c r="AA479" t="s">
        <v>9307</v>
      </c>
      <c r="AB479" t="s">
        <v>9308</v>
      </c>
      <c r="AC479" t="s">
        <v>9309</v>
      </c>
      <c r="AD479" t="s">
        <v>9310</v>
      </c>
      <c r="AE479" t="s">
        <v>9311</v>
      </c>
      <c r="AF479" t="s">
        <v>9312</v>
      </c>
      <c r="AG479" t="s">
        <v>9313</v>
      </c>
      <c r="AH479" t="s">
        <v>9314</v>
      </c>
      <c r="AI479" t="s">
        <v>9315</v>
      </c>
      <c r="BA479" t="str">
        <f>"649"</f>
        <v>649</v>
      </c>
      <c r="BB479" t="str">
        <f>"275"</f>
        <v>275</v>
      </c>
      <c r="BC479" t="s">
        <v>665</v>
      </c>
      <c r="BD479" t="str">
        <f t="shared" si="100"/>
        <v>1</v>
      </c>
      <c r="BE479" t="s">
        <v>389</v>
      </c>
      <c r="BF479" t="str">
        <f>"24.61"</f>
        <v>24.61</v>
      </c>
      <c r="BG479" t="str">
        <f>"23.62"</f>
        <v>23.62</v>
      </c>
      <c r="BH479" t="str">
        <f>"31.69"</f>
        <v>31.69</v>
      </c>
      <c r="BI479" t="str">
        <f>"79.37"</f>
        <v>79.37</v>
      </c>
      <c r="BY479" t="str">
        <f>"10.67"</f>
        <v>10.67</v>
      </c>
      <c r="BZ479" t="str">
        <f>"0.302"</f>
        <v>0.302</v>
      </c>
      <c r="CA479" t="s">
        <v>431</v>
      </c>
      <c r="CE479" t="s">
        <v>2082</v>
      </c>
      <c r="CF479" t="s">
        <v>3830</v>
      </c>
      <c r="CG479" t="s">
        <v>2600</v>
      </c>
      <c r="CR479" t="s">
        <v>5068</v>
      </c>
      <c r="CS479">
        <v>1</v>
      </c>
      <c r="CT479" t="s">
        <v>400</v>
      </c>
      <c r="CV479">
        <v>0</v>
      </c>
      <c r="CX479" t="s">
        <v>1980</v>
      </c>
      <c r="CY479" t="s">
        <v>1009</v>
      </c>
      <c r="DC479">
        <v>0</v>
      </c>
      <c r="DJ479" t="s">
        <v>408</v>
      </c>
      <c r="DK479" t="s">
        <v>9299</v>
      </c>
      <c r="DM479" t="s">
        <v>473</v>
      </c>
      <c r="EM479" t="s">
        <v>402</v>
      </c>
      <c r="EN479">
        <v>1</v>
      </c>
      <c r="FI479">
        <v>0</v>
      </c>
      <c r="FJ479" t="s">
        <v>1012</v>
      </c>
      <c r="FP479" t="s">
        <v>402</v>
      </c>
      <c r="FR479" t="s">
        <v>4675</v>
      </c>
      <c r="FT479" t="s">
        <v>2081</v>
      </c>
      <c r="FV479" t="s">
        <v>8212</v>
      </c>
      <c r="FX479" t="s">
        <v>4210</v>
      </c>
      <c r="FZ479" t="s">
        <v>1018</v>
      </c>
    </row>
    <row r="480" spans="1:297" x14ac:dyDescent="0.25">
      <c r="A480" t="s">
        <v>9316</v>
      </c>
      <c r="B480" t="str">
        <f>"801542745127"</f>
        <v>801542745127</v>
      </c>
      <c r="C480" t="s">
        <v>9317</v>
      </c>
      <c r="D480" t="s">
        <v>1276</v>
      </c>
      <c r="E480" t="s">
        <v>988</v>
      </c>
      <c r="G480" t="str">
        <f>"60"</f>
        <v>60</v>
      </c>
      <c r="H480" t="str">
        <f>"18"</f>
        <v>18</v>
      </c>
      <c r="I480" t="str">
        <f>"30"</f>
        <v>30</v>
      </c>
      <c r="J480" t="str">
        <f>"184.08"</f>
        <v>184.08</v>
      </c>
      <c r="K480" t="s">
        <v>9318</v>
      </c>
      <c r="L480" t="s">
        <v>9285</v>
      </c>
      <c r="M480" t="s">
        <v>9286</v>
      </c>
      <c r="N480" t="s">
        <v>9287</v>
      </c>
      <c r="O480" t="s">
        <v>555</v>
      </c>
      <c r="T480" t="s">
        <v>373</v>
      </c>
      <c r="U480" t="s">
        <v>373</v>
      </c>
      <c r="V480" t="s">
        <v>9319</v>
      </c>
      <c r="W480" t="s">
        <v>9320</v>
      </c>
      <c r="X480" t="s">
        <v>9321</v>
      </c>
      <c r="Y480" t="s">
        <v>9322</v>
      </c>
      <c r="Z480" t="s">
        <v>9323</v>
      </c>
      <c r="AA480" t="s">
        <v>9324</v>
      </c>
      <c r="AB480" t="s">
        <v>9325</v>
      </c>
      <c r="AC480" t="s">
        <v>9326</v>
      </c>
      <c r="AD480" t="s">
        <v>9327</v>
      </c>
      <c r="AE480" t="s">
        <v>9328</v>
      </c>
      <c r="AF480" t="s">
        <v>9329</v>
      </c>
      <c r="AG480" t="s">
        <v>9330</v>
      </c>
      <c r="AH480" t="s">
        <v>9331</v>
      </c>
      <c r="AI480" t="s">
        <v>9332</v>
      </c>
      <c r="AJ480" t="s">
        <v>9333</v>
      </c>
      <c r="AK480" t="s">
        <v>9334</v>
      </c>
      <c r="BA480" t="str">
        <f>"2099"</f>
        <v>2099</v>
      </c>
      <c r="BB480" t="str">
        <f>"885"</f>
        <v>885</v>
      </c>
      <c r="BC480" t="s">
        <v>665</v>
      </c>
      <c r="BD480" t="str">
        <f t="shared" si="100"/>
        <v>1</v>
      </c>
      <c r="BE480" t="s">
        <v>1266</v>
      </c>
      <c r="BF480" t="str">
        <f>"64.17"</f>
        <v>64.17</v>
      </c>
      <c r="BG480" t="str">
        <f>"22.44"</f>
        <v>22.44</v>
      </c>
      <c r="BH480" t="str">
        <f>"36.42"</f>
        <v>36.42</v>
      </c>
      <c r="BI480" t="str">
        <f>"221.56"</f>
        <v>221.56</v>
      </c>
      <c r="BY480" t="str">
        <f>"30.34"</f>
        <v>30.34</v>
      </c>
      <c r="BZ480" t="str">
        <f>"0.859"</f>
        <v>0.859</v>
      </c>
      <c r="CA480" t="s">
        <v>431</v>
      </c>
      <c r="CE480" t="s">
        <v>568</v>
      </c>
      <c r="CF480" t="s">
        <v>9335</v>
      </c>
      <c r="CG480" t="s">
        <v>9336</v>
      </c>
      <c r="CR480" t="s">
        <v>5068</v>
      </c>
      <c r="CS480">
        <v>6</v>
      </c>
      <c r="CT480" t="s">
        <v>400</v>
      </c>
      <c r="CV480">
        <v>0</v>
      </c>
      <c r="CX480" t="s">
        <v>1980</v>
      </c>
      <c r="CY480" t="s">
        <v>1009</v>
      </c>
      <c r="DC480">
        <v>0</v>
      </c>
      <c r="DJ480" t="s">
        <v>1010</v>
      </c>
      <c r="DK480" t="s">
        <v>9299</v>
      </c>
      <c r="DM480" t="s">
        <v>473</v>
      </c>
      <c r="EN480">
        <v>1</v>
      </c>
      <c r="FI480">
        <v>0</v>
      </c>
      <c r="FJ480" t="s">
        <v>1012</v>
      </c>
      <c r="FP480" t="s">
        <v>402</v>
      </c>
      <c r="FR480" t="s">
        <v>9337</v>
      </c>
      <c r="FT480" t="s">
        <v>543</v>
      </c>
      <c r="FV480" t="s">
        <v>9338</v>
      </c>
      <c r="FX480" t="s">
        <v>4210</v>
      </c>
      <c r="FZ480" t="s">
        <v>1018</v>
      </c>
    </row>
    <row r="481" spans="1:287" x14ac:dyDescent="0.25">
      <c r="A481" t="s">
        <v>9339</v>
      </c>
      <c r="B481" t="str">
        <f>"801542761295"</f>
        <v>801542761295</v>
      </c>
      <c r="C481" t="s">
        <v>9340</v>
      </c>
      <c r="D481" t="s">
        <v>1276</v>
      </c>
      <c r="E481" t="s">
        <v>988</v>
      </c>
      <c r="G481" t="str">
        <f>"60"</f>
        <v>60</v>
      </c>
      <c r="H481" t="str">
        <f>"18"</f>
        <v>18</v>
      </c>
      <c r="I481" t="str">
        <f>"30"</f>
        <v>30</v>
      </c>
      <c r="J481" t="str">
        <f>"184.08"</f>
        <v>184.08</v>
      </c>
      <c r="K481" t="s">
        <v>9341</v>
      </c>
      <c r="L481" t="s">
        <v>9302</v>
      </c>
      <c r="M481" t="s">
        <v>9286</v>
      </c>
      <c r="N481" t="s">
        <v>9287</v>
      </c>
      <c r="O481" t="s">
        <v>555</v>
      </c>
      <c r="T481" t="s">
        <v>373</v>
      </c>
      <c r="U481" t="s">
        <v>373</v>
      </c>
      <c r="V481" t="s">
        <v>9342</v>
      </c>
      <c r="W481" t="s">
        <v>9343</v>
      </c>
      <c r="X481" t="s">
        <v>9344</v>
      </c>
      <c r="Y481" t="s">
        <v>9345</v>
      </c>
      <c r="Z481" t="s">
        <v>9346</v>
      </c>
      <c r="AA481" t="s">
        <v>9347</v>
      </c>
      <c r="AB481" t="s">
        <v>9348</v>
      </c>
      <c r="AC481" t="s">
        <v>9349</v>
      </c>
      <c r="AD481" t="s">
        <v>9350</v>
      </c>
      <c r="AE481" t="s">
        <v>9351</v>
      </c>
      <c r="AF481" t="s">
        <v>9352</v>
      </c>
      <c r="AG481" t="s">
        <v>9353</v>
      </c>
      <c r="AH481" t="s">
        <v>9354</v>
      </c>
      <c r="AI481" t="s">
        <v>9355</v>
      </c>
      <c r="AJ481" t="s">
        <v>9356</v>
      </c>
      <c r="AK481" t="s">
        <v>9357</v>
      </c>
      <c r="BA481" t="str">
        <f>"2099"</f>
        <v>2099</v>
      </c>
      <c r="BB481" t="str">
        <f>"885"</f>
        <v>885</v>
      </c>
      <c r="BC481" t="s">
        <v>665</v>
      </c>
      <c r="BD481" t="str">
        <f t="shared" si="100"/>
        <v>1</v>
      </c>
      <c r="BE481" t="s">
        <v>1266</v>
      </c>
      <c r="BF481" t="str">
        <f>"64.17"</f>
        <v>64.17</v>
      </c>
      <c r="BG481" t="str">
        <f>"22.44"</f>
        <v>22.44</v>
      </c>
      <c r="BH481" t="str">
        <f>"36.42"</f>
        <v>36.42</v>
      </c>
      <c r="BI481" t="str">
        <f>"221.56"</f>
        <v>221.56</v>
      </c>
      <c r="BY481" t="str">
        <f>"30.34"</f>
        <v>30.34</v>
      </c>
      <c r="BZ481" t="str">
        <f>"0.859"</f>
        <v>0.859</v>
      </c>
      <c r="CA481" t="s">
        <v>431</v>
      </c>
      <c r="CE481" t="s">
        <v>568</v>
      </c>
      <c r="CF481" t="s">
        <v>9335</v>
      </c>
      <c r="CG481" t="s">
        <v>9336</v>
      </c>
      <c r="CR481" t="s">
        <v>5068</v>
      </c>
      <c r="CS481">
        <v>6</v>
      </c>
      <c r="CT481" t="s">
        <v>400</v>
      </c>
      <c r="CV481">
        <v>0</v>
      </c>
      <c r="CX481" t="s">
        <v>1980</v>
      </c>
      <c r="CY481" t="s">
        <v>1009</v>
      </c>
      <c r="DC481">
        <v>0</v>
      </c>
      <c r="DJ481" t="s">
        <v>1010</v>
      </c>
      <c r="DK481" t="s">
        <v>9299</v>
      </c>
      <c r="DM481" t="s">
        <v>473</v>
      </c>
      <c r="EN481">
        <v>1</v>
      </c>
      <c r="FI481">
        <v>0</v>
      </c>
      <c r="FJ481" t="s">
        <v>1012</v>
      </c>
      <c r="FP481" t="s">
        <v>402</v>
      </c>
      <c r="FR481" t="s">
        <v>9337</v>
      </c>
      <c r="FT481" t="s">
        <v>543</v>
      </c>
      <c r="FV481" t="s">
        <v>9338</v>
      </c>
      <c r="FX481" t="s">
        <v>4210</v>
      </c>
      <c r="FZ481" t="s">
        <v>1018</v>
      </c>
    </row>
    <row r="482" spans="1:287" x14ac:dyDescent="0.25">
      <c r="A482" t="s">
        <v>9358</v>
      </c>
      <c r="B482" t="str">
        <f>"801542745875"</f>
        <v>801542745875</v>
      </c>
      <c r="C482" t="s">
        <v>9359</v>
      </c>
      <c r="D482" t="s">
        <v>1276</v>
      </c>
      <c r="E482" t="s">
        <v>930</v>
      </c>
      <c r="G482" t="str">
        <f>"68.5"</f>
        <v>68.5</v>
      </c>
      <c r="H482" t="str">
        <f>"19"</f>
        <v>19</v>
      </c>
      <c r="I482" t="str">
        <f>"30"</f>
        <v>30</v>
      </c>
      <c r="J482" t="str">
        <f>"180.78"</f>
        <v>180.78</v>
      </c>
      <c r="K482" t="s">
        <v>9285</v>
      </c>
      <c r="L482" t="s">
        <v>9286</v>
      </c>
      <c r="N482" t="s">
        <v>6858</v>
      </c>
      <c r="O482" t="s">
        <v>9287</v>
      </c>
      <c r="P482" t="s">
        <v>555</v>
      </c>
      <c r="T482" t="s">
        <v>373</v>
      </c>
      <c r="U482" t="s">
        <v>373</v>
      </c>
      <c r="V482" t="s">
        <v>9360</v>
      </c>
      <c r="W482" t="s">
        <v>9361</v>
      </c>
      <c r="X482" t="s">
        <v>9362</v>
      </c>
      <c r="Y482" t="s">
        <v>9363</v>
      </c>
      <c r="Z482" t="s">
        <v>9364</v>
      </c>
      <c r="AA482" t="s">
        <v>9365</v>
      </c>
      <c r="AB482" t="s">
        <v>9366</v>
      </c>
      <c r="AC482" t="s">
        <v>9367</v>
      </c>
      <c r="AD482" t="s">
        <v>9368</v>
      </c>
      <c r="AE482" t="s">
        <v>9369</v>
      </c>
      <c r="AF482" t="s">
        <v>9370</v>
      </c>
      <c r="AG482" t="s">
        <v>9371</v>
      </c>
      <c r="AH482" t="s">
        <v>9372</v>
      </c>
      <c r="AI482" t="s">
        <v>9373</v>
      </c>
      <c r="AJ482" t="s">
        <v>9374</v>
      </c>
      <c r="AK482" t="s">
        <v>9375</v>
      </c>
      <c r="AL482" t="s">
        <v>9376</v>
      </c>
      <c r="BA482" t="str">
        <f>"2199"</f>
        <v>2199</v>
      </c>
      <c r="BB482" t="str">
        <f>"925"</f>
        <v>925</v>
      </c>
      <c r="BC482" t="s">
        <v>665</v>
      </c>
      <c r="BD482" t="str">
        <f t="shared" si="100"/>
        <v>1</v>
      </c>
      <c r="BE482" t="s">
        <v>1266</v>
      </c>
      <c r="BF482" t="str">
        <f>"72.24"</f>
        <v>72.24</v>
      </c>
      <c r="BG482" t="str">
        <f>"22.76"</f>
        <v>22.76</v>
      </c>
      <c r="BH482" t="str">
        <f>"36.3"</f>
        <v>36.3</v>
      </c>
      <c r="BI482" t="str">
        <f>"218.26"</f>
        <v>218.26</v>
      </c>
      <c r="BY482" t="str">
        <f>"34.54"</f>
        <v>34.54</v>
      </c>
      <c r="BZ482" t="str">
        <f>"0.978"</f>
        <v>0.978</v>
      </c>
      <c r="CA482" t="s">
        <v>495</v>
      </c>
      <c r="CE482" t="s">
        <v>5526</v>
      </c>
      <c r="CF482" t="s">
        <v>9377</v>
      </c>
      <c r="CG482" t="s">
        <v>9378</v>
      </c>
      <c r="CR482" t="s">
        <v>400</v>
      </c>
      <c r="CS482">
        <v>0</v>
      </c>
      <c r="CT482" t="s">
        <v>400</v>
      </c>
      <c r="CV482">
        <v>0</v>
      </c>
      <c r="CX482" t="s">
        <v>1980</v>
      </c>
      <c r="CY482" t="s">
        <v>954</v>
      </c>
      <c r="DA482">
        <v>18.14</v>
      </c>
      <c r="DB482">
        <v>40</v>
      </c>
      <c r="DC482">
        <v>2</v>
      </c>
      <c r="DK482" t="s">
        <v>9299</v>
      </c>
      <c r="DM482" t="s">
        <v>473</v>
      </c>
      <c r="EM482" t="s">
        <v>402</v>
      </c>
      <c r="EN482">
        <v>3</v>
      </c>
      <c r="EZ482" t="s">
        <v>1711</v>
      </c>
      <c r="FA482" t="s">
        <v>9379</v>
      </c>
      <c r="FB482" t="s">
        <v>9380</v>
      </c>
      <c r="FC482" t="s">
        <v>5526</v>
      </c>
      <c r="FD482" t="s">
        <v>9381</v>
      </c>
      <c r="FE482" t="s">
        <v>9378</v>
      </c>
      <c r="FF482">
        <v>0</v>
      </c>
      <c r="FH482" t="s">
        <v>959</v>
      </c>
      <c r="FI482">
        <v>4</v>
      </c>
      <c r="FJ482" t="s">
        <v>7818</v>
      </c>
      <c r="FK482" t="s">
        <v>1611</v>
      </c>
      <c r="FL482">
        <v>0</v>
      </c>
      <c r="FM482" t="s">
        <v>402</v>
      </c>
      <c r="FO482" t="s">
        <v>984</v>
      </c>
      <c r="GB482" t="s">
        <v>5526</v>
      </c>
      <c r="GC482" t="s">
        <v>9377</v>
      </c>
      <c r="GD482" t="s">
        <v>9378</v>
      </c>
      <c r="GR482" t="s">
        <v>2286</v>
      </c>
      <c r="GT482" t="s">
        <v>9382</v>
      </c>
      <c r="GV482" t="s">
        <v>9383</v>
      </c>
      <c r="GX482" t="s">
        <v>392</v>
      </c>
      <c r="HI482" t="s">
        <v>402</v>
      </c>
    </row>
    <row r="483" spans="1:287" x14ac:dyDescent="0.25">
      <c r="A483" t="s">
        <v>9384</v>
      </c>
      <c r="B483" t="str">
        <f>"801542761325"</f>
        <v>801542761325</v>
      </c>
      <c r="C483" t="s">
        <v>9385</v>
      </c>
      <c r="D483" t="s">
        <v>1276</v>
      </c>
      <c r="E483" t="s">
        <v>930</v>
      </c>
      <c r="G483" t="str">
        <f>"68.5"</f>
        <v>68.5</v>
      </c>
      <c r="H483" t="str">
        <f>"19"</f>
        <v>19</v>
      </c>
      <c r="I483" t="str">
        <f>"30"</f>
        <v>30</v>
      </c>
      <c r="J483" t="str">
        <f>"180.78"</f>
        <v>180.78</v>
      </c>
      <c r="K483" t="s">
        <v>9302</v>
      </c>
      <c r="L483" t="s">
        <v>9286</v>
      </c>
      <c r="N483" t="s">
        <v>6858</v>
      </c>
      <c r="O483" t="s">
        <v>9287</v>
      </c>
      <c r="P483" t="s">
        <v>555</v>
      </c>
      <c r="T483" t="s">
        <v>373</v>
      </c>
      <c r="U483" t="s">
        <v>373</v>
      </c>
      <c r="V483" t="s">
        <v>9386</v>
      </c>
      <c r="W483" t="s">
        <v>9387</v>
      </c>
      <c r="X483" t="s">
        <v>9388</v>
      </c>
      <c r="Y483" t="s">
        <v>9389</v>
      </c>
      <c r="Z483" t="s">
        <v>9390</v>
      </c>
      <c r="AA483" t="s">
        <v>9391</v>
      </c>
      <c r="AB483" t="s">
        <v>9392</v>
      </c>
      <c r="AC483" t="s">
        <v>9393</v>
      </c>
      <c r="AD483" t="s">
        <v>9394</v>
      </c>
      <c r="AE483" t="s">
        <v>9395</v>
      </c>
      <c r="AF483" t="s">
        <v>9396</v>
      </c>
      <c r="AG483" t="s">
        <v>9397</v>
      </c>
      <c r="AH483" t="s">
        <v>9398</v>
      </c>
      <c r="AI483" t="s">
        <v>9399</v>
      </c>
      <c r="AJ483" t="s">
        <v>9400</v>
      </c>
      <c r="BA483" t="str">
        <f>"2199"</f>
        <v>2199</v>
      </c>
      <c r="BB483" t="str">
        <f>"925"</f>
        <v>925</v>
      </c>
      <c r="BC483" t="s">
        <v>665</v>
      </c>
      <c r="BD483" t="str">
        <f t="shared" si="100"/>
        <v>1</v>
      </c>
      <c r="BE483" t="s">
        <v>1266</v>
      </c>
      <c r="BF483" t="str">
        <f>"72.24"</f>
        <v>72.24</v>
      </c>
      <c r="BG483" t="str">
        <f>"22.76"</f>
        <v>22.76</v>
      </c>
      <c r="BH483" t="str">
        <f>"36.3"</f>
        <v>36.3</v>
      </c>
      <c r="BI483" t="str">
        <f>"218.26"</f>
        <v>218.26</v>
      </c>
      <c r="BY483" t="str">
        <f>"34.54"</f>
        <v>34.54</v>
      </c>
      <c r="BZ483" t="str">
        <f>"0.978"</f>
        <v>0.978</v>
      </c>
      <c r="CA483" t="s">
        <v>431</v>
      </c>
      <c r="CE483" t="s">
        <v>5526</v>
      </c>
      <c r="CF483" t="s">
        <v>9377</v>
      </c>
      <c r="CG483" t="s">
        <v>9378</v>
      </c>
      <c r="CR483" t="s">
        <v>400</v>
      </c>
      <c r="CS483">
        <v>0</v>
      </c>
      <c r="CT483" t="s">
        <v>400</v>
      </c>
      <c r="CV483">
        <v>0</v>
      </c>
      <c r="CX483" t="s">
        <v>1980</v>
      </c>
      <c r="CY483" t="s">
        <v>954</v>
      </c>
      <c r="DA483">
        <v>18.14</v>
      </c>
      <c r="DB483">
        <v>40</v>
      </c>
      <c r="DC483">
        <v>2</v>
      </c>
      <c r="DK483" t="s">
        <v>9299</v>
      </c>
      <c r="DM483" t="s">
        <v>473</v>
      </c>
      <c r="EM483" t="s">
        <v>402</v>
      </c>
      <c r="EN483">
        <v>3</v>
      </c>
      <c r="EZ483" t="s">
        <v>1711</v>
      </c>
      <c r="FA483" t="s">
        <v>9379</v>
      </c>
      <c r="FB483" t="s">
        <v>9380</v>
      </c>
      <c r="FC483" t="s">
        <v>5526</v>
      </c>
      <c r="FD483" t="s">
        <v>9381</v>
      </c>
      <c r="FE483" t="s">
        <v>9378</v>
      </c>
      <c r="FF483">
        <v>0</v>
      </c>
      <c r="FH483" t="s">
        <v>959</v>
      </c>
      <c r="FI483">
        <v>4</v>
      </c>
      <c r="FJ483" t="s">
        <v>7818</v>
      </c>
      <c r="FK483" t="s">
        <v>1611</v>
      </c>
      <c r="FL483">
        <v>0</v>
      </c>
      <c r="FM483" t="s">
        <v>402</v>
      </c>
      <c r="FO483" t="s">
        <v>984</v>
      </c>
      <c r="GB483" t="s">
        <v>5526</v>
      </c>
      <c r="GC483" t="s">
        <v>9377</v>
      </c>
      <c r="GD483" t="s">
        <v>9378</v>
      </c>
      <c r="GR483" t="s">
        <v>2286</v>
      </c>
      <c r="GT483" t="s">
        <v>9382</v>
      </c>
      <c r="GV483" t="s">
        <v>9383</v>
      </c>
      <c r="GX483" t="s">
        <v>392</v>
      </c>
      <c r="HI483" t="s">
        <v>402</v>
      </c>
    </row>
    <row r="484" spans="1:287" x14ac:dyDescent="0.25">
      <c r="A484" t="s">
        <v>9401</v>
      </c>
      <c r="B484" t="str">
        <f>"801542745882"</f>
        <v>801542745882</v>
      </c>
      <c r="C484" t="s">
        <v>9402</v>
      </c>
      <c r="D484" t="s">
        <v>1276</v>
      </c>
      <c r="E484" t="s">
        <v>1021</v>
      </c>
      <c r="G484" t="str">
        <f>"85.75"</f>
        <v>85.75</v>
      </c>
      <c r="H484" t="str">
        <f>"19"</f>
        <v>19</v>
      </c>
      <c r="I484" t="str">
        <f>"26.75"</f>
        <v>26.75</v>
      </c>
      <c r="J484" t="str">
        <f>"221.56"</f>
        <v>221.56</v>
      </c>
      <c r="K484" t="s">
        <v>9318</v>
      </c>
      <c r="L484" t="s">
        <v>9285</v>
      </c>
      <c r="M484" t="s">
        <v>9286</v>
      </c>
      <c r="N484" t="s">
        <v>9287</v>
      </c>
      <c r="O484" t="s">
        <v>555</v>
      </c>
      <c r="T484" t="s">
        <v>373</v>
      </c>
      <c r="U484" t="s">
        <v>373</v>
      </c>
      <c r="V484" t="s">
        <v>9403</v>
      </c>
      <c r="W484" t="s">
        <v>9404</v>
      </c>
      <c r="X484" t="s">
        <v>9405</v>
      </c>
      <c r="Y484" t="s">
        <v>9406</v>
      </c>
      <c r="Z484" t="s">
        <v>9407</v>
      </c>
      <c r="AA484" t="s">
        <v>9408</v>
      </c>
      <c r="AB484" t="s">
        <v>9409</v>
      </c>
      <c r="AC484" t="s">
        <v>9410</v>
      </c>
      <c r="AD484" t="s">
        <v>9411</v>
      </c>
      <c r="AE484" t="s">
        <v>9412</v>
      </c>
      <c r="AF484" t="s">
        <v>9413</v>
      </c>
      <c r="AG484" t="s">
        <v>9414</v>
      </c>
      <c r="AH484" t="s">
        <v>9415</v>
      </c>
      <c r="AI484" t="s">
        <v>9416</v>
      </c>
      <c r="AJ484" t="s">
        <v>9417</v>
      </c>
      <c r="AK484" t="s">
        <v>9418</v>
      </c>
      <c r="BA484" t="str">
        <f>"2499"</f>
        <v>2499</v>
      </c>
      <c r="BB484" t="str">
        <f>"1050"</f>
        <v>1050</v>
      </c>
      <c r="BC484" t="s">
        <v>665</v>
      </c>
      <c r="BD484" t="str">
        <f t="shared" si="100"/>
        <v>1</v>
      </c>
      <c r="BE484" t="s">
        <v>389</v>
      </c>
      <c r="BF484" t="str">
        <f>"90.16"</f>
        <v>90.16</v>
      </c>
      <c r="BG484" t="str">
        <f>"23.23"</f>
        <v>23.23</v>
      </c>
      <c r="BH484" t="str">
        <f>"33.86"</f>
        <v>33.86</v>
      </c>
      <c r="BI484" t="str">
        <f>"265.66"</f>
        <v>265.66</v>
      </c>
      <c r="BY484" t="str">
        <f>"41.04"</f>
        <v>41.04</v>
      </c>
      <c r="BZ484" t="str">
        <f>"1.162"</f>
        <v>1.162</v>
      </c>
      <c r="CA484" t="s">
        <v>495</v>
      </c>
      <c r="CE484" t="s">
        <v>3808</v>
      </c>
      <c r="CF484" t="s">
        <v>9419</v>
      </c>
      <c r="CG484" t="s">
        <v>9420</v>
      </c>
      <c r="CR484" t="s">
        <v>5068</v>
      </c>
      <c r="CS484">
        <v>2</v>
      </c>
      <c r="CT484" t="s">
        <v>400</v>
      </c>
      <c r="CV484">
        <v>0</v>
      </c>
      <c r="CX484" t="s">
        <v>1980</v>
      </c>
      <c r="CY484" t="s">
        <v>954</v>
      </c>
      <c r="DA484">
        <v>0</v>
      </c>
      <c r="DB484">
        <v>0</v>
      </c>
      <c r="DC484">
        <v>2</v>
      </c>
      <c r="DK484" t="s">
        <v>9299</v>
      </c>
      <c r="EM484" t="s">
        <v>402</v>
      </c>
      <c r="EN484">
        <v>5</v>
      </c>
      <c r="EZ484" t="s">
        <v>3830</v>
      </c>
      <c r="FA484" t="s">
        <v>9421</v>
      </c>
      <c r="FB484" t="s">
        <v>9422</v>
      </c>
      <c r="FC484" t="s">
        <v>3808</v>
      </c>
      <c r="FD484" t="s">
        <v>956</v>
      </c>
      <c r="FE484" t="s">
        <v>9420</v>
      </c>
      <c r="FG484" t="s">
        <v>402</v>
      </c>
      <c r="FH484" t="s">
        <v>959</v>
      </c>
      <c r="FI484">
        <v>2</v>
      </c>
      <c r="FJ484" t="s">
        <v>960</v>
      </c>
      <c r="FK484" t="s">
        <v>961</v>
      </c>
      <c r="FM484" t="s">
        <v>402</v>
      </c>
      <c r="FO484" t="s">
        <v>984</v>
      </c>
      <c r="FP484" t="s">
        <v>402</v>
      </c>
      <c r="FR484" t="s">
        <v>9423</v>
      </c>
      <c r="FT484" t="s">
        <v>4147</v>
      </c>
      <c r="FV484" t="s">
        <v>5934</v>
      </c>
      <c r="FX484" t="s">
        <v>4210</v>
      </c>
      <c r="FZ484" t="s">
        <v>1018</v>
      </c>
      <c r="GB484" t="s">
        <v>3808</v>
      </c>
      <c r="GC484" t="s">
        <v>9419</v>
      </c>
      <c r="GD484" t="s">
        <v>9420</v>
      </c>
      <c r="GE484">
        <v>0</v>
      </c>
      <c r="GR484" t="s">
        <v>2286</v>
      </c>
      <c r="GS484" t="s">
        <v>2286</v>
      </c>
      <c r="GT484" t="s">
        <v>9335</v>
      </c>
      <c r="GU484" t="s">
        <v>9335</v>
      </c>
      <c r="GV484" t="s">
        <v>9424</v>
      </c>
      <c r="GW484" t="s">
        <v>9425</v>
      </c>
      <c r="GX484" t="s">
        <v>392</v>
      </c>
      <c r="HI484" t="s">
        <v>402</v>
      </c>
      <c r="JY484" t="s">
        <v>2286</v>
      </c>
      <c r="JZ484" t="s">
        <v>9335</v>
      </c>
      <c r="KA484" t="s">
        <v>9424</v>
      </c>
    </row>
    <row r="485" spans="1:287" x14ac:dyDescent="0.25">
      <c r="A485" t="s">
        <v>9426</v>
      </c>
      <c r="B485" t="str">
        <f>"801542043315"</f>
        <v>801542043315</v>
      </c>
      <c r="C485" t="s">
        <v>9427</v>
      </c>
      <c r="D485" t="s">
        <v>9267</v>
      </c>
      <c r="E485" t="s">
        <v>515</v>
      </c>
      <c r="F485" t="s">
        <v>516</v>
      </c>
      <c r="G485" t="str">
        <f>"33.75"</f>
        <v>33.75</v>
      </c>
      <c r="H485" t="str">
        <f>"38.25"</f>
        <v>38.25</v>
      </c>
      <c r="I485" t="str">
        <f>"32"</f>
        <v>32</v>
      </c>
      <c r="J485" t="str">
        <f>"56.44"</f>
        <v>56.44</v>
      </c>
      <c r="K485" t="s">
        <v>414</v>
      </c>
      <c r="L485" t="s">
        <v>9428</v>
      </c>
      <c r="M485" t="s">
        <v>9429</v>
      </c>
      <c r="N485" t="s">
        <v>416</v>
      </c>
      <c r="O485" t="s">
        <v>519</v>
      </c>
      <c r="P485" t="s">
        <v>371</v>
      </c>
      <c r="T485" t="s">
        <v>373</v>
      </c>
      <c r="U485" t="s">
        <v>373</v>
      </c>
      <c r="V485" t="s">
        <v>9430</v>
      </c>
      <c r="W485" t="s">
        <v>9431</v>
      </c>
      <c r="X485" t="s">
        <v>9432</v>
      </c>
      <c r="Y485" t="s">
        <v>9433</v>
      </c>
      <c r="Z485" t="s">
        <v>9434</v>
      </c>
      <c r="AA485" t="s">
        <v>9435</v>
      </c>
      <c r="AB485" t="s">
        <v>9436</v>
      </c>
      <c r="AC485" t="s">
        <v>9437</v>
      </c>
      <c r="AD485" t="s">
        <v>426</v>
      </c>
      <c r="AE485" t="s">
        <v>9438</v>
      </c>
      <c r="AF485" t="s">
        <v>9439</v>
      </c>
      <c r="AG485" t="s">
        <v>9440</v>
      </c>
      <c r="AH485" t="s">
        <v>9441</v>
      </c>
      <c r="AI485" t="s">
        <v>9442</v>
      </c>
      <c r="BA485" t="str">
        <f>"2399"</f>
        <v>2399</v>
      </c>
      <c r="BB485" t="str">
        <f>"1010"</f>
        <v>1010</v>
      </c>
      <c r="BC485" t="s">
        <v>388</v>
      </c>
      <c r="BD485" t="str">
        <f t="shared" si="100"/>
        <v>1</v>
      </c>
      <c r="BE485" t="s">
        <v>389</v>
      </c>
      <c r="BF485" t="str">
        <f>"40.75"</f>
        <v>40.75</v>
      </c>
      <c r="BG485" t="str">
        <f>"35.04"</f>
        <v>35.04</v>
      </c>
      <c r="BH485" t="str">
        <f>"29.33"</f>
        <v>29.33</v>
      </c>
      <c r="BI485" t="str">
        <f>"73.55"</f>
        <v>73.55</v>
      </c>
      <c r="BY485" t="str">
        <f>"24.23"</f>
        <v>24.23</v>
      </c>
      <c r="BZ485" t="str">
        <f>"0.686"</f>
        <v>0.686</v>
      </c>
      <c r="CA485" t="s">
        <v>495</v>
      </c>
      <c r="CH485" t="s">
        <v>609</v>
      </c>
      <c r="CI485" t="s">
        <v>442</v>
      </c>
      <c r="CJ485" t="s">
        <v>451</v>
      </c>
      <c r="CK485" t="s">
        <v>1553</v>
      </c>
      <c r="CL485" t="s">
        <v>396</v>
      </c>
      <c r="CM485" t="s">
        <v>609</v>
      </c>
      <c r="CN485">
        <v>0</v>
      </c>
      <c r="CO485">
        <v>1</v>
      </c>
      <c r="CP485" t="s">
        <v>437</v>
      </c>
      <c r="CQ485" t="s">
        <v>438</v>
      </c>
      <c r="CU485" t="s">
        <v>9443</v>
      </c>
      <c r="CX485" t="s">
        <v>667</v>
      </c>
      <c r="CY485" t="s">
        <v>400</v>
      </c>
      <c r="CZ485">
        <v>0</v>
      </c>
      <c r="DD485">
        <v>0</v>
      </c>
      <c r="DE485" t="s">
        <v>1892</v>
      </c>
      <c r="DF485" t="s">
        <v>406</v>
      </c>
      <c r="DG485" t="s">
        <v>407</v>
      </c>
      <c r="DH485">
        <v>1</v>
      </c>
      <c r="DI485">
        <v>1</v>
      </c>
      <c r="DK485" t="s">
        <v>9444</v>
      </c>
      <c r="DL485">
        <v>0</v>
      </c>
      <c r="DM485" t="s">
        <v>538</v>
      </c>
      <c r="DN485" t="s">
        <v>858</v>
      </c>
      <c r="DO485" t="s">
        <v>2080</v>
      </c>
      <c r="DP485" t="s">
        <v>9445</v>
      </c>
      <c r="DT485" t="s">
        <v>2510</v>
      </c>
      <c r="DU485" t="s">
        <v>951</v>
      </c>
      <c r="DV485" t="s">
        <v>449</v>
      </c>
      <c r="DW485" t="s">
        <v>611</v>
      </c>
      <c r="DX485" t="s">
        <v>442</v>
      </c>
      <c r="DY485" t="s">
        <v>9446</v>
      </c>
      <c r="DZ485" t="s">
        <v>544</v>
      </c>
      <c r="EA485" t="s">
        <v>2696</v>
      </c>
      <c r="ED485" t="s">
        <v>406</v>
      </c>
      <c r="EE485" t="s">
        <v>407</v>
      </c>
      <c r="EF485" t="s">
        <v>802</v>
      </c>
      <c r="EG485" t="s">
        <v>803</v>
      </c>
      <c r="EH485" t="s">
        <v>9447</v>
      </c>
      <c r="ES485">
        <v>0</v>
      </c>
      <c r="ET485">
        <v>0</v>
      </c>
      <c r="EV485">
        <v>0</v>
      </c>
    </row>
    <row r="486" spans="1:287" x14ac:dyDescent="0.25">
      <c r="A486" t="s">
        <v>9448</v>
      </c>
      <c r="B486" t="str">
        <f>"801542034719"</f>
        <v>801542034719</v>
      </c>
      <c r="C486" t="s">
        <v>9449</v>
      </c>
      <c r="D486" t="s">
        <v>835</v>
      </c>
      <c r="E486" t="s">
        <v>515</v>
      </c>
      <c r="F486" t="s">
        <v>516</v>
      </c>
      <c r="G486" t="str">
        <f>"30.5"</f>
        <v>30.5</v>
      </c>
      <c r="H486" t="str">
        <f>"34.5"</f>
        <v>34.5</v>
      </c>
      <c r="I486" t="str">
        <f>"29"</f>
        <v>29</v>
      </c>
      <c r="J486" t="str">
        <f>"48.5"</f>
        <v>48.5</v>
      </c>
      <c r="K486" t="s">
        <v>9450</v>
      </c>
      <c r="L486" t="s">
        <v>838</v>
      </c>
      <c r="N486" t="s">
        <v>371</v>
      </c>
      <c r="O486" t="s">
        <v>519</v>
      </c>
      <c r="T486" t="s">
        <v>373</v>
      </c>
      <c r="U486" t="s">
        <v>402</v>
      </c>
      <c r="V486" t="s">
        <v>9451</v>
      </c>
      <c r="W486" t="s">
        <v>9452</v>
      </c>
      <c r="X486" t="s">
        <v>9453</v>
      </c>
      <c r="Y486" t="s">
        <v>9454</v>
      </c>
      <c r="Z486" t="s">
        <v>9455</v>
      </c>
      <c r="AA486" t="s">
        <v>9456</v>
      </c>
      <c r="AB486" t="s">
        <v>9457</v>
      </c>
      <c r="AC486" t="s">
        <v>9458</v>
      </c>
      <c r="AD486" t="s">
        <v>9459</v>
      </c>
      <c r="AE486" t="s">
        <v>9460</v>
      </c>
      <c r="AF486" t="s">
        <v>9461</v>
      </c>
      <c r="AG486" t="s">
        <v>9462</v>
      </c>
      <c r="AH486" t="s">
        <v>9463</v>
      </c>
      <c r="AI486" t="s">
        <v>9464</v>
      </c>
      <c r="AJ486" t="s">
        <v>9465</v>
      </c>
      <c r="BA486" t="str">
        <f>"999"</f>
        <v>999</v>
      </c>
      <c r="BB486" t="str">
        <f>"420"</f>
        <v>420</v>
      </c>
      <c r="BC486" t="s">
        <v>388</v>
      </c>
      <c r="BD486" t="str">
        <f t="shared" si="100"/>
        <v>1</v>
      </c>
      <c r="BE486" t="s">
        <v>9466</v>
      </c>
      <c r="BF486" t="str">
        <f>"33.07"</f>
        <v>33.07</v>
      </c>
      <c r="BG486" t="str">
        <f>"36.02"</f>
        <v>36.02</v>
      </c>
      <c r="BH486" t="str">
        <f>"30.71"</f>
        <v>30.71</v>
      </c>
      <c r="BI486" t="str">
        <f>"65.04"</f>
        <v>65.04</v>
      </c>
      <c r="BY486" t="str">
        <f>"16.85"</f>
        <v>16.85</v>
      </c>
      <c r="BZ486" t="str">
        <f>"0.477"</f>
        <v>0.477</v>
      </c>
      <c r="CA486" t="s">
        <v>495</v>
      </c>
      <c r="CK486" t="s">
        <v>1510</v>
      </c>
      <c r="CL486" t="s">
        <v>981</v>
      </c>
      <c r="CM486" t="s">
        <v>3482</v>
      </c>
      <c r="CN486">
        <v>0</v>
      </c>
      <c r="CO486">
        <v>1</v>
      </c>
      <c r="CP486" t="s">
        <v>398</v>
      </c>
      <c r="CQ486" t="s">
        <v>631</v>
      </c>
      <c r="CX486" t="s">
        <v>667</v>
      </c>
      <c r="CY486" t="s">
        <v>400</v>
      </c>
      <c r="CZ486">
        <v>0</v>
      </c>
      <c r="DD486">
        <v>90000</v>
      </c>
      <c r="DE486" t="s">
        <v>439</v>
      </c>
      <c r="DF486" t="s">
        <v>632</v>
      </c>
      <c r="DH486">
        <v>1</v>
      </c>
      <c r="DI486">
        <v>1</v>
      </c>
      <c r="DK486" t="s">
        <v>9467</v>
      </c>
      <c r="DL486">
        <v>0</v>
      </c>
      <c r="DM486" t="s">
        <v>538</v>
      </c>
      <c r="DX486" t="s">
        <v>827</v>
      </c>
      <c r="DY486" t="s">
        <v>638</v>
      </c>
      <c r="DZ486" t="s">
        <v>450</v>
      </c>
      <c r="EA486" t="s">
        <v>2240</v>
      </c>
      <c r="ED486" t="s">
        <v>632</v>
      </c>
      <c r="EG486" t="s">
        <v>2029</v>
      </c>
      <c r="ER486">
        <v>0</v>
      </c>
      <c r="ES486">
        <v>0</v>
      </c>
      <c r="EU486">
        <v>0</v>
      </c>
    </row>
    <row r="487" spans="1:287" x14ac:dyDescent="0.25">
      <c r="A487" t="s">
        <v>9468</v>
      </c>
      <c r="B487" t="str">
        <f>"801542872052"</f>
        <v>801542872052</v>
      </c>
      <c r="C487" t="s">
        <v>9469</v>
      </c>
      <c r="D487" t="s">
        <v>1165</v>
      </c>
      <c r="E487" t="s">
        <v>515</v>
      </c>
      <c r="F487" t="s">
        <v>516</v>
      </c>
      <c r="G487" t="str">
        <f>"36"</f>
        <v>36</v>
      </c>
      <c r="H487" t="str">
        <f>"32.5"</f>
        <v>32.5</v>
      </c>
      <c r="I487" t="str">
        <f>"31"</f>
        <v>31</v>
      </c>
      <c r="J487" t="str">
        <f>"62.83"</f>
        <v>62.83</v>
      </c>
      <c r="K487" t="s">
        <v>4763</v>
      </c>
      <c r="N487" t="s">
        <v>371</v>
      </c>
      <c r="T487" t="s">
        <v>373</v>
      </c>
      <c r="U487" t="s">
        <v>373</v>
      </c>
      <c r="V487" t="s">
        <v>9470</v>
      </c>
      <c r="W487" t="s">
        <v>9471</v>
      </c>
      <c r="X487" t="s">
        <v>9472</v>
      </c>
      <c r="Y487" t="s">
        <v>9473</v>
      </c>
      <c r="Z487" t="s">
        <v>9474</v>
      </c>
      <c r="AA487" t="s">
        <v>9475</v>
      </c>
      <c r="AB487" t="s">
        <v>9476</v>
      </c>
      <c r="AC487" t="s">
        <v>9477</v>
      </c>
      <c r="AD487" t="s">
        <v>9478</v>
      </c>
      <c r="AE487" t="s">
        <v>9479</v>
      </c>
      <c r="AF487" t="s">
        <v>9480</v>
      </c>
      <c r="AG487" t="s">
        <v>9481</v>
      </c>
      <c r="BA487" t="str">
        <f>"1099"</f>
        <v>1099</v>
      </c>
      <c r="BB487" t="str">
        <f>"465"</f>
        <v>465</v>
      </c>
      <c r="BC487" t="s">
        <v>1149</v>
      </c>
      <c r="BD487" t="str">
        <f t="shared" si="100"/>
        <v>1</v>
      </c>
      <c r="BE487" t="s">
        <v>389</v>
      </c>
      <c r="BF487" t="str">
        <f>"42.13"</f>
        <v>42.13</v>
      </c>
      <c r="BG487" t="str">
        <f>"42.13"</f>
        <v>42.13</v>
      </c>
      <c r="BH487" t="str">
        <f>"32.28"</f>
        <v>32.28</v>
      </c>
      <c r="BI487" t="str">
        <f>"74.96"</f>
        <v>74.96</v>
      </c>
      <c r="BY487" t="str">
        <f>"33.16"</f>
        <v>33.16</v>
      </c>
      <c r="BZ487" t="str">
        <f>"0.939"</f>
        <v>0.939</v>
      </c>
      <c r="CA487" t="s">
        <v>431</v>
      </c>
      <c r="CK487" t="s">
        <v>2083</v>
      </c>
      <c r="CL487" t="s">
        <v>1136</v>
      </c>
      <c r="CN487">
        <v>0</v>
      </c>
      <c r="CO487">
        <v>0</v>
      </c>
      <c r="CP487" t="s">
        <v>437</v>
      </c>
      <c r="CQ487" t="s">
        <v>399</v>
      </c>
      <c r="CX487" t="s">
        <v>403</v>
      </c>
      <c r="CY487" t="s">
        <v>1753</v>
      </c>
      <c r="CZ487">
        <v>0</v>
      </c>
      <c r="DD487">
        <v>100000</v>
      </c>
      <c r="DE487" t="s">
        <v>439</v>
      </c>
      <c r="DH487">
        <v>0</v>
      </c>
      <c r="DI487">
        <v>1</v>
      </c>
      <c r="DK487" t="s">
        <v>9482</v>
      </c>
      <c r="DL487">
        <v>0</v>
      </c>
      <c r="DM487" t="s">
        <v>538</v>
      </c>
      <c r="DN487" t="s">
        <v>9483</v>
      </c>
      <c r="DO487" t="s">
        <v>1056</v>
      </c>
      <c r="DP487" t="s">
        <v>1491</v>
      </c>
      <c r="DT487" t="s">
        <v>797</v>
      </c>
      <c r="DX487" t="s">
        <v>827</v>
      </c>
      <c r="EA487" t="s">
        <v>4034</v>
      </c>
      <c r="EG487" t="s">
        <v>1513</v>
      </c>
      <c r="EP487" t="s">
        <v>602</v>
      </c>
      <c r="EQ487" t="s">
        <v>432</v>
      </c>
      <c r="ER487">
        <v>0</v>
      </c>
      <c r="ES487">
        <v>0</v>
      </c>
      <c r="EU487">
        <v>0</v>
      </c>
      <c r="HM487" t="s">
        <v>1754</v>
      </c>
    </row>
    <row r="488" spans="1:287" x14ac:dyDescent="0.25">
      <c r="A488" t="s">
        <v>9484</v>
      </c>
      <c r="B488" t="str">
        <f>"801542034030"</f>
        <v>801542034030</v>
      </c>
      <c r="C488" t="s">
        <v>9485</v>
      </c>
      <c r="D488" t="s">
        <v>835</v>
      </c>
      <c r="E488" t="s">
        <v>515</v>
      </c>
      <c r="F488" t="s">
        <v>516</v>
      </c>
      <c r="G488" t="str">
        <f>"29"</f>
        <v>29</v>
      </c>
      <c r="H488" t="str">
        <f>"35.5"</f>
        <v>35.5</v>
      </c>
      <c r="I488" t="str">
        <f>"31"</f>
        <v>31</v>
      </c>
      <c r="J488" t="str">
        <f>"54.01"</f>
        <v>54.01</v>
      </c>
      <c r="K488" t="s">
        <v>9486</v>
      </c>
      <c r="L488" t="s">
        <v>2550</v>
      </c>
      <c r="N488" t="s">
        <v>416</v>
      </c>
      <c r="O488" t="s">
        <v>775</v>
      </c>
      <c r="T488" t="s">
        <v>373</v>
      </c>
      <c r="U488" t="s">
        <v>373</v>
      </c>
      <c r="V488" t="s">
        <v>9487</v>
      </c>
      <c r="W488" t="s">
        <v>9488</v>
      </c>
      <c r="X488" t="s">
        <v>9489</v>
      </c>
      <c r="Y488" t="s">
        <v>9490</v>
      </c>
      <c r="Z488" t="s">
        <v>9491</v>
      </c>
      <c r="AA488" t="s">
        <v>9492</v>
      </c>
      <c r="AB488" t="s">
        <v>9493</v>
      </c>
      <c r="AC488" t="s">
        <v>9494</v>
      </c>
      <c r="AD488" t="s">
        <v>9495</v>
      </c>
      <c r="AE488" t="s">
        <v>9496</v>
      </c>
      <c r="AF488" t="s">
        <v>9497</v>
      </c>
      <c r="AG488" t="s">
        <v>9498</v>
      </c>
      <c r="AH488" t="s">
        <v>9499</v>
      </c>
      <c r="BA488" t="str">
        <f>"1899"</f>
        <v>1899</v>
      </c>
      <c r="BB488" t="str">
        <f>"800"</f>
        <v>800</v>
      </c>
      <c r="BC488" t="s">
        <v>388</v>
      </c>
      <c r="BD488" t="str">
        <f t="shared" si="100"/>
        <v>1</v>
      </c>
      <c r="BE488" t="s">
        <v>389</v>
      </c>
      <c r="BF488" t="str">
        <f>"35.83"</f>
        <v>35.83</v>
      </c>
      <c r="BG488" t="str">
        <f>"31.89"</f>
        <v>31.89</v>
      </c>
      <c r="BH488" t="str">
        <f>"31.1"</f>
        <v>31.1</v>
      </c>
      <c r="BI488" t="str">
        <f>"70.55"</f>
        <v>70.55</v>
      </c>
      <c r="BY488" t="str">
        <f>"20.55"</f>
        <v>20.55</v>
      </c>
      <c r="BZ488" t="str">
        <f>"0.582"</f>
        <v>0.582</v>
      </c>
      <c r="CA488" t="s">
        <v>390</v>
      </c>
      <c r="CH488" t="s">
        <v>2792</v>
      </c>
      <c r="CI488" t="s">
        <v>610</v>
      </c>
      <c r="CJ488" t="s">
        <v>1491</v>
      </c>
      <c r="CK488" t="s">
        <v>601</v>
      </c>
      <c r="CL488" t="s">
        <v>396</v>
      </c>
      <c r="CM488" t="s">
        <v>1151</v>
      </c>
      <c r="CN488">
        <v>0</v>
      </c>
      <c r="CO488">
        <v>1</v>
      </c>
      <c r="CP488" t="s">
        <v>437</v>
      </c>
      <c r="CQ488" t="s">
        <v>438</v>
      </c>
      <c r="CU488" t="s">
        <v>793</v>
      </c>
      <c r="CX488" t="s">
        <v>2398</v>
      </c>
      <c r="CY488" t="s">
        <v>400</v>
      </c>
      <c r="CZ488">
        <v>0</v>
      </c>
      <c r="DD488">
        <v>0</v>
      </c>
      <c r="DE488" t="s">
        <v>1892</v>
      </c>
      <c r="DF488" t="s">
        <v>406</v>
      </c>
      <c r="DG488" t="s">
        <v>5549</v>
      </c>
      <c r="DH488">
        <v>1</v>
      </c>
      <c r="DI488">
        <v>1</v>
      </c>
      <c r="DK488" t="s">
        <v>9500</v>
      </c>
      <c r="DL488">
        <v>0</v>
      </c>
      <c r="DM488" t="s">
        <v>538</v>
      </c>
      <c r="DN488" t="s">
        <v>1493</v>
      </c>
      <c r="DO488" t="s">
        <v>800</v>
      </c>
      <c r="DP488" t="s">
        <v>636</v>
      </c>
      <c r="DT488" t="s">
        <v>2510</v>
      </c>
      <c r="DU488" t="s">
        <v>1037</v>
      </c>
      <c r="DV488" t="s">
        <v>979</v>
      </c>
      <c r="DW488" t="s">
        <v>1491</v>
      </c>
      <c r="DX488" t="s">
        <v>1634</v>
      </c>
      <c r="DY488" t="s">
        <v>1853</v>
      </c>
      <c r="DZ488" t="s">
        <v>1151</v>
      </c>
      <c r="EA488" t="s">
        <v>1056</v>
      </c>
      <c r="ED488" t="s">
        <v>406</v>
      </c>
      <c r="EE488" t="s">
        <v>5549</v>
      </c>
      <c r="EF488" t="s">
        <v>1555</v>
      </c>
      <c r="ER488">
        <v>0</v>
      </c>
      <c r="ES488">
        <v>0</v>
      </c>
      <c r="EU488">
        <v>0</v>
      </c>
    </row>
    <row r="489" spans="1:287" x14ac:dyDescent="0.25">
      <c r="A489" t="s">
        <v>9501</v>
      </c>
      <c r="B489" t="str">
        <f>"801542047597"</f>
        <v>801542047597</v>
      </c>
      <c r="C489" t="s">
        <v>9502</v>
      </c>
      <c r="D489" t="s">
        <v>5390</v>
      </c>
      <c r="E489" t="s">
        <v>515</v>
      </c>
      <c r="F489" t="s">
        <v>516</v>
      </c>
      <c r="G489" t="str">
        <f>"33"</f>
        <v>33</v>
      </c>
      <c r="H489" t="str">
        <f>"37"</f>
        <v>37</v>
      </c>
      <c r="I489" t="str">
        <f>"32"</f>
        <v>32</v>
      </c>
      <c r="J489" t="str">
        <f>"56"</f>
        <v>56</v>
      </c>
      <c r="K489" t="s">
        <v>4763</v>
      </c>
      <c r="L489" t="s">
        <v>585</v>
      </c>
      <c r="N489" t="s">
        <v>371</v>
      </c>
      <c r="O489" t="s">
        <v>775</v>
      </c>
      <c r="T489" t="s">
        <v>373</v>
      </c>
      <c r="U489" t="s">
        <v>373</v>
      </c>
      <c r="V489" t="s">
        <v>9503</v>
      </c>
      <c r="W489" t="s">
        <v>9504</v>
      </c>
      <c r="X489" t="s">
        <v>9505</v>
      </c>
      <c r="Y489" t="s">
        <v>9506</v>
      </c>
      <c r="Z489" t="s">
        <v>9507</v>
      </c>
      <c r="AA489" t="s">
        <v>9508</v>
      </c>
      <c r="AB489" t="s">
        <v>9509</v>
      </c>
      <c r="AC489" t="s">
        <v>9510</v>
      </c>
      <c r="AD489" t="s">
        <v>9511</v>
      </c>
      <c r="AE489" t="s">
        <v>9512</v>
      </c>
      <c r="AF489" t="s">
        <v>9513</v>
      </c>
      <c r="AG489" t="s">
        <v>9514</v>
      </c>
      <c r="BA489" t="str">
        <f>"999"</f>
        <v>999</v>
      </c>
      <c r="BB489" t="str">
        <f>"420"</f>
        <v>420</v>
      </c>
      <c r="BC489" t="s">
        <v>388</v>
      </c>
      <c r="BD489" t="str">
        <f t="shared" si="100"/>
        <v>1</v>
      </c>
      <c r="BE489" t="s">
        <v>9515</v>
      </c>
      <c r="BF489" t="str">
        <f>"33.07"</f>
        <v>33.07</v>
      </c>
      <c r="BG489" t="str">
        <f>"37.8"</f>
        <v>37.8</v>
      </c>
      <c r="BH489" t="str">
        <f>"29.92"</f>
        <v>29.92</v>
      </c>
      <c r="BI489" t="str">
        <f>"65.04"</f>
        <v>65.04</v>
      </c>
      <c r="BY489" t="str">
        <f>"18.93"</f>
        <v>18.93</v>
      </c>
      <c r="BZ489" t="str">
        <f>"0.536"</f>
        <v>0.536</v>
      </c>
      <c r="CA489" t="s">
        <v>495</v>
      </c>
      <c r="CK489" t="s">
        <v>638</v>
      </c>
      <c r="CL489" t="s">
        <v>449</v>
      </c>
      <c r="CM489" t="s">
        <v>601</v>
      </c>
      <c r="CN489">
        <v>0</v>
      </c>
      <c r="CO489">
        <v>0</v>
      </c>
      <c r="CP489" t="s">
        <v>437</v>
      </c>
      <c r="CQ489" t="s">
        <v>399</v>
      </c>
      <c r="CX489" t="s">
        <v>403</v>
      </c>
      <c r="CY489" t="s">
        <v>400</v>
      </c>
      <c r="CZ489">
        <v>0</v>
      </c>
      <c r="DD489">
        <v>100000</v>
      </c>
      <c r="DE489" t="s">
        <v>439</v>
      </c>
      <c r="DH489">
        <v>0</v>
      </c>
      <c r="DI489">
        <v>1</v>
      </c>
      <c r="DK489" t="s">
        <v>9516</v>
      </c>
      <c r="DL489">
        <v>0</v>
      </c>
      <c r="DM489" t="s">
        <v>538</v>
      </c>
      <c r="DN489" t="s">
        <v>600</v>
      </c>
      <c r="DO489" t="s">
        <v>450</v>
      </c>
      <c r="DP489" t="s">
        <v>856</v>
      </c>
      <c r="DT489" t="s">
        <v>450</v>
      </c>
      <c r="DX489" t="s">
        <v>827</v>
      </c>
      <c r="DY489" t="s">
        <v>602</v>
      </c>
      <c r="DZ489" t="s">
        <v>603</v>
      </c>
      <c r="EA489" t="s">
        <v>1039</v>
      </c>
      <c r="EG489" t="s">
        <v>1513</v>
      </c>
      <c r="ER489">
        <v>0</v>
      </c>
      <c r="ES489">
        <v>0</v>
      </c>
      <c r="ET489" t="s">
        <v>643</v>
      </c>
      <c r="EU489">
        <v>0</v>
      </c>
    </row>
    <row r="490" spans="1:287" x14ac:dyDescent="0.25">
      <c r="A490" t="s">
        <v>9517</v>
      </c>
      <c r="B490" t="str">
        <f>"801542921996"</f>
        <v>801542921996</v>
      </c>
      <c r="C490" t="s">
        <v>9518</v>
      </c>
      <c r="D490" t="s">
        <v>1276</v>
      </c>
      <c r="E490" t="s">
        <v>1077</v>
      </c>
      <c r="G490" t="str">
        <f>"55"</f>
        <v>55</v>
      </c>
      <c r="H490" t="str">
        <f>"35"</f>
        <v>35</v>
      </c>
      <c r="I490" t="str">
        <f>"15"</f>
        <v>15</v>
      </c>
      <c r="J490" t="str">
        <f>"119.05"</f>
        <v>119.05</v>
      </c>
      <c r="K490" t="s">
        <v>9318</v>
      </c>
      <c r="L490" t="s">
        <v>9285</v>
      </c>
      <c r="N490" t="s">
        <v>9287</v>
      </c>
      <c r="T490" t="s">
        <v>373</v>
      </c>
      <c r="U490" t="s">
        <v>373</v>
      </c>
      <c r="V490" t="s">
        <v>9519</v>
      </c>
      <c r="W490" t="s">
        <v>9520</v>
      </c>
      <c r="X490" t="s">
        <v>9521</v>
      </c>
      <c r="Y490" t="s">
        <v>9522</v>
      </c>
      <c r="Z490" t="s">
        <v>9523</v>
      </c>
      <c r="AA490" t="s">
        <v>9524</v>
      </c>
      <c r="AB490" t="s">
        <v>9525</v>
      </c>
      <c r="AC490" t="s">
        <v>9526</v>
      </c>
      <c r="AD490" t="s">
        <v>9527</v>
      </c>
      <c r="AE490" t="s">
        <v>9528</v>
      </c>
      <c r="AF490" t="s">
        <v>9529</v>
      </c>
      <c r="AG490" t="s">
        <v>9530</v>
      </c>
      <c r="AH490" t="s">
        <v>9531</v>
      </c>
      <c r="AI490" t="s">
        <v>9532</v>
      </c>
      <c r="AJ490" t="s">
        <v>9533</v>
      </c>
      <c r="BA490" t="str">
        <f>"1499"</f>
        <v>1499</v>
      </c>
      <c r="BB490" t="str">
        <f>"630"</f>
        <v>630</v>
      </c>
      <c r="BC490" t="s">
        <v>665</v>
      </c>
      <c r="BD490" t="str">
        <f t="shared" si="100"/>
        <v>1</v>
      </c>
      <c r="BE490" t="s">
        <v>389</v>
      </c>
      <c r="BF490" t="str">
        <f>"59.25"</f>
        <v>59.25</v>
      </c>
      <c r="BG490" t="str">
        <f>"39.37"</f>
        <v>39.37</v>
      </c>
      <c r="BH490" t="str">
        <f>"22.05"</f>
        <v>22.05</v>
      </c>
      <c r="BI490" t="str">
        <f>"157.63"</f>
        <v>157.63</v>
      </c>
      <c r="BY490" t="str">
        <f>"29.77"</f>
        <v>29.77</v>
      </c>
      <c r="BZ490" t="str">
        <f>"0.843"</f>
        <v>0.843</v>
      </c>
      <c r="CA490" t="s">
        <v>431</v>
      </c>
      <c r="CE490" t="s">
        <v>443</v>
      </c>
      <c r="CF490" t="s">
        <v>1340</v>
      </c>
      <c r="CG490" t="s">
        <v>9534</v>
      </c>
      <c r="CR490" t="s">
        <v>400</v>
      </c>
      <c r="CS490">
        <v>0</v>
      </c>
      <c r="CT490" t="s">
        <v>400</v>
      </c>
      <c r="CV490">
        <v>0</v>
      </c>
      <c r="CX490" t="s">
        <v>1980</v>
      </c>
      <c r="CY490" t="s">
        <v>404</v>
      </c>
      <c r="DC490">
        <v>0</v>
      </c>
      <c r="DJ490" t="s">
        <v>408</v>
      </c>
      <c r="DK490" t="s">
        <v>9299</v>
      </c>
      <c r="DM490" t="s">
        <v>473</v>
      </c>
      <c r="EI490" t="s">
        <v>443</v>
      </c>
      <c r="EJ490" t="s">
        <v>979</v>
      </c>
      <c r="EK490" t="s">
        <v>2807</v>
      </c>
      <c r="EL490" t="s">
        <v>1355</v>
      </c>
      <c r="EM490" t="s">
        <v>402</v>
      </c>
      <c r="EN490">
        <v>1</v>
      </c>
      <c r="EO490">
        <v>0</v>
      </c>
    </row>
    <row r="491" spans="1:287" x14ac:dyDescent="0.25">
      <c r="A491" t="s">
        <v>9535</v>
      </c>
      <c r="B491" t="str">
        <f>"801542856540"</f>
        <v>801542856540</v>
      </c>
      <c r="C491" t="s">
        <v>9536</v>
      </c>
      <c r="D491" t="s">
        <v>1276</v>
      </c>
      <c r="E491" t="s">
        <v>1077</v>
      </c>
      <c r="G491" t="str">
        <f>"55"</f>
        <v>55</v>
      </c>
      <c r="H491" t="str">
        <f>"35"</f>
        <v>35</v>
      </c>
      <c r="I491" t="str">
        <f>"15"</f>
        <v>15</v>
      </c>
      <c r="J491" t="str">
        <f>"119.05"</f>
        <v>119.05</v>
      </c>
      <c r="K491" t="s">
        <v>9341</v>
      </c>
      <c r="L491" t="s">
        <v>9302</v>
      </c>
      <c r="N491" t="s">
        <v>9287</v>
      </c>
      <c r="T491" t="s">
        <v>373</v>
      </c>
      <c r="U491" t="s">
        <v>373</v>
      </c>
      <c r="V491" t="s">
        <v>9537</v>
      </c>
      <c r="W491" t="s">
        <v>9538</v>
      </c>
      <c r="X491" t="s">
        <v>9539</v>
      </c>
      <c r="Y491" t="s">
        <v>9540</v>
      </c>
      <c r="Z491" t="s">
        <v>9541</v>
      </c>
      <c r="AA491" t="s">
        <v>9542</v>
      </c>
      <c r="AB491" t="s">
        <v>9543</v>
      </c>
      <c r="AC491" t="s">
        <v>9544</v>
      </c>
      <c r="AD491" t="s">
        <v>9545</v>
      </c>
      <c r="AE491" t="s">
        <v>9546</v>
      </c>
      <c r="AF491" t="s">
        <v>9547</v>
      </c>
      <c r="AG491" t="s">
        <v>9548</v>
      </c>
      <c r="BA491" t="str">
        <f>"1499"</f>
        <v>1499</v>
      </c>
      <c r="BB491" t="str">
        <f>"630"</f>
        <v>630</v>
      </c>
      <c r="BC491" t="s">
        <v>665</v>
      </c>
      <c r="BD491" t="str">
        <f t="shared" si="100"/>
        <v>1</v>
      </c>
      <c r="BE491" t="s">
        <v>389</v>
      </c>
      <c r="BF491" t="str">
        <f>"59.25"</f>
        <v>59.25</v>
      </c>
      <c r="BG491" t="str">
        <f>"39.37"</f>
        <v>39.37</v>
      </c>
      <c r="BH491" t="str">
        <f>"22.05"</f>
        <v>22.05</v>
      </c>
      <c r="BI491" t="str">
        <f>"157.63"</f>
        <v>157.63</v>
      </c>
      <c r="BY491" t="str">
        <f>"29.77"</f>
        <v>29.77</v>
      </c>
      <c r="BZ491" t="str">
        <f>"0.843"</f>
        <v>0.843</v>
      </c>
      <c r="CA491" t="s">
        <v>431</v>
      </c>
      <c r="CE491" t="s">
        <v>443</v>
      </c>
      <c r="CF491" t="s">
        <v>1340</v>
      </c>
      <c r="CG491" t="s">
        <v>9534</v>
      </c>
      <c r="CR491" t="s">
        <v>400</v>
      </c>
      <c r="CS491">
        <v>0</v>
      </c>
      <c r="CT491" t="s">
        <v>400</v>
      </c>
      <c r="CV491">
        <v>0</v>
      </c>
      <c r="CX491" t="s">
        <v>1980</v>
      </c>
      <c r="CY491" t="s">
        <v>404</v>
      </c>
      <c r="DC491">
        <v>0</v>
      </c>
      <c r="DJ491" t="s">
        <v>408</v>
      </c>
      <c r="DK491" t="s">
        <v>9299</v>
      </c>
      <c r="DM491" t="s">
        <v>473</v>
      </c>
      <c r="EI491" t="s">
        <v>443</v>
      </c>
      <c r="EJ491" t="s">
        <v>979</v>
      </c>
      <c r="EK491" t="s">
        <v>2807</v>
      </c>
      <c r="EL491" t="s">
        <v>1355</v>
      </c>
      <c r="EM491" t="s">
        <v>402</v>
      </c>
      <c r="EN491">
        <v>1</v>
      </c>
      <c r="EO491">
        <v>0</v>
      </c>
    </row>
    <row r="492" spans="1:287" x14ac:dyDescent="0.25">
      <c r="A492" t="s">
        <v>9549</v>
      </c>
      <c r="B492" t="str">
        <f>"801542874551"</f>
        <v>801542874551</v>
      </c>
      <c r="C492" t="s">
        <v>9550</v>
      </c>
      <c r="D492" t="s">
        <v>1276</v>
      </c>
      <c r="E492" t="s">
        <v>4074</v>
      </c>
      <c r="G492" t="str">
        <f>"60"</f>
        <v>60</v>
      </c>
      <c r="H492" t="str">
        <f>"19"</f>
        <v>19</v>
      </c>
      <c r="I492" t="str">
        <f>"26.75"</f>
        <v>26.75</v>
      </c>
      <c r="J492" t="str">
        <f>"116.84"</f>
        <v>116.84</v>
      </c>
      <c r="K492" t="s">
        <v>9285</v>
      </c>
      <c r="L492" t="s">
        <v>9286</v>
      </c>
      <c r="N492" t="s">
        <v>6858</v>
      </c>
      <c r="O492" t="s">
        <v>9287</v>
      </c>
      <c r="P492" t="s">
        <v>555</v>
      </c>
      <c r="T492" t="s">
        <v>373</v>
      </c>
      <c r="U492" t="s">
        <v>373</v>
      </c>
      <c r="W492" t="s">
        <v>9551</v>
      </c>
      <c r="X492" t="s">
        <v>9552</v>
      </c>
      <c r="Y492" t="s">
        <v>9553</v>
      </c>
      <c r="Z492" t="s">
        <v>9554</v>
      </c>
      <c r="AA492" t="s">
        <v>9555</v>
      </c>
      <c r="AB492" t="s">
        <v>9556</v>
      </c>
      <c r="AC492" t="s">
        <v>9557</v>
      </c>
      <c r="AD492" t="s">
        <v>9558</v>
      </c>
      <c r="AE492" t="s">
        <v>9559</v>
      </c>
      <c r="AF492" t="s">
        <v>9560</v>
      </c>
      <c r="AG492" t="s">
        <v>9561</v>
      </c>
      <c r="AH492" t="s">
        <v>9562</v>
      </c>
      <c r="AI492" t="s">
        <v>9563</v>
      </c>
      <c r="AJ492" t="s">
        <v>9564</v>
      </c>
      <c r="AK492" t="s">
        <v>9565</v>
      </c>
      <c r="BA492" t="str">
        <f>"1599"</f>
        <v>1599</v>
      </c>
      <c r="BB492" t="str">
        <f>"675"</f>
        <v>675</v>
      </c>
      <c r="BC492" t="s">
        <v>665</v>
      </c>
      <c r="BD492" t="str">
        <f t="shared" si="100"/>
        <v>1</v>
      </c>
      <c r="BE492" t="s">
        <v>1266</v>
      </c>
      <c r="BF492" t="str">
        <f>"64.37"</f>
        <v>64.37</v>
      </c>
      <c r="BG492" t="str">
        <f>"22.83"</f>
        <v>22.83</v>
      </c>
      <c r="BH492" t="str">
        <f>"33.86"</f>
        <v>33.86</v>
      </c>
      <c r="BI492" t="str">
        <f>"147.71"</f>
        <v>147.71</v>
      </c>
      <c r="BY492" t="str">
        <f>"28.82"</f>
        <v>28.82</v>
      </c>
      <c r="BZ492" t="str">
        <f>"0.816"</f>
        <v>0.816</v>
      </c>
      <c r="CA492" t="s">
        <v>390</v>
      </c>
      <c r="CE492" t="s">
        <v>2286</v>
      </c>
      <c r="CF492" t="s">
        <v>2124</v>
      </c>
      <c r="CG492" t="s">
        <v>9566</v>
      </c>
      <c r="CR492" t="s">
        <v>5068</v>
      </c>
      <c r="CS492">
        <v>2</v>
      </c>
      <c r="CT492" t="s">
        <v>400</v>
      </c>
      <c r="CV492">
        <v>0</v>
      </c>
      <c r="CX492" t="s">
        <v>1980</v>
      </c>
      <c r="CY492" t="s">
        <v>1009</v>
      </c>
      <c r="DC492">
        <v>0</v>
      </c>
      <c r="DJ492" t="s">
        <v>408</v>
      </c>
      <c r="DK492" t="s">
        <v>9299</v>
      </c>
      <c r="DM492" t="s">
        <v>473</v>
      </c>
      <c r="EL492" t="s">
        <v>956</v>
      </c>
      <c r="EM492" t="s">
        <v>402</v>
      </c>
      <c r="EN492">
        <v>1</v>
      </c>
      <c r="EO492">
        <v>0</v>
      </c>
      <c r="FI492">
        <v>0</v>
      </c>
      <c r="FJ492" t="s">
        <v>1012</v>
      </c>
      <c r="FP492" t="s">
        <v>402</v>
      </c>
      <c r="FR492" t="s">
        <v>9423</v>
      </c>
      <c r="FT492" t="s">
        <v>9567</v>
      </c>
      <c r="FV492" t="s">
        <v>4181</v>
      </c>
      <c r="FX492" t="s">
        <v>1017</v>
      </c>
      <c r="FZ492" t="s">
        <v>1018</v>
      </c>
    </row>
    <row r="493" spans="1:287" x14ac:dyDescent="0.25">
      <c r="A493" t="s">
        <v>9568</v>
      </c>
      <c r="B493" t="str">
        <f>"801542907433"</f>
        <v>801542907433</v>
      </c>
      <c r="C493" t="s">
        <v>9569</v>
      </c>
      <c r="D493" t="s">
        <v>1276</v>
      </c>
      <c r="E493" t="s">
        <v>4074</v>
      </c>
      <c r="G493" t="str">
        <f>"60"</f>
        <v>60</v>
      </c>
      <c r="H493" t="str">
        <f>"19"</f>
        <v>19</v>
      </c>
      <c r="I493" t="str">
        <f>"26.75"</f>
        <v>26.75</v>
      </c>
      <c r="J493" t="str">
        <f>"116.84"</f>
        <v>116.84</v>
      </c>
      <c r="K493" t="s">
        <v>9302</v>
      </c>
      <c r="L493" t="s">
        <v>9286</v>
      </c>
      <c r="N493" t="s">
        <v>6858</v>
      </c>
      <c r="O493" t="s">
        <v>9287</v>
      </c>
      <c r="P493" t="s">
        <v>555</v>
      </c>
      <c r="T493" t="s">
        <v>373</v>
      </c>
      <c r="U493" t="s">
        <v>373</v>
      </c>
      <c r="W493" t="s">
        <v>9570</v>
      </c>
      <c r="X493" t="s">
        <v>9571</v>
      </c>
      <c r="Y493" t="s">
        <v>9572</v>
      </c>
      <c r="Z493" t="s">
        <v>9573</v>
      </c>
      <c r="AA493" t="s">
        <v>9574</v>
      </c>
      <c r="AB493" t="s">
        <v>9575</v>
      </c>
      <c r="AC493" t="s">
        <v>9576</v>
      </c>
      <c r="AD493" t="s">
        <v>9577</v>
      </c>
      <c r="AE493" t="s">
        <v>9578</v>
      </c>
      <c r="AF493" t="s">
        <v>9579</v>
      </c>
      <c r="AG493" t="s">
        <v>9580</v>
      </c>
      <c r="AH493" t="s">
        <v>9581</v>
      </c>
      <c r="AI493" t="s">
        <v>9582</v>
      </c>
      <c r="BA493" t="str">
        <f>"1599"</f>
        <v>1599</v>
      </c>
      <c r="BB493" t="str">
        <f>"675"</f>
        <v>675</v>
      </c>
      <c r="BC493" t="s">
        <v>665</v>
      </c>
      <c r="BD493" t="str">
        <f t="shared" si="100"/>
        <v>1</v>
      </c>
      <c r="BE493" t="s">
        <v>1266</v>
      </c>
      <c r="BF493" t="str">
        <f>"64.37"</f>
        <v>64.37</v>
      </c>
      <c r="BG493" t="str">
        <f>"22.83"</f>
        <v>22.83</v>
      </c>
      <c r="BH493" t="str">
        <f>"33.86"</f>
        <v>33.86</v>
      </c>
      <c r="BI493" t="str">
        <f>"147.71"</f>
        <v>147.71</v>
      </c>
      <c r="BY493" t="str">
        <f>"28.82"</f>
        <v>28.82</v>
      </c>
      <c r="BZ493" t="str">
        <f>"0.816"</f>
        <v>0.816</v>
      </c>
      <c r="CA493" t="s">
        <v>495</v>
      </c>
      <c r="CE493" t="s">
        <v>2286</v>
      </c>
      <c r="CF493" t="s">
        <v>2124</v>
      </c>
      <c r="CG493" t="s">
        <v>9566</v>
      </c>
      <c r="CR493" t="s">
        <v>5068</v>
      </c>
      <c r="CS493">
        <v>2</v>
      </c>
      <c r="CT493" t="s">
        <v>400</v>
      </c>
      <c r="CV493">
        <v>0</v>
      </c>
      <c r="CX493" t="s">
        <v>1980</v>
      </c>
      <c r="CY493" t="s">
        <v>1009</v>
      </c>
      <c r="DC493">
        <v>0</v>
      </c>
      <c r="DJ493" t="s">
        <v>408</v>
      </c>
      <c r="DK493" t="s">
        <v>9299</v>
      </c>
      <c r="DM493" t="s">
        <v>473</v>
      </c>
      <c r="EL493" t="s">
        <v>956</v>
      </c>
      <c r="EM493" t="s">
        <v>402</v>
      </c>
      <c r="EN493">
        <v>1</v>
      </c>
      <c r="EO493">
        <v>0</v>
      </c>
      <c r="FI493">
        <v>0</v>
      </c>
      <c r="FJ493" t="s">
        <v>1012</v>
      </c>
      <c r="FP493" t="s">
        <v>402</v>
      </c>
      <c r="FR493" t="s">
        <v>9423</v>
      </c>
      <c r="FT493" t="s">
        <v>9567</v>
      </c>
      <c r="FV493" t="s">
        <v>4181</v>
      </c>
      <c r="FX493" t="s">
        <v>1017</v>
      </c>
      <c r="FZ493" t="s">
        <v>1018</v>
      </c>
    </row>
    <row r="494" spans="1:287" x14ac:dyDescent="0.25">
      <c r="A494" t="s">
        <v>9583</v>
      </c>
      <c r="B494" t="str">
        <f>"801542068363"</f>
        <v>801542068363</v>
      </c>
      <c r="C494" t="s">
        <v>9584</v>
      </c>
      <c r="D494" t="s">
        <v>366</v>
      </c>
      <c r="E494" t="s">
        <v>2388</v>
      </c>
      <c r="G494" t="str">
        <f>"39"</f>
        <v>39</v>
      </c>
      <c r="H494" t="str">
        <f>"39"</f>
        <v>39</v>
      </c>
      <c r="I494" t="str">
        <f>"17.5"</f>
        <v>17.5</v>
      </c>
      <c r="J494" t="str">
        <f>"58.86"</f>
        <v>58.86</v>
      </c>
      <c r="K494" t="s">
        <v>5552</v>
      </c>
      <c r="L494" t="s">
        <v>9585</v>
      </c>
      <c r="N494" t="s">
        <v>839</v>
      </c>
      <c r="O494" t="s">
        <v>840</v>
      </c>
      <c r="P494" t="s">
        <v>372</v>
      </c>
      <c r="T494" t="s">
        <v>373</v>
      </c>
      <c r="U494" t="s">
        <v>402</v>
      </c>
      <c r="V494" t="s">
        <v>9586</v>
      </c>
      <c r="W494" t="s">
        <v>9587</v>
      </c>
      <c r="X494" t="s">
        <v>9588</v>
      </c>
      <c r="Y494" t="s">
        <v>9589</v>
      </c>
      <c r="Z494" t="s">
        <v>9590</v>
      </c>
      <c r="AA494" t="s">
        <v>9591</v>
      </c>
      <c r="AB494" t="s">
        <v>9592</v>
      </c>
      <c r="AC494" t="s">
        <v>9593</v>
      </c>
      <c r="AD494" t="s">
        <v>9594</v>
      </c>
      <c r="AE494" t="s">
        <v>9595</v>
      </c>
      <c r="AF494" t="s">
        <v>9596</v>
      </c>
      <c r="AG494" t="s">
        <v>9597</v>
      </c>
      <c r="BA494" t="str">
        <f>"949"</f>
        <v>949</v>
      </c>
      <c r="BB494" t="str">
        <f>"400"</f>
        <v>400</v>
      </c>
      <c r="BC494" t="s">
        <v>388</v>
      </c>
      <c r="BD494" t="str">
        <f t="shared" si="100"/>
        <v>1</v>
      </c>
      <c r="BE494" t="s">
        <v>389</v>
      </c>
      <c r="BF494" t="str">
        <f>"37.01"</f>
        <v>37.01</v>
      </c>
      <c r="BG494" t="str">
        <f>"37.4"</f>
        <v>37.4</v>
      </c>
      <c r="BH494" t="str">
        <f>"19.69"</f>
        <v>19.69</v>
      </c>
      <c r="BI494" t="str">
        <f>"78.92"</f>
        <v>78.92</v>
      </c>
      <c r="BY494" t="str">
        <f>"15.79"</f>
        <v>15.79</v>
      </c>
      <c r="BZ494" t="str">
        <f>"0.447"</f>
        <v>0.447</v>
      </c>
      <c r="CA494" t="s">
        <v>495</v>
      </c>
      <c r="CH494" t="s">
        <v>9598</v>
      </c>
      <c r="CI494" t="s">
        <v>6454</v>
      </c>
      <c r="CJ494" t="s">
        <v>9598</v>
      </c>
      <c r="CK494" t="s">
        <v>9598</v>
      </c>
      <c r="CL494" t="s">
        <v>8024</v>
      </c>
      <c r="CM494" t="s">
        <v>9598</v>
      </c>
      <c r="CO494">
        <v>0</v>
      </c>
      <c r="CQ494" t="s">
        <v>631</v>
      </c>
      <c r="CX494" t="s">
        <v>667</v>
      </c>
      <c r="CZ494">
        <v>0</v>
      </c>
      <c r="DD494">
        <v>25000</v>
      </c>
      <c r="DE494" t="s">
        <v>405</v>
      </c>
      <c r="DF494" t="s">
        <v>406</v>
      </c>
      <c r="DG494" t="s">
        <v>407</v>
      </c>
      <c r="DH494">
        <v>1</v>
      </c>
      <c r="DI494">
        <v>1</v>
      </c>
      <c r="DJ494" t="s">
        <v>471</v>
      </c>
      <c r="DK494" t="s">
        <v>9599</v>
      </c>
      <c r="DL494">
        <v>0</v>
      </c>
      <c r="DM494" t="s">
        <v>538</v>
      </c>
      <c r="DX494" t="s">
        <v>2081</v>
      </c>
      <c r="EG494" t="s">
        <v>401</v>
      </c>
      <c r="EM494" t="s">
        <v>402</v>
      </c>
    </row>
    <row r="495" spans="1:287" x14ac:dyDescent="0.25">
      <c r="A495" t="s">
        <v>9600</v>
      </c>
      <c r="B495" t="str">
        <f>"801542792992"</f>
        <v>801542792992</v>
      </c>
      <c r="C495" t="s">
        <v>9601</v>
      </c>
      <c r="D495" t="s">
        <v>1318</v>
      </c>
      <c r="E495" t="s">
        <v>930</v>
      </c>
      <c r="G495" t="str">
        <f>"80"</f>
        <v>80</v>
      </c>
      <c r="H495" t="str">
        <f>"20"</f>
        <v>20</v>
      </c>
      <c r="I495" t="str">
        <f>"30"</f>
        <v>30</v>
      </c>
      <c r="J495" t="str">
        <f>"229.28"</f>
        <v>229.28</v>
      </c>
      <c r="K495" t="s">
        <v>4075</v>
      </c>
      <c r="N495" t="s">
        <v>1463</v>
      </c>
      <c r="O495" t="s">
        <v>9602</v>
      </c>
      <c r="T495" t="s">
        <v>373</v>
      </c>
      <c r="U495" t="s">
        <v>373</v>
      </c>
      <c r="V495" t="s">
        <v>9603</v>
      </c>
      <c r="W495" t="s">
        <v>9604</v>
      </c>
      <c r="X495" t="s">
        <v>9605</v>
      </c>
      <c r="Y495" t="s">
        <v>9606</v>
      </c>
      <c r="Z495" t="s">
        <v>9607</v>
      </c>
      <c r="AA495" t="s">
        <v>9608</v>
      </c>
      <c r="AB495" t="s">
        <v>9609</v>
      </c>
      <c r="AC495" t="s">
        <v>9610</v>
      </c>
      <c r="AD495" t="s">
        <v>9611</v>
      </c>
      <c r="AE495" t="s">
        <v>9612</v>
      </c>
      <c r="AF495" t="s">
        <v>9613</v>
      </c>
      <c r="AG495" t="s">
        <v>9614</v>
      </c>
      <c r="AH495" t="s">
        <v>9615</v>
      </c>
      <c r="AI495" t="s">
        <v>9616</v>
      </c>
      <c r="AJ495" t="s">
        <v>9617</v>
      </c>
      <c r="AK495" t="s">
        <v>9618</v>
      </c>
      <c r="AL495" t="s">
        <v>9619</v>
      </c>
      <c r="AM495" t="s">
        <v>9620</v>
      </c>
      <c r="AN495" t="s">
        <v>9621</v>
      </c>
      <c r="AO495" t="s">
        <v>9622</v>
      </c>
      <c r="BA495" t="str">
        <f>"3499"</f>
        <v>3499</v>
      </c>
      <c r="BB495" t="str">
        <f>"1470"</f>
        <v>1470</v>
      </c>
      <c r="BC495" t="s">
        <v>665</v>
      </c>
      <c r="BD495" t="str">
        <f t="shared" si="100"/>
        <v>1</v>
      </c>
      <c r="BE495" t="s">
        <v>9060</v>
      </c>
      <c r="BF495" t="str">
        <f>"84"</f>
        <v>84</v>
      </c>
      <c r="BG495" t="str">
        <f>"23.5"</f>
        <v>23.5</v>
      </c>
      <c r="BH495" t="str">
        <f>"34.84"</f>
        <v>34.84</v>
      </c>
      <c r="BI495" t="str">
        <f>"304.24"</f>
        <v>304.24</v>
      </c>
      <c r="BY495" t="str">
        <f>"39.8"</f>
        <v>39.8</v>
      </c>
      <c r="BZ495" t="str">
        <f>"1.127"</f>
        <v>1.127</v>
      </c>
      <c r="CA495" t="s">
        <v>390</v>
      </c>
      <c r="CE495" t="s">
        <v>9623</v>
      </c>
      <c r="CF495" t="s">
        <v>1291</v>
      </c>
      <c r="CG495" t="s">
        <v>9624</v>
      </c>
      <c r="CR495" t="s">
        <v>5068</v>
      </c>
      <c r="CS495">
        <v>2</v>
      </c>
      <c r="CT495" t="s">
        <v>400</v>
      </c>
      <c r="CV495">
        <v>0</v>
      </c>
      <c r="CX495" t="s">
        <v>953</v>
      </c>
      <c r="CY495" t="s">
        <v>954</v>
      </c>
      <c r="DA495">
        <v>18.14</v>
      </c>
      <c r="DB495">
        <v>40</v>
      </c>
      <c r="DC495">
        <v>2</v>
      </c>
      <c r="DK495" t="s">
        <v>9625</v>
      </c>
      <c r="DM495" t="s">
        <v>669</v>
      </c>
      <c r="DX495" t="s">
        <v>5881</v>
      </c>
      <c r="EM495" t="s">
        <v>402</v>
      </c>
      <c r="EN495">
        <v>2</v>
      </c>
      <c r="EZ495" t="s">
        <v>9626</v>
      </c>
      <c r="FA495" t="s">
        <v>4614</v>
      </c>
      <c r="FB495" t="s">
        <v>6766</v>
      </c>
      <c r="FC495" t="s">
        <v>9623</v>
      </c>
      <c r="FD495" t="s">
        <v>5144</v>
      </c>
      <c r="FE495" t="s">
        <v>9624</v>
      </c>
      <c r="FF495">
        <v>0</v>
      </c>
      <c r="FG495" t="s">
        <v>402</v>
      </c>
      <c r="FI495">
        <v>2</v>
      </c>
      <c r="FJ495" t="s">
        <v>960</v>
      </c>
      <c r="FK495" t="s">
        <v>961</v>
      </c>
      <c r="FL495">
        <v>0</v>
      </c>
      <c r="FM495" t="s">
        <v>402</v>
      </c>
      <c r="FO495" t="s">
        <v>984</v>
      </c>
      <c r="FR495" t="s">
        <v>9627</v>
      </c>
      <c r="FT495" t="s">
        <v>9628</v>
      </c>
      <c r="FV495" t="s">
        <v>9629</v>
      </c>
      <c r="FX495" t="s">
        <v>4210</v>
      </c>
      <c r="GX495" t="s">
        <v>1357</v>
      </c>
      <c r="HI495" t="s">
        <v>402</v>
      </c>
      <c r="JG495" t="s">
        <v>9623</v>
      </c>
    </row>
    <row r="496" spans="1:287" x14ac:dyDescent="0.25">
      <c r="A496" t="s">
        <v>9630</v>
      </c>
      <c r="B496" t="str">
        <f>"801542792985"</f>
        <v>801542792985</v>
      </c>
      <c r="C496" t="s">
        <v>9631</v>
      </c>
      <c r="D496" t="s">
        <v>1318</v>
      </c>
      <c r="E496" t="s">
        <v>1319</v>
      </c>
      <c r="F496" t="s">
        <v>3836</v>
      </c>
      <c r="G496" t="str">
        <f>"70"</f>
        <v>70</v>
      </c>
      <c r="H496" t="str">
        <f>"25"</f>
        <v>25</v>
      </c>
      <c r="I496" t="str">
        <f>"31"</f>
        <v>31</v>
      </c>
      <c r="J496" t="str">
        <f>"156.53"</f>
        <v>156.53</v>
      </c>
      <c r="K496" t="s">
        <v>4075</v>
      </c>
      <c r="N496" t="s">
        <v>1463</v>
      </c>
      <c r="O496" t="s">
        <v>9602</v>
      </c>
      <c r="T496" t="s">
        <v>373</v>
      </c>
      <c r="U496" t="s">
        <v>373</v>
      </c>
      <c r="V496" t="s">
        <v>9632</v>
      </c>
      <c r="W496" t="s">
        <v>9633</v>
      </c>
      <c r="X496" t="s">
        <v>9634</v>
      </c>
      <c r="Y496" t="s">
        <v>9635</v>
      </c>
      <c r="Z496" t="s">
        <v>9636</v>
      </c>
      <c r="AA496" t="s">
        <v>9637</v>
      </c>
      <c r="AB496" t="s">
        <v>9638</v>
      </c>
      <c r="AC496" t="s">
        <v>9639</v>
      </c>
      <c r="AD496" t="s">
        <v>9640</v>
      </c>
      <c r="AE496" t="s">
        <v>9641</v>
      </c>
      <c r="AF496" t="s">
        <v>9642</v>
      </c>
      <c r="AG496" t="s">
        <v>9643</v>
      </c>
      <c r="AH496" t="s">
        <v>9644</v>
      </c>
      <c r="AI496" t="s">
        <v>9645</v>
      </c>
      <c r="AJ496" t="s">
        <v>9646</v>
      </c>
      <c r="AK496" t="s">
        <v>9647</v>
      </c>
      <c r="BA496" t="str">
        <f>"2799"</f>
        <v>2799</v>
      </c>
      <c r="BB496" t="str">
        <f>"1180"</f>
        <v>1180</v>
      </c>
      <c r="BC496" t="s">
        <v>665</v>
      </c>
      <c r="BD496" t="str">
        <f t="shared" si="100"/>
        <v>1</v>
      </c>
      <c r="BE496" t="s">
        <v>9648</v>
      </c>
      <c r="BF496" t="str">
        <f>"73.5"</f>
        <v>73.5</v>
      </c>
      <c r="BG496" t="str">
        <f>"28.74"</f>
        <v>28.74</v>
      </c>
      <c r="BH496" t="str">
        <f>"38.86"</f>
        <v>38.86</v>
      </c>
      <c r="BI496" t="str">
        <f>"222.67"</f>
        <v>222.67</v>
      </c>
      <c r="BY496" t="str">
        <f>"47.5"</f>
        <v>47.5</v>
      </c>
      <c r="BZ496" t="str">
        <f>"1.345"</f>
        <v>1.345</v>
      </c>
      <c r="CA496" t="s">
        <v>431</v>
      </c>
      <c r="CR496" t="s">
        <v>5068</v>
      </c>
      <c r="CS496">
        <v>3</v>
      </c>
      <c r="CT496" t="s">
        <v>400</v>
      </c>
      <c r="CV496">
        <v>0</v>
      </c>
      <c r="CX496" t="s">
        <v>953</v>
      </c>
      <c r="CY496" t="s">
        <v>1009</v>
      </c>
      <c r="DC496">
        <v>0</v>
      </c>
      <c r="DJ496" t="s">
        <v>3853</v>
      </c>
      <c r="DK496" t="s">
        <v>9625</v>
      </c>
      <c r="DM496" t="s">
        <v>473</v>
      </c>
      <c r="DX496" t="s">
        <v>638</v>
      </c>
      <c r="DZ496" t="s">
        <v>9649</v>
      </c>
      <c r="EI496" t="s">
        <v>638</v>
      </c>
      <c r="EJ496" t="s">
        <v>9650</v>
      </c>
      <c r="EK496" t="s">
        <v>392</v>
      </c>
      <c r="EL496" t="s">
        <v>392</v>
      </c>
      <c r="EN496">
        <v>0</v>
      </c>
      <c r="EW496" t="s">
        <v>638</v>
      </c>
      <c r="FI496">
        <v>0</v>
      </c>
      <c r="FJ496" t="s">
        <v>1012</v>
      </c>
      <c r="FR496" t="s">
        <v>9627</v>
      </c>
      <c r="FT496" t="s">
        <v>2030</v>
      </c>
      <c r="FV496" t="s">
        <v>9651</v>
      </c>
      <c r="FX496" t="s">
        <v>4210</v>
      </c>
      <c r="FZ496" t="s">
        <v>1018</v>
      </c>
      <c r="GE496">
        <v>0</v>
      </c>
      <c r="HH496" t="s">
        <v>402</v>
      </c>
    </row>
    <row r="497" spans="1:251" x14ac:dyDescent="0.25">
      <c r="A497" t="s">
        <v>9652</v>
      </c>
      <c r="B497" t="str">
        <f>"198394080231"</f>
        <v>198394080231</v>
      </c>
      <c r="C497" t="s">
        <v>9653</v>
      </c>
      <c r="D497" t="s">
        <v>1318</v>
      </c>
      <c r="E497" t="s">
        <v>1319</v>
      </c>
      <c r="F497" t="s">
        <v>3836</v>
      </c>
      <c r="G497" t="str">
        <f>"70"</f>
        <v>70</v>
      </c>
      <c r="H497" t="str">
        <f>"25"</f>
        <v>25</v>
      </c>
      <c r="I497" t="str">
        <f>"31"</f>
        <v>31</v>
      </c>
      <c r="J497" t="str">
        <f>"156.53"</f>
        <v>156.53</v>
      </c>
      <c r="K497" t="s">
        <v>9654</v>
      </c>
      <c r="L497" t="s">
        <v>9655</v>
      </c>
      <c r="N497" t="s">
        <v>1463</v>
      </c>
      <c r="O497" t="s">
        <v>9602</v>
      </c>
      <c r="T497" t="s">
        <v>373</v>
      </c>
      <c r="U497" t="s">
        <v>373</v>
      </c>
      <c r="V497" t="s">
        <v>9656</v>
      </c>
      <c r="W497" t="s">
        <v>9657</v>
      </c>
      <c r="X497" t="s">
        <v>9658</v>
      </c>
      <c r="Y497" t="s">
        <v>9659</v>
      </c>
      <c r="Z497" t="s">
        <v>9660</v>
      </c>
      <c r="AA497" t="s">
        <v>9661</v>
      </c>
      <c r="AB497" t="s">
        <v>9662</v>
      </c>
      <c r="AC497" t="s">
        <v>9663</v>
      </c>
      <c r="AD497" t="s">
        <v>9664</v>
      </c>
      <c r="AE497" t="s">
        <v>9665</v>
      </c>
      <c r="AF497" t="s">
        <v>9666</v>
      </c>
      <c r="AG497" t="s">
        <v>9667</v>
      </c>
      <c r="AH497" t="s">
        <v>9668</v>
      </c>
      <c r="AI497" t="s">
        <v>9669</v>
      </c>
      <c r="BA497" t="str">
        <f>"2799"</f>
        <v>2799</v>
      </c>
      <c r="BB497" t="str">
        <f>"1180"</f>
        <v>1180</v>
      </c>
      <c r="BC497" t="s">
        <v>665</v>
      </c>
      <c r="BD497" t="str">
        <f t="shared" si="100"/>
        <v>1</v>
      </c>
      <c r="BE497" t="s">
        <v>9648</v>
      </c>
      <c r="BF497" t="str">
        <f>"73.5"</f>
        <v>73.5</v>
      </c>
      <c r="BG497" t="str">
        <f>"28.74"</f>
        <v>28.74</v>
      </c>
      <c r="BH497" t="str">
        <f>"38.86"</f>
        <v>38.86</v>
      </c>
      <c r="BI497" t="str">
        <f>"222.67"</f>
        <v>222.67</v>
      </c>
      <c r="BY497" t="str">
        <f>"47.5"</f>
        <v>47.5</v>
      </c>
      <c r="BZ497" t="str">
        <f>"1.345"</f>
        <v>1.345</v>
      </c>
      <c r="CA497" t="s">
        <v>431</v>
      </c>
      <c r="CR497" t="s">
        <v>5068</v>
      </c>
      <c r="CS497">
        <v>3</v>
      </c>
      <c r="CT497" t="s">
        <v>400</v>
      </c>
      <c r="CV497">
        <v>0</v>
      </c>
      <c r="CX497" t="s">
        <v>953</v>
      </c>
      <c r="CY497" t="s">
        <v>1009</v>
      </c>
      <c r="DC497">
        <v>0</v>
      </c>
      <c r="DJ497" t="s">
        <v>3853</v>
      </c>
      <c r="DK497" t="s">
        <v>9625</v>
      </c>
      <c r="DM497" t="s">
        <v>473</v>
      </c>
      <c r="DX497" t="s">
        <v>638</v>
      </c>
      <c r="DZ497" t="s">
        <v>9649</v>
      </c>
      <c r="EI497" t="s">
        <v>638</v>
      </c>
      <c r="EJ497" t="s">
        <v>9650</v>
      </c>
      <c r="EK497" t="s">
        <v>392</v>
      </c>
      <c r="EL497" t="s">
        <v>392</v>
      </c>
      <c r="EN497">
        <v>0</v>
      </c>
      <c r="EW497" t="s">
        <v>638</v>
      </c>
      <c r="FI497">
        <v>0</v>
      </c>
      <c r="FJ497" t="s">
        <v>1012</v>
      </c>
      <c r="FR497" t="s">
        <v>9627</v>
      </c>
      <c r="FT497" t="s">
        <v>2030</v>
      </c>
      <c r="FV497" t="s">
        <v>9651</v>
      </c>
      <c r="FX497" t="s">
        <v>4210</v>
      </c>
      <c r="FZ497" t="s">
        <v>1018</v>
      </c>
      <c r="GE497">
        <v>0</v>
      </c>
      <c r="HH497" t="s">
        <v>402</v>
      </c>
    </row>
    <row r="498" spans="1:251" x14ac:dyDescent="0.25">
      <c r="A498" t="s">
        <v>9670</v>
      </c>
      <c r="B498" t="str">
        <f>"801542000080"</f>
        <v>801542000080</v>
      </c>
      <c r="C498" t="s">
        <v>9671</v>
      </c>
      <c r="D498" t="s">
        <v>1318</v>
      </c>
      <c r="E498" t="s">
        <v>647</v>
      </c>
      <c r="F498" t="s">
        <v>648</v>
      </c>
      <c r="G498" t="str">
        <f>"94"</f>
        <v>94</v>
      </c>
      <c r="H498" t="str">
        <f>"42"</f>
        <v>42</v>
      </c>
      <c r="I498" t="str">
        <f>"30"</f>
        <v>30</v>
      </c>
      <c r="J498" t="str">
        <f>"185.19"</f>
        <v>185.19</v>
      </c>
      <c r="K498" t="s">
        <v>4075</v>
      </c>
      <c r="N498" t="s">
        <v>1463</v>
      </c>
      <c r="O498" t="s">
        <v>9602</v>
      </c>
      <c r="T498" t="s">
        <v>373</v>
      </c>
      <c r="U498" t="s">
        <v>373</v>
      </c>
      <c r="V498" t="s">
        <v>9672</v>
      </c>
      <c r="W498" t="s">
        <v>9673</v>
      </c>
      <c r="X498" t="s">
        <v>9674</v>
      </c>
      <c r="Y498" t="s">
        <v>9675</v>
      </c>
      <c r="Z498" t="s">
        <v>9676</v>
      </c>
      <c r="AA498" t="s">
        <v>9677</v>
      </c>
      <c r="AB498" t="s">
        <v>9678</v>
      </c>
      <c r="AC498" t="s">
        <v>9679</v>
      </c>
      <c r="AD498" t="s">
        <v>9680</v>
      </c>
      <c r="AE498" t="s">
        <v>9681</v>
      </c>
      <c r="AF498" t="s">
        <v>9682</v>
      </c>
      <c r="AG498" t="s">
        <v>9683</v>
      </c>
      <c r="AH498" t="s">
        <v>9684</v>
      </c>
      <c r="AI498" t="s">
        <v>9685</v>
      </c>
      <c r="BA498" t="str">
        <f>"3399"</f>
        <v>3399</v>
      </c>
      <c r="BB498" t="str">
        <f>"1430"</f>
        <v>1430</v>
      </c>
      <c r="BC498" t="s">
        <v>665</v>
      </c>
      <c r="BD498" t="str">
        <f>"2"</f>
        <v>2</v>
      </c>
      <c r="BE498" t="s">
        <v>1089</v>
      </c>
      <c r="BF498" t="str">
        <f>"98.62"</f>
        <v>98.62</v>
      </c>
      <c r="BG498" t="str">
        <f>"7.09"</f>
        <v>7.09</v>
      </c>
      <c r="BH498" t="str">
        <f>"40.47"</f>
        <v>40.47</v>
      </c>
      <c r="BI498" t="str">
        <f>"123.46"</f>
        <v>123.46</v>
      </c>
      <c r="BJ498" t="s">
        <v>6351</v>
      </c>
      <c r="BK498" t="str">
        <f>"99.61"</f>
        <v>99.61</v>
      </c>
      <c r="BL498" t="str">
        <f>"12.6"</f>
        <v>12.6</v>
      </c>
      <c r="BM498" t="str">
        <f>"36.42"</f>
        <v>36.42</v>
      </c>
      <c r="BN498" t="str">
        <f>"141.1"</f>
        <v>141.1</v>
      </c>
      <c r="BY498" t="str">
        <f>"42.84"</f>
        <v>42.84</v>
      </c>
      <c r="BZ498" t="str">
        <f>"1.213"</f>
        <v>1.213</v>
      </c>
      <c r="CA498" t="s">
        <v>495</v>
      </c>
      <c r="CR498" t="s">
        <v>400</v>
      </c>
      <c r="CS498">
        <v>0</v>
      </c>
      <c r="CT498" t="s">
        <v>400</v>
      </c>
      <c r="CV498">
        <v>0</v>
      </c>
      <c r="CX498" t="s">
        <v>953</v>
      </c>
      <c r="CY498" t="s">
        <v>400</v>
      </c>
      <c r="DA498">
        <v>0</v>
      </c>
      <c r="DB498">
        <v>0</v>
      </c>
      <c r="DC498">
        <v>0</v>
      </c>
      <c r="DI498">
        <v>10</v>
      </c>
      <c r="DJ498" t="s">
        <v>408</v>
      </c>
      <c r="DK498" t="s">
        <v>9625</v>
      </c>
      <c r="DM498" t="s">
        <v>669</v>
      </c>
      <c r="DX498" t="s">
        <v>1342</v>
      </c>
      <c r="DY498" t="s">
        <v>9686</v>
      </c>
      <c r="DZ498" t="s">
        <v>9687</v>
      </c>
      <c r="EI498" t="s">
        <v>5881</v>
      </c>
      <c r="EJ498" t="s">
        <v>1853</v>
      </c>
      <c r="EK498" t="s">
        <v>9688</v>
      </c>
      <c r="EL498" t="s">
        <v>6765</v>
      </c>
      <c r="EM498" t="s">
        <v>402</v>
      </c>
      <c r="EN498">
        <v>0</v>
      </c>
      <c r="EO498">
        <v>0</v>
      </c>
      <c r="EW498" t="s">
        <v>1342</v>
      </c>
      <c r="EY498" t="s">
        <v>5485</v>
      </c>
    </row>
    <row r="499" spans="1:251" x14ac:dyDescent="0.25">
      <c r="A499" t="s">
        <v>9689</v>
      </c>
      <c r="B499" t="str">
        <f>"801542066871"</f>
        <v>801542066871</v>
      </c>
      <c r="C499" t="s">
        <v>9690</v>
      </c>
      <c r="D499" t="s">
        <v>5390</v>
      </c>
      <c r="E499" t="s">
        <v>515</v>
      </c>
      <c r="F499" t="s">
        <v>516</v>
      </c>
      <c r="G499" t="str">
        <f>"28"</f>
        <v>28</v>
      </c>
      <c r="H499" t="str">
        <f>"32.75"</f>
        <v>32.75</v>
      </c>
      <c r="I499" t="str">
        <f>"30"</f>
        <v>30</v>
      </c>
      <c r="J499" t="str">
        <f>"70.11"</f>
        <v>70.11</v>
      </c>
      <c r="K499" t="s">
        <v>9691</v>
      </c>
      <c r="L499" t="s">
        <v>9692</v>
      </c>
      <c r="N499" t="s">
        <v>9693</v>
      </c>
      <c r="O499" t="s">
        <v>9694</v>
      </c>
      <c r="P499" t="s">
        <v>1171</v>
      </c>
      <c r="Q499" t="s">
        <v>775</v>
      </c>
      <c r="T499" t="s">
        <v>373</v>
      </c>
      <c r="U499" t="s">
        <v>402</v>
      </c>
      <c r="V499" t="s">
        <v>9695</v>
      </c>
      <c r="W499" t="s">
        <v>9696</v>
      </c>
      <c r="X499" t="s">
        <v>9697</v>
      </c>
      <c r="Y499" t="s">
        <v>9698</v>
      </c>
      <c r="Z499" t="s">
        <v>9699</v>
      </c>
      <c r="AA499" t="s">
        <v>9700</v>
      </c>
      <c r="AB499" t="s">
        <v>9701</v>
      </c>
      <c r="AC499" t="s">
        <v>9702</v>
      </c>
      <c r="AD499" t="s">
        <v>9703</v>
      </c>
      <c r="AE499" t="s">
        <v>9704</v>
      </c>
      <c r="AF499" t="s">
        <v>9705</v>
      </c>
      <c r="AG499" t="s">
        <v>9706</v>
      </c>
      <c r="BA499" t="str">
        <f>"1249"</f>
        <v>1249</v>
      </c>
      <c r="BB499" t="str">
        <f>"525"</f>
        <v>525</v>
      </c>
      <c r="BC499" t="s">
        <v>388</v>
      </c>
      <c r="BD499" t="str">
        <f>"1"</f>
        <v>1</v>
      </c>
      <c r="BE499" t="s">
        <v>9707</v>
      </c>
      <c r="BF499" t="str">
        <f>"28.35"</f>
        <v>28.35</v>
      </c>
      <c r="BG499" t="str">
        <f>"32.68"</f>
        <v>32.68</v>
      </c>
      <c r="BH499" t="str">
        <f>"31.89"</f>
        <v>31.89</v>
      </c>
      <c r="BI499" t="str">
        <f>"86.42"</f>
        <v>86.42</v>
      </c>
      <c r="BY499" t="str">
        <f>"17.09"</f>
        <v>17.09</v>
      </c>
      <c r="BZ499" t="str">
        <f>"0.484"</f>
        <v>0.484</v>
      </c>
      <c r="CA499" t="s">
        <v>390</v>
      </c>
      <c r="CK499" t="s">
        <v>601</v>
      </c>
      <c r="CL499" t="s">
        <v>511</v>
      </c>
      <c r="CM499" t="s">
        <v>1092</v>
      </c>
      <c r="CN499">
        <v>0</v>
      </c>
      <c r="CO499">
        <v>0</v>
      </c>
      <c r="CP499" t="s">
        <v>437</v>
      </c>
      <c r="CQ499" t="s">
        <v>399</v>
      </c>
      <c r="CX499" t="s">
        <v>403</v>
      </c>
      <c r="CY499" t="s">
        <v>1753</v>
      </c>
      <c r="CZ499">
        <v>0</v>
      </c>
      <c r="DD499">
        <v>15000</v>
      </c>
      <c r="DE499" t="s">
        <v>439</v>
      </c>
      <c r="DH499">
        <v>0</v>
      </c>
      <c r="DI499">
        <v>1</v>
      </c>
      <c r="DK499" t="s">
        <v>9708</v>
      </c>
      <c r="DL499">
        <v>0</v>
      </c>
      <c r="DM499" t="s">
        <v>538</v>
      </c>
      <c r="DN499" t="s">
        <v>603</v>
      </c>
      <c r="DO499" t="s">
        <v>2599</v>
      </c>
      <c r="DP499" t="s">
        <v>2240</v>
      </c>
      <c r="DT499" t="s">
        <v>8925</v>
      </c>
      <c r="DX499" t="s">
        <v>637</v>
      </c>
      <c r="EA499" t="s">
        <v>613</v>
      </c>
      <c r="EG499" t="s">
        <v>9709</v>
      </c>
      <c r="ER499">
        <v>0</v>
      </c>
      <c r="ES499">
        <v>0</v>
      </c>
      <c r="ET499" t="s">
        <v>643</v>
      </c>
      <c r="EU499">
        <v>0</v>
      </c>
      <c r="HM499" t="s">
        <v>1754</v>
      </c>
    </row>
    <row r="500" spans="1:251" x14ac:dyDescent="0.25">
      <c r="A500" t="s">
        <v>9710</v>
      </c>
      <c r="B500" t="str">
        <f>"801542161972"</f>
        <v>801542161972</v>
      </c>
      <c r="C500" t="s">
        <v>9711</v>
      </c>
      <c r="D500" t="s">
        <v>1420</v>
      </c>
      <c r="E500" t="s">
        <v>2006</v>
      </c>
      <c r="F500" t="s">
        <v>2040</v>
      </c>
      <c r="G500" t="str">
        <f>"79"</f>
        <v>79</v>
      </c>
      <c r="H500" t="str">
        <f>"84.5"</f>
        <v>84.5</v>
      </c>
      <c r="I500" t="str">
        <f>"42"</f>
        <v>42</v>
      </c>
      <c r="J500" t="str">
        <f>"203.93"</f>
        <v>203.93</v>
      </c>
      <c r="K500" t="s">
        <v>9712</v>
      </c>
      <c r="L500" t="s">
        <v>8065</v>
      </c>
      <c r="N500" t="s">
        <v>372</v>
      </c>
      <c r="O500" t="s">
        <v>1970</v>
      </c>
      <c r="T500" t="s">
        <v>373</v>
      </c>
      <c r="U500" t="s">
        <v>373</v>
      </c>
      <c r="V500" t="s">
        <v>9713</v>
      </c>
      <c r="W500" t="s">
        <v>9714</v>
      </c>
      <c r="X500" t="s">
        <v>9715</v>
      </c>
      <c r="Y500" t="s">
        <v>9716</v>
      </c>
      <c r="Z500" t="s">
        <v>9717</v>
      </c>
      <c r="AA500" t="s">
        <v>9718</v>
      </c>
      <c r="AB500" t="s">
        <v>9719</v>
      </c>
      <c r="AC500" t="s">
        <v>9720</v>
      </c>
      <c r="AD500" t="s">
        <v>9721</v>
      </c>
      <c r="AE500" t="s">
        <v>9722</v>
      </c>
      <c r="AF500" t="s">
        <v>9723</v>
      </c>
      <c r="AG500" t="s">
        <v>9724</v>
      </c>
      <c r="AH500" t="s">
        <v>9725</v>
      </c>
      <c r="BA500" t="str">
        <f>"1999"</f>
        <v>1999</v>
      </c>
      <c r="BB500" t="str">
        <f>"840"</f>
        <v>840</v>
      </c>
      <c r="BC500" t="s">
        <v>665</v>
      </c>
      <c r="BD500" t="str">
        <f t="shared" ref="BD500:BD507" si="104">"3"</f>
        <v>3</v>
      </c>
      <c r="BE500" t="s">
        <v>2163</v>
      </c>
      <c r="BF500" t="str">
        <f>"83.46"</f>
        <v>83.46</v>
      </c>
      <c r="BG500" t="str">
        <f>"46.73"</f>
        <v>46.73</v>
      </c>
      <c r="BH500" t="str">
        <f>"6.1"</f>
        <v>6.1</v>
      </c>
      <c r="BI500" t="str">
        <f>"90.39"</f>
        <v>90.39</v>
      </c>
      <c r="BJ500" t="s">
        <v>3245</v>
      </c>
      <c r="BK500" t="str">
        <f>"83.46"</f>
        <v>83.46</v>
      </c>
      <c r="BL500" t="str">
        <f>"24.41"</f>
        <v>24.41</v>
      </c>
      <c r="BM500" t="str">
        <f>"7.28"</f>
        <v>7.28</v>
      </c>
      <c r="BN500" t="str">
        <f>"111.33"</f>
        <v>111.33</v>
      </c>
      <c r="BO500" t="s">
        <v>2901</v>
      </c>
      <c r="BP500" t="str">
        <f>"84.06"</f>
        <v>84.06</v>
      </c>
      <c r="BQ500" t="str">
        <f>"10.83"</f>
        <v>10.83</v>
      </c>
      <c r="BR500" t="str">
        <f>"10.83"</f>
        <v>10.83</v>
      </c>
      <c r="BS500" t="str">
        <f>"49.6"</f>
        <v>49.6</v>
      </c>
      <c r="BY500" t="str">
        <f>"28.08"</f>
        <v>28.08</v>
      </c>
      <c r="BZ500" t="str">
        <f>"0.795"</f>
        <v>0.795</v>
      </c>
      <c r="CA500" t="s">
        <v>495</v>
      </c>
      <c r="CR500" t="s">
        <v>400</v>
      </c>
      <c r="CS500">
        <v>0</v>
      </c>
      <c r="CT500" t="s">
        <v>400</v>
      </c>
      <c r="CV500">
        <v>0</v>
      </c>
      <c r="CX500" t="s">
        <v>1980</v>
      </c>
      <c r="CY500" t="s">
        <v>400</v>
      </c>
      <c r="DA500">
        <v>0</v>
      </c>
      <c r="DB500">
        <v>0</v>
      </c>
      <c r="DC500">
        <v>0</v>
      </c>
      <c r="DK500" t="s">
        <v>8082</v>
      </c>
      <c r="DM500" t="s">
        <v>2028</v>
      </c>
      <c r="EN500">
        <v>0</v>
      </c>
      <c r="HN500" t="s">
        <v>3079</v>
      </c>
      <c r="HO500" t="s">
        <v>3079</v>
      </c>
      <c r="HP500" t="s">
        <v>3079</v>
      </c>
      <c r="HQ500" t="s">
        <v>602</v>
      </c>
      <c r="HR500" t="s">
        <v>392</v>
      </c>
      <c r="HS500" t="s">
        <v>9726</v>
      </c>
      <c r="HT500" t="s">
        <v>9727</v>
      </c>
      <c r="HU500" t="s">
        <v>392</v>
      </c>
      <c r="HV500" t="s">
        <v>9726</v>
      </c>
      <c r="HW500" t="s">
        <v>2171</v>
      </c>
      <c r="HX500" t="s">
        <v>392</v>
      </c>
      <c r="HY500" t="s">
        <v>3255</v>
      </c>
      <c r="HZ500" t="s">
        <v>2174</v>
      </c>
      <c r="IA500" t="s">
        <v>2171</v>
      </c>
      <c r="IB500" t="s">
        <v>3518</v>
      </c>
      <c r="IC500" t="s">
        <v>402</v>
      </c>
      <c r="ID500" t="s">
        <v>3519</v>
      </c>
      <c r="IE500" t="s">
        <v>1008</v>
      </c>
      <c r="IF500" t="s">
        <v>2177</v>
      </c>
      <c r="IG500" t="s">
        <v>2040</v>
      </c>
      <c r="IM500" t="s">
        <v>395</v>
      </c>
      <c r="IN500" t="s">
        <v>676</v>
      </c>
      <c r="IO500" t="s">
        <v>395</v>
      </c>
      <c r="IP500" t="s">
        <v>402</v>
      </c>
      <c r="IQ500" t="s">
        <v>3522</v>
      </c>
    </row>
    <row r="501" spans="1:251" x14ac:dyDescent="0.25">
      <c r="A501" t="s">
        <v>9728</v>
      </c>
      <c r="B501" t="str">
        <f>"801542159047"</f>
        <v>801542159047</v>
      </c>
      <c r="C501" t="s">
        <v>9711</v>
      </c>
      <c r="D501" t="s">
        <v>1420</v>
      </c>
      <c r="E501" t="s">
        <v>2006</v>
      </c>
      <c r="F501" t="s">
        <v>2007</v>
      </c>
      <c r="G501" t="str">
        <f>"63"</f>
        <v>63</v>
      </c>
      <c r="H501" t="str">
        <f>"84.5"</f>
        <v>84.5</v>
      </c>
      <c r="I501" t="str">
        <f>"42"</f>
        <v>42</v>
      </c>
      <c r="J501" t="str">
        <f>"191.8"</f>
        <v>191.8</v>
      </c>
      <c r="K501" t="s">
        <v>9712</v>
      </c>
      <c r="L501" t="s">
        <v>8065</v>
      </c>
      <c r="N501" t="s">
        <v>372</v>
      </c>
      <c r="O501" t="s">
        <v>1970</v>
      </c>
      <c r="T501" t="s">
        <v>373</v>
      </c>
      <c r="U501" t="s">
        <v>373</v>
      </c>
      <c r="V501" t="s">
        <v>9713</v>
      </c>
      <c r="W501" t="s">
        <v>9729</v>
      </c>
      <c r="X501" t="s">
        <v>9730</v>
      </c>
      <c r="Y501" t="s">
        <v>9731</v>
      </c>
      <c r="Z501" t="s">
        <v>9732</v>
      </c>
      <c r="AA501" t="s">
        <v>9733</v>
      </c>
      <c r="AB501" t="s">
        <v>9734</v>
      </c>
      <c r="AC501" t="s">
        <v>9735</v>
      </c>
      <c r="AD501" t="s">
        <v>9736</v>
      </c>
      <c r="AE501" t="s">
        <v>9737</v>
      </c>
      <c r="AF501" t="s">
        <v>9738</v>
      </c>
      <c r="AG501" t="s">
        <v>9739</v>
      </c>
      <c r="AH501" t="s">
        <v>9740</v>
      </c>
      <c r="BA501" t="str">
        <f>"1799"</f>
        <v>1799</v>
      </c>
      <c r="BB501" t="str">
        <f>"760"</f>
        <v>760</v>
      </c>
      <c r="BC501" t="s">
        <v>665</v>
      </c>
      <c r="BD501" t="str">
        <f t="shared" si="104"/>
        <v>3</v>
      </c>
      <c r="BE501" t="s">
        <v>2163</v>
      </c>
      <c r="BF501" t="str">
        <f>"67.32"</f>
        <v>67.32</v>
      </c>
      <c r="BG501" t="str">
        <f>"46.73"</f>
        <v>46.73</v>
      </c>
      <c r="BH501" t="str">
        <f>"6.1"</f>
        <v>6.1</v>
      </c>
      <c r="BI501" t="str">
        <f>"80.03"</f>
        <v>80.03</v>
      </c>
      <c r="BJ501" t="s">
        <v>3245</v>
      </c>
      <c r="BK501" t="str">
        <f>"67.32"</f>
        <v>67.32</v>
      </c>
      <c r="BL501" t="str">
        <f>"24.41"</f>
        <v>24.41</v>
      </c>
      <c r="BM501" t="str">
        <f>"7.28"</f>
        <v>7.28</v>
      </c>
      <c r="BN501" t="str">
        <f>"101.41"</f>
        <v>101.41</v>
      </c>
      <c r="BO501" t="s">
        <v>2901</v>
      </c>
      <c r="BP501" t="str">
        <f>"84.06"</f>
        <v>84.06</v>
      </c>
      <c r="BQ501" t="str">
        <f>"10.83"</f>
        <v>10.83</v>
      </c>
      <c r="BR501" t="str">
        <f>"10.83"</f>
        <v>10.83</v>
      </c>
      <c r="BS501" t="str">
        <f>"49.6"</f>
        <v>49.6</v>
      </c>
      <c r="BY501" t="str">
        <f>"23.73"</f>
        <v>23.73</v>
      </c>
      <c r="BZ501" t="str">
        <f>"0.672"</f>
        <v>0.672</v>
      </c>
      <c r="CA501" t="s">
        <v>390</v>
      </c>
      <c r="CR501" t="s">
        <v>400</v>
      </c>
      <c r="CS501">
        <v>0</v>
      </c>
      <c r="CT501" t="s">
        <v>400</v>
      </c>
      <c r="CV501">
        <v>0</v>
      </c>
      <c r="CX501" t="s">
        <v>1980</v>
      </c>
      <c r="CY501" t="s">
        <v>400</v>
      </c>
      <c r="DA501">
        <v>0</v>
      </c>
      <c r="DB501">
        <v>0</v>
      </c>
      <c r="DC501">
        <v>0</v>
      </c>
      <c r="DK501" t="s">
        <v>8082</v>
      </c>
      <c r="DM501" t="s">
        <v>2028</v>
      </c>
      <c r="EN501">
        <v>0</v>
      </c>
      <c r="HN501" t="s">
        <v>3079</v>
      </c>
      <c r="HO501" t="s">
        <v>3079</v>
      </c>
      <c r="HP501" t="s">
        <v>3079</v>
      </c>
      <c r="HQ501" t="s">
        <v>602</v>
      </c>
      <c r="HR501" t="s">
        <v>392</v>
      </c>
      <c r="HS501" t="s">
        <v>393</v>
      </c>
      <c r="HT501" t="s">
        <v>9727</v>
      </c>
      <c r="HU501" t="s">
        <v>392</v>
      </c>
      <c r="HV501" t="s">
        <v>393</v>
      </c>
      <c r="HW501" t="s">
        <v>2171</v>
      </c>
      <c r="HX501" t="s">
        <v>392</v>
      </c>
      <c r="HY501" t="s">
        <v>3273</v>
      </c>
      <c r="HZ501" t="s">
        <v>2174</v>
      </c>
      <c r="IA501" t="s">
        <v>2171</v>
      </c>
      <c r="IB501" t="s">
        <v>3518</v>
      </c>
      <c r="IC501" t="s">
        <v>402</v>
      </c>
      <c r="ID501" t="s">
        <v>3519</v>
      </c>
      <c r="IE501" t="s">
        <v>1008</v>
      </c>
      <c r="IF501" t="s">
        <v>2177</v>
      </c>
      <c r="IG501" t="s">
        <v>2007</v>
      </c>
      <c r="IM501" t="s">
        <v>395</v>
      </c>
      <c r="IN501" t="s">
        <v>676</v>
      </c>
      <c r="IO501" t="s">
        <v>395</v>
      </c>
      <c r="IP501" t="s">
        <v>402</v>
      </c>
      <c r="IQ501" t="s">
        <v>3522</v>
      </c>
    </row>
    <row r="502" spans="1:251" x14ac:dyDescent="0.25">
      <c r="A502" t="s">
        <v>9741</v>
      </c>
      <c r="B502" t="str">
        <f>"801542188436"</f>
        <v>801542188436</v>
      </c>
      <c r="C502" t="s">
        <v>9742</v>
      </c>
      <c r="D502" t="s">
        <v>1318</v>
      </c>
      <c r="E502" t="s">
        <v>2006</v>
      </c>
      <c r="F502" t="s">
        <v>2007</v>
      </c>
      <c r="G502" t="str">
        <f>"67"</f>
        <v>67</v>
      </c>
      <c r="H502" t="str">
        <f t="shared" ref="H502:H507" si="105">"88.5"</f>
        <v>88.5</v>
      </c>
      <c r="I502" t="str">
        <f t="shared" ref="I502:I507" si="106">"50"</f>
        <v>50</v>
      </c>
      <c r="J502" t="str">
        <f>"276.68"</f>
        <v>276.68</v>
      </c>
      <c r="K502" t="s">
        <v>7822</v>
      </c>
      <c r="L502" t="s">
        <v>4075</v>
      </c>
      <c r="N502" t="s">
        <v>372</v>
      </c>
      <c r="O502" t="s">
        <v>1463</v>
      </c>
      <c r="T502" t="s">
        <v>373</v>
      </c>
      <c r="U502" t="s">
        <v>373</v>
      </c>
      <c r="V502" t="s">
        <v>9743</v>
      </c>
      <c r="W502" t="s">
        <v>9744</v>
      </c>
      <c r="X502" t="s">
        <v>9745</v>
      </c>
      <c r="Y502" t="s">
        <v>9746</v>
      </c>
      <c r="Z502" t="s">
        <v>9747</v>
      </c>
      <c r="AA502" t="s">
        <v>9748</v>
      </c>
      <c r="AB502" t="s">
        <v>9749</v>
      </c>
      <c r="AC502" t="s">
        <v>9750</v>
      </c>
      <c r="AD502" t="s">
        <v>9751</v>
      </c>
      <c r="AE502" t="s">
        <v>9752</v>
      </c>
      <c r="AF502" t="s">
        <v>9753</v>
      </c>
      <c r="AG502" t="s">
        <v>9754</v>
      </c>
      <c r="AH502" t="s">
        <v>9755</v>
      </c>
      <c r="AI502" t="s">
        <v>9756</v>
      </c>
      <c r="AJ502" t="s">
        <v>9757</v>
      </c>
      <c r="BA502" t="str">
        <f>"2899"</f>
        <v>2899</v>
      </c>
      <c r="BB502" t="str">
        <f>"1220"</f>
        <v>1220</v>
      </c>
      <c r="BC502" t="s">
        <v>665</v>
      </c>
      <c r="BD502" t="str">
        <f t="shared" si="104"/>
        <v>3</v>
      </c>
      <c r="BE502" t="s">
        <v>2163</v>
      </c>
      <c r="BF502" t="str">
        <f>"71.46"</f>
        <v>71.46</v>
      </c>
      <c r="BG502" t="str">
        <f>"9.45"</f>
        <v>9.45</v>
      </c>
      <c r="BH502" t="str">
        <f>"54.72"</f>
        <v>54.72</v>
      </c>
      <c r="BI502" t="str">
        <f>"145.51"</f>
        <v>145.51</v>
      </c>
      <c r="BJ502" t="s">
        <v>9758</v>
      </c>
      <c r="BK502" t="str">
        <f>"71.46"</f>
        <v>71.46</v>
      </c>
      <c r="BL502" t="str">
        <f t="shared" ref="BL502:BL507" si="107">"17.32"</f>
        <v>17.32</v>
      </c>
      <c r="BM502" t="str">
        <f t="shared" ref="BM502:BM507" si="108">"11.42"</f>
        <v>11.42</v>
      </c>
      <c r="BN502" t="str">
        <f>"85.98"</f>
        <v>85.98</v>
      </c>
      <c r="BO502" t="s">
        <v>9759</v>
      </c>
      <c r="BP502" t="str">
        <f t="shared" ref="BP502:BP507" si="109">"85.24"</f>
        <v>85.24</v>
      </c>
      <c r="BQ502" t="str">
        <f t="shared" ref="BQ502:BQ507" si="110">"17.52"</f>
        <v>17.52</v>
      </c>
      <c r="BR502" t="str">
        <f t="shared" ref="BR502:BR507" si="111">"12.2"</f>
        <v>12.2</v>
      </c>
      <c r="BS502" t="str">
        <f>"98.11"</f>
        <v>98.11</v>
      </c>
      <c r="BY502" t="str">
        <f>"40.12"</f>
        <v>40.12</v>
      </c>
      <c r="BZ502" t="str">
        <f>"1.136"</f>
        <v>1.136</v>
      </c>
      <c r="CA502" t="s">
        <v>495</v>
      </c>
      <c r="CR502" t="s">
        <v>400</v>
      </c>
      <c r="CS502">
        <v>0</v>
      </c>
      <c r="CT502" t="s">
        <v>400</v>
      </c>
      <c r="CV502">
        <v>0</v>
      </c>
      <c r="CX502" t="s">
        <v>1980</v>
      </c>
      <c r="CY502" t="s">
        <v>400</v>
      </c>
      <c r="DA502">
        <v>0</v>
      </c>
      <c r="DB502">
        <v>0</v>
      </c>
      <c r="DC502">
        <v>0</v>
      </c>
      <c r="DK502" t="s">
        <v>9760</v>
      </c>
      <c r="DM502" t="s">
        <v>2028</v>
      </c>
      <c r="EN502">
        <v>0</v>
      </c>
      <c r="HN502" t="s">
        <v>3518</v>
      </c>
      <c r="HP502" t="s">
        <v>3518</v>
      </c>
      <c r="HQ502" t="s">
        <v>546</v>
      </c>
      <c r="HR502" t="s">
        <v>675</v>
      </c>
      <c r="HS502" t="s">
        <v>9383</v>
      </c>
      <c r="HT502" t="s">
        <v>2260</v>
      </c>
      <c r="HU502" t="s">
        <v>446</v>
      </c>
      <c r="HV502" t="s">
        <v>9383</v>
      </c>
      <c r="HW502" t="s">
        <v>2171</v>
      </c>
      <c r="HX502" t="s">
        <v>392</v>
      </c>
      <c r="HY502" t="s">
        <v>3273</v>
      </c>
      <c r="HZ502" t="s">
        <v>546</v>
      </c>
      <c r="IA502" t="s">
        <v>2171</v>
      </c>
      <c r="IB502" t="s">
        <v>675</v>
      </c>
      <c r="IC502" t="s">
        <v>402</v>
      </c>
      <c r="ID502" t="s">
        <v>3519</v>
      </c>
      <c r="IE502" t="s">
        <v>1008</v>
      </c>
      <c r="IF502" t="s">
        <v>2177</v>
      </c>
      <c r="IG502" t="s">
        <v>2007</v>
      </c>
      <c r="IM502" t="s">
        <v>395</v>
      </c>
      <c r="IN502" t="s">
        <v>676</v>
      </c>
      <c r="IP502" t="s">
        <v>402</v>
      </c>
      <c r="IQ502" t="s">
        <v>3522</v>
      </c>
    </row>
    <row r="503" spans="1:251" x14ac:dyDescent="0.25">
      <c r="A503" t="s">
        <v>9761</v>
      </c>
      <c r="B503" t="str">
        <f>"801542188429"</f>
        <v>801542188429</v>
      </c>
      <c r="C503" t="s">
        <v>9742</v>
      </c>
      <c r="D503" t="s">
        <v>1318</v>
      </c>
      <c r="E503" t="s">
        <v>2006</v>
      </c>
      <c r="F503" t="s">
        <v>2040</v>
      </c>
      <c r="G503" t="str">
        <f>"83.25"</f>
        <v>83.25</v>
      </c>
      <c r="H503" t="str">
        <f t="shared" si="105"/>
        <v>88.5</v>
      </c>
      <c r="I503" t="str">
        <f t="shared" si="106"/>
        <v>50</v>
      </c>
      <c r="J503" t="str">
        <f>"310.85"</f>
        <v>310.85</v>
      </c>
      <c r="K503" t="s">
        <v>7822</v>
      </c>
      <c r="L503" t="s">
        <v>4075</v>
      </c>
      <c r="N503" t="s">
        <v>372</v>
      </c>
      <c r="O503" t="s">
        <v>1463</v>
      </c>
      <c r="T503" t="s">
        <v>373</v>
      </c>
      <c r="U503" t="s">
        <v>373</v>
      </c>
      <c r="V503" t="s">
        <v>9743</v>
      </c>
      <c r="W503" t="s">
        <v>9762</v>
      </c>
      <c r="X503" t="s">
        <v>9763</v>
      </c>
      <c r="Y503" t="s">
        <v>9764</v>
      </c>
      <c r="Z503" t="s">
        <v>9765</v>
      </c>
      <c r="AA503" t="s">
        <v>9748</v>
      </c>
      <c r="AB503" t="s">
        <v>9766</v>
      </c>
      <c r="AC503" t="s">
        <v>9767</v>
      </c>
      <c r="AD503" t="s">
        <v>9768</v>
      </c>
      <c r="AE503" t="s">
        <v>9769</v>
      </c>
      <c r="AF503" t="s">
        <v>9770</v>
      </c>
      <c r="AG503" t="s">
        <v>9771</v>
      </c>
      <c r="AH503" t="s">
        <v>9772</v>
      </c>
      <c r="AI503" t="s">
        <v>9773</v>
      </c>
      <c r="AJ503" t="s">
        <v>9774</v>
      </c>
      <c r="BA503" t="str">
        <f>"3399"</f>
        <v>3399</v>
      </c>
      <c r="BB503" t="str">
        <f>"1430"</f>
        <v>1430</v>
      </c>
      <c r="BC503" t="s">
        <v>665</v>
      </c>
      <c r="BD503" t="str">
        <f t="shared" si="104"/>
        <v>3</v>
      </c>
      <c r="BE503" t="s">
        <v>2163</v>
      </c>
      <c r="BF503" t="str">
        <f>"87.6"</f>
        <v>87.6</v>
      </c>
      <c r="BG503" t="str">
        <f>"54.72"</f>
        <v>54.72</v>
      </c>
      <c r="BH503" t="str">
        <f>"9.45"</f>
        <v>9.45</v>
      </c>
      <c r="BI503" t="str">
        <f>"163.14"</f>
        <v>163.14</v>
      </c>
      <c r="BJ503" t="s">
        <v>9758</v>
      </c>
      <c r="BK503" t="str">
        <f>"87.6"</f>
        <v>87.6</v>
      </c>
      <c r="BL503" t="str">
        <f t="shared" si="107"/>
        <v>17.32</v>
      </c>
      <c r="BM503" t="str">
        <f t="shared" si="108"/>
        <v>11.42</v>
      </c>
      <c r="BN503" t="str">
        <f>"100.31"</f>
        <v>100.31</v>
      </c>
      <c r="BO503" t="s">
        <v>9759</v>
      </c>
      <c r="BP503" t="str">
        <f t="shared" si="109"/>
        <v>85.24</v>
      </c>
      <c r="BQ503" t="str">
        <f t="shared" si="110"/>
        <v>17.52</v>
      </c>
      <c r="BR503" t="str">
        <f t="shared" si="111"/>
        <v>12.2</v>
      </c>
      <c r="BS503" t="str">
        <f>"99.21"</f>
        <v>99.21</v>
      </c>
      <c r="BY503" t="str">
        <f>"46.79"</f>
        <v>46.79</v>
      </c>
      <c r="BZ503" t="str">
        <f>"1.325"</f>
        <v>1.325</v>
      </c>
      <c r="CA503" t="s">
        <v>431</v>
      </c>
      <c r="CR503" t="s">
        <v>400</v>
      </c>
      <c r="CS503">
        <v>0</v>
      </c>
      <c r="CT503" t="s">
        <v>400</v>
      </c>
      <c r="CV503">
        <v>0</v>
      </c>
      <c r="CX503" t="s">
        <v>1980</v>
      </c>
      <c r="CY503" t="s">
        <v>400</v>
      </c>
      <c r="DA503">
        <v>0</v>
      </c>
      <c r="DB503">
        <v>0</v>
      </c>
      <c r="DC503">
        <v>0</v>
      </c>
      <c r="DK503" t="s">
        <v>9760</v>
      </c>
      <c r="DM503" t="s">
        <v>2028</v>
      </c>
      <c r="EN503">
        <v>0</v>
      </c>
      <c r="HN503" t="s">
        <v>3518</v>
      </c>
      <c r="HP503" t="s">
        <v>3518</v>
      </c>
      <c r="HQ503" t="s">
        <v>546</v>
      </c>
      <c r="HR503" t="s">
        <v>675</v>
      </c>
      <c r="HS503" t="s">
        <v>9775</v>
      </c>
      <c r="HT503" t="s">
        <v>2260</v>
      </c>
      <c r="HU503" t="s">
        <v>446</v>
      </c>
      <c r="HV503" t="s">
        <v>9775</v>
      </c>
      <c r="HW503" t="s">
        <v>2171</v>
      </c>
      <c r="HX503" t="s">
        <v>392</v>
      </c>
      <c r="HY503" t="s">
        <v>9776</v>
      </c>
      <c r="HZ503" t="s">
        <v>546</v>
      </c>
      <c r="IA503" t="s">
        <v>2171</v>
      </c>
      <c r="IB503" t="s">
        <v>675</v>
      </c>
      <c r="IC503" t="s">
        <v>402</v>
      </c>
      <c r="ID503" t="s">
        <v>3519</v>
      </c>
      <c r="IE503" t="s">
        <v>1008</v>
      </c>
      <c r="IF503" t="s">
        <v>2177</v>
      </c>
      <c r="IG503" t="s">
        <v>2040</v>
      </c>
      <c r="IM503" t="s">
        <v>395</v>
      </c>
      <c r="IN503" t="s">
        <v>676</v>
      </c>
      <c r="IP503" t="s">
        <v>402</v>
      </c>
      <c r="IQ503" t="s">
        <v>3522</v>
      </c>
    </row>
    <row r="504" spans="1:251" x14ac:dyDescent="0.25">
      <c r="A504" t="s">
        <v>9777</v>
      </c>
      <c r="B504" t="str">
        <f>"198394016643"</f>
        <v>198394016643</v>
      </c>
      <c r="C504" t="s">
        <v>9778</v>
      </c>
      <c r="D504" t="s">
        <v>1318</v>
      </c>
      <c r="E504" t="s">
        <v>2006</v>
      </c>
      <c r="F504" t="s">
        <v>2007</v>
      </c>
      <c r="G504" t="str">
        <f>"67"</f>
        <v>67</v>
      </c>
      <c r="H504" t="str">
        <f t="shared" si="105"/>
        <v>88.5</v>
      </c>
      <c r="I504" t="str">
        <f t="shared" si="106"/>
        <v>50</v>
      </c>
      <c r="J504" t="str">
        <f>"276.68"</f>
        <v>276.68</v>
      </c>
      <c r="K504" t="s">
        <v>9779</v>
      </c>
      <c r="L504" t="s">
        <v>4099</v>
      </c>
      <c r="N504" t="s">
        <v>372</v>
      </c>
      <c r="O504" t="s">
        <v>1463</v>
      </c>
      <c r="T504" t="s">
        <v>373</v>
      </c>
      <c r="U504" t="s">
        <v>373</v>
      </c>
      <c r="V504" t="s">
        <v>9743</v>
      </c>
      <c r="W504" t="s">
        <v>9780</v>
      </c>
      <c r="X504" t="s">
        <v>9781</v>
      </c>
      <c r="Y504" t="s">
        <v>9782</v>
      </c>
      <c r="Z504" t="s">
        <v>9783</v>
      </c>
      <c r="AA504" t="s">
        <v>9784</v>
      </c>
      <c r="AB504" t="s">
        <v>9785</v>
      </c>
      <c r="AC504" t="s">
        <v>9786</v>
      </c>
      <c r="AD504" t="s">
        <v>9787</v>
      </c>
      <c r="AE504" t="s">
        <v>9788</v>
      </c>
      <c r="AF504" t="s">
        <v>9789</v>
      </c>
      <c r="AG504" t="s">
        <v>9790</v>
      </c>
      <c r="AH504" t="s">
        <v>9791</v>
      </c>
      <c r="BA504" t="str">
        <f>"2899"</f>
        <v>2899</v>
      </c>
      <c r="BB504" t="str">
        <f>"1220"</f>
        <v>1220</v>
      </c>
      <c r="BC504" t="s">
        <v>665</v>
      </c>
      <c r="BD504" t="str">
        <f t="shared" si="104"/>
        <v>3</v>
      </c>
      <c r="BE504" t="s">
        <v>2163</v>
      </c>
      <c r="BF504" t="str">
        <f>"71.46"</f>
        <v>71.46</v>
      </c>
      <c r="BG504" t="str">
        <f>"9.45"</f>
        <v>9.45</v>
      </c>
      <c r="BH504" t="str">
        <f>"54.72"</f>
        <v>54.72</v>
      </c>
      <c r="BI504" t="str">
        <f>"145.51"</f>
        <v>145.51</v>
      </c>
      <c r="BJ504" t="s">
        <v>9758</v>
      </c>
      <c r="BK504" t="str">
        <f>"71.46"</f>
        <v>71.46</v>
      </c>
      <c r="BL504" t="str">
        <f t="shared" si="107"/>
        <v>17.32</v>
      </c>
      <c r="BM504" t="str">
        <f t="shared" si="108"/>
        <v>11.42</v>
      </c>
      <c r="BN504" t="str">
        <f>"85.98"</f>
        <v>85.98</v>
      </c>
      <c r="BO504" t="s">
        <v>9759</v>
      </c>
      <c r="BP504" t="str">
        <f t="shared" si="109"/>
        <v>85.24</v>
      </c>
      <c r="BQ504" t="str">
        <f t="shared" si="110"/>
        <v>17.52</v>
      </c>
      <c r="BR504" t="str">
        <f t="shared" si="111"/>
        <v>12.2</v>
      </c>
      <c r="BS504" t="str">
        <f>"98.11"</f>
        <v>98.11</v>
      </c>
      <c r="BY504" t="str">
        <f>"40.12"</f>
        <v>40.12</v>
      </c>
      <c r="BZ504" t="str">
        <f>"1.136"</f>
        <v>1.136</v>
      </c>
      <c r="CA504" t="s">
        <v>390</v>
      </c>
      <c r="CR504" t="s">
        <v>400</v>
      </c>
      <c r="CS504">
        <v>0</v>
      </c>
      <c r="CT504" t="s">
        <v>400</v>
      </c>
      <c r="CV504">
        <v>0</v>
      </c>
      <c r="CX504" t="s">
        <v>1980</v>
      </c>
      <c r="CY504" t="s">
        <v>400</v>
      </c>
      <c r="DA504">
        <v>0</v>
      </c>
      <c r="DB504">
        <v>0</v>
      </c>
      <c r="DC504">
        <v>0</v>
      </c>
      <c r="DK504" t="s">
        <v>9760</v>
      </c>
      <c r="DM504" t="s">
        <v>2028</v>
      </c>
      <c r="EN504">
        <v>0</v>
      </c>
      <c r="HN504" t="s">
        <v>3518</v>
      </c>
      <c r="HP504" t="s">
        <v>3518</v>
      </c>
      <c r="HQ504" t="s">
        <v>546</v>
      </c>
      <c r="HR504" t="s">
        <v>675</v>
      </c>
      <c r="HS504" t="s">
        <v>9383</v>
      </c>
      <c r="HT504" t="s">
        <v>2260</v>
      </c>
      <c r="HU504" t="s">
        <v>446</v>
      </c>
      <c r="HV504" t="s">
        <v>9383</v>
      </c>
      <c r="HW504" t="s">
        <v>2171</v>
      </c>
      <c r="HX504" t="s">
        <v>392</v>
      </c>
      <c r="HY504" t="s">
        <v>3273</v>
      </c>
      <c r="HZ504" t="s">
        <v>546</v>
      </c>
      <c r="IA504" t="s">
        <v>2171</v>
      </c>
      <c r="IB504" t="s">
        <v>675</v>
      </c>
      <c r="IC504" t="s">
        <v>402</v>
      </c>
      <c r="ID504" t="s">
        <v>3519</v>
      </c>
      <c r="IE504" t="s">
        <v>1008</v>
      </c>
      <c r="IF504" t="s">
        <v>2177</v>
      </c>
      <c r="IG504" t="s">
        <v>2007</v>
      </c>
      <c r="IM504" t="s">
        <v>395</v>
      </c>
      <c r="IN504" t="s">
        <v>676</v>
      </c>
      <c r="IP504" t="s">
        <v>402</v>
      </c>
      <c r="IQ504" t="s">
        <v>3522</v>
      </c>
    </row>
    <row r="505" spans="1:251" x14ac:dyDescent="0.25">
      <c r="A505" t="s">
        <v>9792</v>
      </c>
      <c r="B505" t="str">
        <f>"198394016650"</f>
        <v>198394016650</v>
      </c>
      <c r="C505" t="s">
        <v>9778</v>
      </c>
      <c r="D505" t="s">
        <v>1318</v>
      </c>
      <c r="E505" t="s">
        <v>2006</v>
      </c>
      <c r="F505" t="s">
        <v>2040</v>
      </c>
      <c r="G505" t="str">
        <f>"83.25"</f>
        <v>83.25</v>
      </c>
      <c r="H505" t="str">
        <f t="shared" si="105"/>
        <v>88.5</v>
      </c>
      <c r="I505" t="str">
        <f t="shared" si="106"/>
        <v>50</v>
      </c>
      <c r="J505" t="str">
        <f>"310.85"</f>
        <v>310.85</v>
      </c>
      <c r="K505" t="s">
        <v>9779</v>
      </c>
      <c r="L505" t="s">
        <v>4099</v>
      </c>
      <c r="N505" t="s">
        <v>372</v>
      </c>
      <c r="O505" t="s">
        <v>1463</v>
      </c>
      <c r="T505" t="s">
        <v>373</v>
      </c>
      <c r="U505" t="s">
        <v>373</v>
      </c>
      <c r="V505" t="s">
        <v>9743</v>
      </c>
      <c r="W505" t="s">
        <v>9793</v>
      </c>
      <c r="X505" t="s">
        <v>9794</v>
      </c>
      <c r="Y505" t="s">
        <v>9795</v>
      </c>
      <c r="Z505" t="s">
        <v>9796</v>
      </c>
      <c r="AA505" t="s">
        <v>9797</v>
      </c>
      <c r="AB505" t="s">
        <v>9798</v>
      </c>
      <c r="AC505" t="s">
        <v>9799</v>
      </c>
      <c r="AD505" t="s">
        <v>9800</v>
      </c>
      <c r="AE505" t="s">
        <v>9801</v>
      </c>
      <c r="AF505" t="s">
        <v>9802</v>
      </c>
      <c r="AG505" t="s">
        <v>9803</v>
      </c>
      <c r="AH505" t="s">
        <v>9804</v>
      </c>
      <c r="BA505" t="str">
        <f>"3399"</f>
        <v>3399</v>
      </c>
      <c r="BB505" t="str">
        <f>"1430"</f>
        <v>1430</v>
      </c>
      <c r="BC505" t="s">
        <v>665</v>
      </c>
      <c r="BD505" t="str">
        <f t="shared" si="104"/>
        <v>3</v>
      </c>
      <c r="BE505" t="s">
        <v>2163</v>
      </c>
      <c r="BF505" t="str">
        <f>"87.6"</f>
        <v>87.6</v>
      </c>
      <c r="BG505" t="str">
        <f>"54.72"</f>
        <v>54.72</v>
      </c>
      <c r="BH505" t="str">
        <f>"9.45"</f>
        <v>9.45</v>
      </c>
      <c r="BI505" t="str">
        <f>"163.14"</f>
        <v>163.14</v>
      </c>
      <c r="BJ505" t="s">
        <v>9758</v>
      </c>
      <c r="BK505" t="str">
        <f>"87.6"</f>
        <v>87.6</v>
      </c>
      <c r="BL505" t="str">
        <f t="shared" si="107"/>
        <v>17.32</v>
      </c>
      <c r="BM505" t="str">
        <f t="shared" si="108"/>
        <v>11.42</v>
      </c>
      <c r="BN505" t="str">
        <f>"100.31"</f>
        <v>100.31</v>
      </c>
      <c r="BO505" t="s">
        <v>9759</v>
      </c>
      <c r="BP505" t="str">
        <f t="shared" si="109"/>
        <v>85.24</v>
      </c>
      <c r="BQ505" t="str">
        <f t="shared" si="110"/>
        <v>17.52</v>
      </c>
      <c r="BR505" t="str">
        <f t="shared" si="111"/>
        <v>12.2</v>
      </c>
      <c r="BS505" t="str">
        <f>"99.21"</f>
        <v>99.21</v>
      </c>
      <c r="BY505" t="str">
        <f>"46.79"</f>
        <v>46.79</v>
      </c>
      <c r="BZ505" t="str">
        <f>"1.325"</f>
        <v>1.325</v>
      </c>
      <c r="CA505" t="s">
        <v>431</v>
      </c>
      <c r="CR505" t="s">
        <v>400</v>
      </c>
      <c r="CS505">
        <v>0</v>
      </c>
      <c r="CT505" t="s">
        <v>400</v>
      </c>
      <c r="CV505">
        <v>0</v>
      </c>
      <c r="CX505" t="s">
        <v>1980</v>
      </c>
      <c r="CY505" t="s">
        <v>400</v>
      </c>
      <c r="DA505">
        <v>0</v>
      </c>
      <c r="DB505">
        <v>0</v>
      </c>
      <c r="DC505">
        <v>0</v>
      </c>
      <c r="DK505" t="s">
        <v>9760</v>
      </c>
      <c r="DM505" t="s">
        <v>2028</v>
      </c>
      <c r="EN505">
        <v>0</v>
      </c>
      <c r="HN505" t="s">
        <v>3518</v>
      </c>
      <c r="HP505" t="s">
        <v>3518</v>
      </c>
      <c r="HQ505" t="s">
        <v>546</v>
      </c>
      <c r="HR505" t="s">
        <v>675</v>
      </c>
      <c r="HS505" t="s">
        <v>9775</v>
      </c>
      <c r="HT505" t="s">
        <v>2260</v>
      </c>
      <c r="HU505" t="s">
        <v>446</v>
      </c>
      <c r="HV505" t="s">
        <v>9775</v>
      </c>
      <c r="HW505" t="s">
        <v>2171</v>
      </c>
      <c r="HX505" t="s">
        <v>392</v>
      </c>
      <c r="HY505" t="s">
        <v>9776</v>
      </c>
      <c r="HZ505" t="s">
        <v>546</v>
      </c>
      <c r="IA505" t="s">
        <v>2171</v>
      </c>
      <c r="IB505" t="s">
        <v>675</v>
      </c>
      <c r="IC505" t="s">
        <v>402</v>
      </c>
      <c r="ID505" t="s">
        <v>3519</v>
      </c>
      <c r="IE505" t="s">
        <v>1008</v>
      </c>
      <c r="IF505" t="s">
        <v>2177</v>
      </c>
      <c r="IG505" t="s">
        <v>2040</v>
      </c>
      <c r="IM505" t="s">
        <v>395</v>
      </c>
      <c r="IN505" t="s">
        <v>676</v>
      </c>
      <c r="IP505" t="s">
        <v>402</v>
      </c>
      <c r="IQ505" t="s">
        <v>3522</v>
      </c>
    </row>
    <row r="506" spans="1:251" x14ac:dyDescent="0.25">
      <c r="A506" t="s">
        <v>9805</v>
      </c>
      <c r="B506" t="str">
        <f>"198394091169"</f>
        <v>198394091169</v>
      </c>
      <c r="C506" t="s">
        <v>9806</v>
      </c>
      <c r="D506" t="s">
        <v>1318</v>
      </c>
      <c r="E506" t="s">
        <v>2006</v>
      </c>
      <c r="F506" t="s">
        <v>2007</v>
      </c>
      <c r="G506" t="str">
        <f>"67"</f>
        <v>67</v>
      </c>
      <c r="H506" t="str">
        <f t="shared" si="105"/>
        <v>88.5</v>
      </c>
      <c r="I506" t="str">
        <f t="shared" si="106"/>
        <v>50</v>
      </c>
      <c r="J506" t="str">
        <f>"276.68"</f>
        <v>276.68</v>
      </c>
      <c r="K506" t="s">
        <v>9807</v>
      </c>
      <c r="L506" t="s">
        <v>9808</v>
      </c>
      <c r="N506" t="s">
        <v>372</v>
      </c>
      <c r="O506" t="s">
        <v>1463</v>
      </c>
      <c r="T506" t="s">
        <v>373</v>
      </c>
      <c r="U506" t="s">
        <v>373</v>
      </c>
      <c r="V506" t="s">
        <v>9809</v>
      </c>
      <c r="W506" t="s">
        <v>9810</v>
      </c>
      <c r="X506" t="s">
        <v>9811</v>
      </c>
      <c r="Y506" t="s">
        <v>9812</v>
      </c>
      <c r="Z506" t="s">
        <v>9813</v>
      </c>
      <c r="AA506" t="s">
        <v>9814</v>
      </c>
      <c r="AB506" t="s">
        <v>9815</v>
      </c>
      <c r="AC506" t="s">
        <v>9816</v>
      </c>
      <c r="AD506" t="s">
        <v>9817</v>
      </c>
      <c r="AE506" t="s">
        <v>9818</v>
      </c>
      <c r="AF506" t="s">
        <v>9819</v>
      </c>
      <c r="AG506" t="s">
        <v>9820</v>
      </c>
      <c r="AH506" t="s">
        <v>9821</v>
      </c>
      <c r="BA506" t="str">
        <f>"2899"</f>
        <v>2899</v>
      </c>
      <c r="BB506" t="str">
        <f>"1220"</f>
        <v>1220</v>
      </c>
      <c r="BC506" t="s">
        <v>665</v>
      </c>
      <c r="BD506" t="str">
        <f t="shared" si="104"/>
        <v>3</v>
      </c>
      <c r="BE506" t="s">
        <v>2163</v>
      </c>
      <c r="BF506" t="str">
        <f>"71.46"</f>
        <v>71.46</v>
      </c>
      <c r="BG506" t="str">
        <f>"9.45"</f>
        <v>9.45</v>
      </c>
      <c r="BH506" t="str">
        <f>"54.72"</f>
        <v>54.72</v>
      </c>
      <c r="BI506" t="str">
        <f>"145.51"</f>
        <v>145.51</v>
      </c>
      <c r="BJ506" t="s">
        <v>3245</v>
      </c>
      <c r="BK506" t="str">
        <f>"71.46"</f>
        <v>71.46</v>
      </c>
      <c r="BL506" t="str">
        <f t="shared" si="107"/>
        <v>17.32</v>
      </c>
      <c r="BM506" t="str">
        <f t="shared" si="108"/>
        <v>11.42</v>
      </c>
      <c r="BN506" t="str">
        <f>"85.98"</f>
        <v>85.98</v>
      </c>
      <c r="BO506" t="s">
        <v>9822</v>
      </c>
      <c r="BP506" t="str">
        <f t="shared" si="109"/>
        <v>85.24</v>
      </c>
      <c r="BQ506" t="str">
        <f t="shared" si="110"/>
        <v>17.52</v>
      </c>
      <c r="BR506" t="str">
        <f t="shared" si="111"/>
        <v>12.2</v>
      </c>
      <c r="BS506" t="str">
        <f>"98.11"</f>
        <v>98.11</v>
      </c>
      <c r="BY506" t="str">
        <f>"40.12"</f>
        <v>40.12</v>
      </c>
      <c r="BZ506" t="str">
        <f>"1.136"</f>
        <v>1.136</v>
      </c>
      <c r="CA506" t="s">
        <v>431</v>
      </c>
      <c r="CR506" t="s">
        <v>400</v>
      </c>
      <c r="CS506">
        <v>0</v>
      </c>
      <c r="CT506" t="s">
        <v>400</v>
      </c>
      <c r="CV506">
        <v>0</v>
      </c>
      <c r="CX506" t="s">
        <v>1980</v>
      </c>
      <c r="CY506" t="s">
        <v>400</v>
      </c>
      <c r="DA506">
        <v>0</v>
      </c>
      <c r="DB506">
        <v>0</v>
      </c>
      <c r="DC506">
        <v>0</v>
      </c>
      <c r="DK506" t="s">
        <v>9760</v>
      </c>
      <c r="DM506" t="s">
        <v>2028</v>
      </c>
      <c r="EN506">
        <v>0</v>
      </c>
      <c r="HN506" t="s">
        <v>3518</v>
      </c>
      <c r="HP506" t="s">
        <v>3518</v>
      </c>
      <c r="HQ506" t="s">
        <v>546</v>
      </c>
      <c r="HR506" t="s">
        <v>675</v>
      </c>
      <c r="HS506" t="s">
        <v>9383</v>
      </c>
      <c r="HT506" t="s">
        <v>2260</v>
      </c>
      <c r="HU506" t="s">
        <v>446</v>
      </c>
      <c r="HV506" t="s">
        <v>9383</v>
      </c>
      <c r="HW506" t="s">
        <v>2171</v>
      </c>
      <c r="HX506" t="s">
        <v>392</v>
      </c>
      <c r="HY506" t="s">
        <v>3273</v>
      </c>
      <c r="HZ506" t="s">
        <v>546</v>
      </c>
      <c r="IA506" t="s">
        <v>2171</v>
      </c>
      <c r="IB506" t="s">
        <v>675</v>
      </c>
      <c r="IC506" t="s">
        <v>402</v>
      </c>
      <c r="ID506" t="s">
        <v>3519</v>
      </c>
      <c r="IE506" t="s">
        <v>1008</v>
      </c>
      <c r="IF506" t="s">
        <v>2177</v>
      </c>
      <c r="IG506" t="s">
        <v>2007</v>
      </c>
      <c r="IM506" t="s">
        <v>395</v>
      </c>
      <c r="IN506" t="s">
        <v>676</v>
      </c>
      <c r="IP506" t="s">
        <v>402</v>
      </c>
      <c r="IQ506" t="s">
        <v>3522</v>
      </c>
    </row>
    <row r="507" spans="1:251" x14ac:dyDescent="0.25">
      <c r="A507" t="s">
        <v>9823</v>
      </c>
      <c r="B507" t="str">
        <f>"198394091152"</f>
        <v>198394091152</v>
      </c>
      <c r="C507" t="s">
        <v>9806</v>
      </c>
      <c r="D507" t="s">
        <v>1318</v>
      </c>
      <c r="E507" t="s">
        <v>2006</v>
      </c>
      <c r="F507" t="s">
        <v>2040</v>
      </c>
      <c r="G507" t="str">
        <f>"83.25"</f>
        <v>83.25</v>
      </c>
      <c r="H507" t="str">
        <f t="shared" si="105"/>
        <v>88.5</v>
      </c>
      <c r="I507" t="str">
        <f t="shared" si="106"/>
        <v>50</v>
      </c>
      <c r="J507" t="str">
        <f>"310.85"</f>
        <v>310.85</v>
      </c>
      <c r="K507" t="s">
        <v>9807</v>
      </c>
      <c r="L507" t="s">
        <v>9808</v>
      </c>
      <c r="N507" t="s">
        <v>372</v>
      </c>
      <c r="O507" t="s">
        <v>1463</v>
      </c>
      <c r="T507" t="s">
        <v>373</v>
      </c>
      <c r="U507" t="s">
        <v>373</v>
      </c>
      <c r="W507" t="s">
        <v>9824</v>
      </c>
      <c r="X507" t="s">
        <v>9825</v>
      </c>
      <c r="Y507" t="s">
        <v>9826</v>
      </c>
      <c r="Z507" t="s">
        <v>9827</v>
      </c>
      <c r="AA507" t="s">
        <v>9828</v>
      </c>
      <c r="AB507" t="s">
        <v>9829</v>
      </c>
      <c r="AC507" t="s">
        <v>9830</v>
      </c>
      <c r="AD507" t="s">
        <v>9831</v>
      </c>
      <c r="AE507" t="s">
        <v>9832</v>
      </c>
      <c r="AF507" t="s">
        <v>9833</v>
      </c>
      <c r="AG507" t="s">
        <v>9834</v>
      </c>
      <c r="AH507" t="s">
        <v>9835</v>
      </c>
      <c r="BA507" t="str">
        <f>"3399"</f>
        <v>3399</v>
      </c>
      <c r="BB507" t="str">
        <f>"1430"</f>
        <v>1430</v>
      </c>
      <c r="BC507" t="s">
        <v>665</v>
      </c>
      <c r="BD507" t="str">
        <f t="shared" si="104"/>
        <v>3</v>
      </c>
      <c r="BE507" t="s">
        <v>2163</v>
      </c>
      <c r="BF507" t="str">
        <f>"87.6"</f>
        <v>87.6</v>
      </c>
      <c r="BG507" t="str">
        <f>"54.72"</f>
        <v>54.72</v>
      </c>
      <c r="BH507" t="str">
        <f>"9.45"</f>
        <v>9.45</v>
      </c>
      <c r="BI507" t="str">
        <f>"163.14"</f>
        <v>163.14</v>
      </c>
      <c r="BJ507" t="s">
        <v>3245</v>
      </c>
      <c r="BK507" t="str">
        <f>"87.6"</f>
        <v>87.6</v>
      </c>
      <c r="BL507" t="str">
        <f t="shared" si="107"/>
        <v>17.32</v>
      </c>
      <c r="BM507" t="str">
        <f t="shared" si="108"/>
        <v>11.42</v>
      </c>
      <c r="BN507" t="str">
        <f>"100.31"</f>
        <v>100.31</v>
      </c>
      <c r="BO507" t="s">
        <v>9822</v>
      </c>
      <c r="BP507" t="str">
        <f t="shared" si="109"/>
        <v>85.24</v>
      </c>
      <c r="BQ507" t="str">
        <f t="shared" si="110"/>
        <v>17.52</v>
      </c>
      <c r="BR507" t="str">
        <f t="shared" si="111"/>
        <v>12.2</v>
      </c>
      <c r="BS507" t="str">
        <f>"99.21"</f>
        <v>99.21</v>
      </c>
      <c r="BY507" t="str">
        <f>"46.79"</f>
        <v>46.79</v>
      </c>
      <c r="BZ507" t="str">
        <f>"1.325"</f>
        <v>1.325</v>
      </c>
      <c r="CA507" t="s">
        <v>495</v>
      </c>
      <c r="CR507" t="s">
        <v>400</v>
      </c>
      <c r="CS507">
        <v>0</v>
      </c>
      <c r="CT507" t="s">
        <v>400</v>
      </c>
      <c r="CV507">
        <v>0</v>
      </c>
      <c r="CX507" t="s">
        <v>1980</v>
      </c>
      <c r="CY507" t="s">
        <v>400</v>
      </c>
      <c r="DA507">
        <v>0</v>
      </c>
      <c r="DB507">
        <v>0</v>
      </c>
      <c r="DC507">
        <v>0</v>
      </c>
      <c r="DK507" t="s">
        <v>9760</v>
      </c>
      <c r="DM507" t="s">
        <v>2028</v>
      </c>
      <c r="EN507">
        <v>0</v>
      </c>
      <c r="HN507" t="s">
        <v>3518</v>
      </c>
      <c r="HP507" t="s">
        <v>3518</v>
      </c>
      <c r="HQ507" t="s">
        <v>546</v>
      </c>
      <c r="HR507" t="s">
        <v>675</v>
      </c>
      <c r="HS507" t="s">
        <v>9775</v>
      </c>
      <c r="HT507" t="s">
        <v>2260</v>
      </c>
      <c r="HU507" t="s">
        <v>446</v>
      </c>
      <c r="HV507" t="s">
        <v>9775</v>
      </c>
      <c r="HW507" t="s">
        <v>2171</v>
      </c>
      <c r="HX507" t="s">
        <v>392</v>
      </c>
      <c r="HY507" t="s">
        <v>9776</v>
      </c>
      <c r="HZ507" t="s">
        <v>546</v>
      </c>
      <c r="IA507" t="s">
        <v>2171</v>
      </c>
      <c r="IB507" t="s">
        <v>675</v>
      </c>
      <c r="IC507" t="s">
        <v>402</v>
      </c>
      <c r="ID507" t="s">
        <v>3519</v>
      </c>
      <c r="IE507" t="s">
        <v>1008</v>
      </c>
      <c r="IF507" t="s">
        <v>2177</v>
      </c>
      <c r="IG507" t="s">
        <v>2040</v>
      </c>
      <c r="IM507" t="s">
        <v>395</v>
      </c>
      <c r="IN507" t="s">
        <v>676</v>
      </c>
      <c r="IP507" t="s">
        <v>402</v>
      </c>
      <c r="IQ507" t="s">
        <v>3522</v>
      </c>
    </row>
    <row r="508" spans="1:251" x14ac:dyDescent="0.25">
      <c r="A508" t="s">
        <v>9836</v>
      </c>
      <c r="B508" t="str">
        <f>"801542188498"</f>
        <v>801542188498</v>
      </c>
      <c r="C508" t="s">
        <v>9837</v>
      </c>
      <c r="D508" t="s">
        <v>1318</v>
      </c>
      <c r="E508" t="s">
        <v>1043</v>
      </c>
      <c r="G508" t="str">
        <f>"35"</f>
        <v>35</v>
      </c>
      <c r="H508" t="str">
        <f>"18.25"</f>
        <v>18.25</v>
      </c>
      <c r="I508" t="str">
        <f>"22"</f>
        <v>22</v>
      </c>
      <c r="J508" t="str">
        <f>"88.18"</f>
        <v>88.18</v>
      </c>
      <c r="K508" t="s">
        <v>4075</v>
      </c>
      <c r="N508" t="s">
        <v>1463</v>
      </c>
      <c r="O508" t="s">
        <v>372</v>
      </c>
      <c r="T508" t="s">
        <v>373</v>
      </c>
      <c r="U508" t="s">
        <v>373</v>
      </c>
      <c r="V508" t="s">
        <v>9838</v>
      </c>
      <c r="W508" t="s">
        <v>9839</v>
      </c>
      <c r="X508" t="s">
        <v>9840</v>
      </c>
      <c r="Y508" t="s">
        <v>9841</v>
      </c>
      <c r="Z508" t="s">
        <v>9842</v>
      </c>
      <c r="AA508" t="s">
        <v>9843</v>
      </c>
      <c r="AB508" t="s">
        <v>9844</v>
      </c>
      <c r="AC508" t="s">
        <v>9845</v>
      </c>
      <c r="AD508" t="s">
        <v>9846</v>
      </c>
      <c r="AE508" t="s">
        <v>9847</v>
      </c>
      <c r="AF508" t="s">
        <v>9848</v>
      </c>
      <c r="AG508" t="s">
        <v>9849</v>
      </c>
      <c r="AH508" t="s">
        <v>9850</v>
      </c>
      <c r="AI508" t="s">
        <v>9851</v>
      </c>
      <c r="AJ508" t="s">
        <v>9852</v>
      </c>
      <c r="BA508" t="str">
        <f>"1149"</f>
        <v>1149</v>
      </c>
      <c r="BB508" t="str">
        <f>"485"</f>
        <v>485</v>
      </c>
      <c r="BC508" t="s">
        <v>665</v>
      </c>
      <c r="BD508" t="str">
        <f t="shared" ref="BD508:BD513" si="112">"1"</f>
        <v>1</v>
      </c>
      <c r="BE508" t="s">
        <v>4975</v>
      </c>
      <c r="BF508" t="str">
        <f>"39.57"</f>
        <v>39.57</v>
      </c>
      <c r="BG508" t="str">
        <f>"22.83"</f>
        <v>22.83</v>
      </c>
      <c r="BH508" t="str">
        <f>"28.94"</f>
        <v>28.94</v>
      </c>
      <c r="BI508" t="str">
        <f>"110.23"</f>
        <v>110.23</v>
      </c>
      <c r="BY508" t="str">
        <f>"15.11"</f>
        <v>15.11</v>
      </c>
      <c r="BZ508" t="str">
        <f>"0.428"</f>
        <v>0.428</v>
      </c>
      <c r="CA508" t="s">
        <v>431</v>
      </c>
      <c r="CR508" t="s">
        <v>5068</v>
      </c>
      <c r="CS508">
        <v>3</v>
      </c>
      <c r="CT508" t="s">
        <v>400</v>
      </c>
      <c r="CV508">
        <v>0</v>
      </c>
      <c r="CX508" t="s">
        <v>1980</v>
      </c>
      <c r="CY508" t="s">
        <v>1009</v>
      </c>
      <c r="DC508">
        <v>0</v>
      </c>
      <c r="DJ508" t="s">
        <v>408</v>
      </c>
      <c r="DK508" t="s">
        <v>9760</v>
      </c>
      <c r="DM508" t="s">
        <v>473</v>
      </c>
      <c r="DX508" t="s">
        <v>3518</v>
      </c>
      <c r="EM508" t="s">
        <v>402</v>
      </c>
      <c r="EN508">
        <v>0</v>
      </c>
      <c r="FI508">
        <v>0</v>
      </c>
      <c r="FJ508" t="s">
        <v>1012</v>
      </c>
      <c r="FP508" t="s">
        <v>402</v>
      </c>
      <c r="FR508" t="s">
        <v>3983</v>
      </c>
      <c r="FT508" t="s">
        <v>9853</v>
      </c>
      <c r="FV508" t="s">
        <v>1315</v>
      </c>
      <c r="FX508" t="s">
        <v>1017</v>
      </c>
      <c r="FZ508" t="s">
        <v>1018</v>
      </c>
    </row>
    <row r="509" spans="1:251" x14ac:dyDescent="0.25">
      <c r="A509" t="s">
        <v>9854</v>
      </c>
      <c r="B509" t="str">
        <f>"198394017572"</f>
        <v>198394017572</v>
      </c>
      <c r="C509" t="s">
        <v>9855</v>
      </c>
      <c r="D509" t="s">
        <v>1318</v>
      </c>
      <c r="E509" t="s">
        <v>1043</v>
      </c>
      <c r="G509" t="str">
        <f>"35"</f>
        <v>35</v>
      </c>
      <c r="H509" t="str">
        <f>"18.25"</f>
        <v>18.25</v>
      </c>
      <c r="I509" t="str">
        <f>"22"</f>
        <v>22</v>
      </c>
      <c r="J509" t="str">
        <f>"88.18"</f>
        <v>88.18</v>
      </c>
      <c r="K509" t="s">
        <v>4099</v>
      </c>
      <c r="N509" t="s">
        <v>1463</v>
      </c>
      <c r="O509" t="s">
        <v>372</v>
      </c>
      <c r="T509" t="s">
        <v>373</v>
      </c>
      <c r="U509" t="s">
        <v>373</v>
      </c>
      <c r="V509" t="s">
        <v>9838</v>
      </c>
      <c r="W509" t="s">
        <v>9856</v>
      </c>
      <c r="X509" t="s">
        <v>9857</v>
      </c>
      <c r="Y509" t="s">
        <v>9858</v>
      </c>
      <c r="Z509" t="s">
        <v>9859</v>
      </c>
      <c r="AA509" t="s">
        <v>9860</v>
      </c>
      <c r="AB509" t="s">
        <v>9861</v>
      </c>
      <c r="AC509" t="s">
        <v>9862</v>
      </c>
      <c r="AD509" t="s">
        <v>9863</v>
      </c>
      <c r="AE509" t="s">
        <v>9864</v>
      </c>
      <c r="AF509" t="s">
        <v>9865</v>
      </c>
      <c r="AG509" t="s">
        <v>9866</v>
      </c>
      <c r="AH509" t="s">
        <v>9867</v>
      </c>
      <c r="AI509" t="s">
        <v>9868</v>
      </c>
      <c r="BA509" t="str">
        <f>"1149"</f>
        <v>1149</v>
      </c>
      <c r="BB509" t="str">
        <f>"485"</f>
        <v>485</v>
      </c>
      <c r="BC509" t="s">
        <v>665</v>
      </c>
      <c r="BD509" t="str">
        <f t="shared" si="112"/>
        <v>1</v>
      </c>
      <c r="BE509" t="s">
        <v>4975</v>
      </c>
      <c r="BF509" t="str">
        <f>"39.57"</f>
        <v>39.57</v>
      </c>
      <c r="BG509" t="str">
        <f>"22.83"</f>
        <v>22.83</v>
      </c>
      <c r="BH509" t="str">
        <f>"28.94"</f>
        <v>28.94</v>
      </c>
      <c r="BI509" t="str">
        <f>"110.23"</f>
        <v>110.23</v>
      </c>
      <c r="BY509" t="str">
        <f>"15.11"</f>
        <v>15.11</v>
      </c>
      <c r="BZ509" t="str">
        <f>"0.428"</f>
        <v>0.428</v>
      </c>
      <c r="CA509" t="s">
        <v>431</v>
      </c>
      <c r="CR509" t="s">
        <v>5068</v>
      </c>
      <c r="CS509">
        <v>3</v>
      </c>
      <c r="CT509" t="s">
        <v>400</v>
      </c>
      <c r="CV509">
        <v>0</v>
      </c>
      <c r="CX509" t="s">
        <v>1980</v>
      </c>
      <c r="CY509" t="s">
        <v>1009</v>
      </c>
      <c r="DC509">
        <v>0</v>
      </c>
      <c r="DJ509" t="s">
        <v>408</v>
      </c>
      <c r="DK509" t="s">
        <v>9760</v>
      </c>
      <c r="DM509" t="s">
        <v>473</v>
      </c>
      <c r="DX509" t="s">
        <v>3518</v>
      </c>
      <c r="EM509" t="s">
        <v>402</v>
      </c>
      <c r="EN509">
        <v>0</v>
      </c>
      <c r="FI509">
        <v>0</v>
      </c>
      <c r="FJ509" t="s">
        <v>1012</v>
      </c>
      <c r="FP509" t="s">
        <v>402</v>
      </c>
      <c r="FR509" t="s">
        <v>3983</v>
      </c>
      <c r="FT509" t="s">
        <v>9853</v>
      </c>
      <c r="FV509" t="s">
        <v>1315</v>
      </c>
      <c r="FX509" t="s">
        <v>1017</v>
      </c>
      <c r="FZ509" t="s">
        <v>1018</v>
      </c>
    </row>
    <row r="510" spans="1:251" x14ac:dyDescent="0.25">
      <c r="A510" t="s">
        <v>9869</v>
      </c>
      <c r="B510" t="str">
        <f>"801542188474"</f>
        <v>801542188474</v>
      </c>
      <c r="C510" t="s">
        <v>9870</v>
      </c>
      <c r="D510" t="s">
        <v>1318</v>
      </c>
      <c r="E510" t="s">
        <v>4074</v>
      </c>
      <c r="G510" t="str">
        <f>"80"</f>
        <v>80</v>
      </c>
      <c r="H510" t="str">
        <f>"22"</f>
        <v>22</v>
      </c>
      <c r="I510" t="str">
        <f>"30"</f>
        <v>30</v>
      </c>
      <c r="J510" t="str">
        <f>"120.15"</f>
        <v>120.15</v>
      </c>
      <c r="K510" t="s">
        <v>7822</v>
      </c>
      <c r="L510" t="s">
        <v>4075</v>
      </c>
      <c r="N510" t="s">
        <v>372</v>
      </c>
      <c r="O510" t="s">
        <v>1463</v>
      </c>
      <c r="T510" t="s">
        <v>373</v>
      </c>
      <c r="U510" t="s">
        <v>373</v>
      </c>
      <c r="V510" t="s">
        <v>9871</v>
      </c>
      <c r="W510" t="s">
        <v>9872</v>
      </c>
      <c r="X510" t="s">
        <v>9873</v>
      </c>
      <c r="Y510" t="s">
        <v>9874</v>
      </c>
      <c r="Z510" t="s">
        <v>9875</v>
      </c>
      <c r="AA510" t="s">
        <v>9876</v>
      </c>
      <c r="AB510" t="s">
        <v>9877</v>
      </c>
      <c r="AC510" t="s">
        <v>9878</v>
      </c>
      <c r="AD510" t="s">
        <v>9879</v>
      </c>
      <c r="AE510" t="s">
        <v>9880</v>
      </c>
      <c r="AF510" t="s">
        <v>9881</v>
      </c>
      <c r="AG510" t="s">
        <v>9882</v>
      </c>
      <c r="BA510" t="str">
        <f>"1999"</f>
        <v>1999</v>
      </c>
      <c r="BB510" t="str">
        <f>"840"</f>
        <v>840</v>
      </c>
      <c r="BC510" t="s">
        <v>665</v>
      </c>
      <c r="BD510" t="str">
        <f t="shared" si="112"/>
        <v>1</v>
      </c>
      <c r="BE510" t="s">
        <v>389</v>
      </c>
      <c r="BF510" t="str">
        <f>"83.86"</f>
        <v>83.86</v>
      </c>
      <c r="BG510" t="str">
        <f>"25.98"</f>
        <v>25.98</v>
      </c>
      <c r="BH510" t="str">
        <f>"40.55"</f>
        <v>40.55</v>
      </c>
      <c r="BI510" t="str">
        <f>"180.78"</f>
        <v>180.78</v>
      </c>
      <c r="BY510" t="str">
        <f>"51.14"</f>
        <v>51.14</v>
      </c>
      <c r="BZ510" t="str">
        <f>"1.448"</f>
        <v>1.448</v>
      </c>
      <c r="CA510" t="s">
        <v>431</v>
      </c>
      <c r="CR510" t="s">
        <v>400</v>
      </c>
      <c r="CS510">
        <v>0</v>
      </c>
      <c r="CT510" t="s">
        <v>400</v>
      </c>
      <c r="CV510">
        <v>0</v>
      </c>
      <c r="CX510" t="s">
        <v>1980</v>
      </c>
      <c r="CY510" t="s">
        <v>400</v>
      </c>
      <c r="DC510">
        <v>0</v>
      </c>
      <c r="DJ510" t="s">
        <v>408</v>
      </c>
      <c r="DK510" t="s">
        <v>9760</v>
      </c>
      <c r="DM510" t="s">
        <v>669</v>
      </c>
      <c r="DX510" t="s">
        <v>5480</v>
      </c>
      <c r="DZ510" t="s">
        <v>9883</v>
      </c>
      <c r="EI510" t="s">
        <v>9884</v>
      </c>
      <c r="EJ510" t="s">
        <v>1853</v>
      </c>
      <c r="EK510" t="s">
        <v>674</v>
      </c>
      <c r="EL510" t="s">
        <v>744</v>
      </c>
      <c r="EM510" t="s">
        <v>402</v>
      </c>
      <c r="EN510">
        <v>0</v>
      </c>
      <c r="EO510">
        <v>0</v>
      </c>
      <c r="FI510">
        <v>0</v>
      </c>
      <c r="FJ510" t="s">
        <v>1012</v>
      </c>
    </row>
    <row r="511" spans="1:251" x14ac:dyDescent="0.25">
      <c r="A511" t="s">
        <v>9885</v>
      </c>
      <c r="B511" t="str">
        <f>"801542192112"</f>
        <v>801542192112</v>
      </c>
      <c r="C511" t="s">
        <v>9886</v>
      </c>
      <c r="D511" t="s">
        <v>1318</v>
      </c>
      <c r="E511" t="s">
        <v>930</v>
      </c>
      <c r="G511" t="str">
        <f>"82"</f>
        <v>82</v>
      </c>
      <c r="H511" t="str">
        <f>"22.5"</f>
        <v>22.5</v>
      </c>
      <c r="I511" t="str">
        <f>"30"</f>
        <v>30</v>
      </c>
      <c r="J511" t="str">
        <f>"206.13"</f>
        <v>206.13</v>
      </c>
      <c r="K511" t="s">
        <v>7822</v>
      </c>
      <c r="N511" t="s">
        <v>372</v>
      </c>
      <c r="T511" t="s">
        <v>373</v>
      </c>
      <c r="U511" t="s">
        <v>373</v>
      </c>
      <c r="V511" t="s">
        <v>9887</v>
      </c>
      <c r="W511" t="s">
        <v>9888</v>
      </c>
      <c r="X511" t="s">
        <v>9889</v>
      </c>
      <c r="Y511" t="s">
        <v>9890</v>
      </c>
      <c r="Z511" t="s">
        <v>9891</v>
      </c>
      <c r="AA511" t="s">
        <v>9892</v>
      </c>
      <c r="AB511" t="s">
        <v>9893</v>
      </c>
      <c r="AC511" t="s">
        <v>9894</v>
      </c>
      <c r="AD511" t="s">
        <v>9895</v>
      </c>
      <c r="AE511" t="s">
        <v>9896</v>
      </c>
      <c r="AF511" t="s">
        <v>9897</v>
      </c>
      <c r="AG511" t="s">
        <v>9898</v>
      </c>
      <c r="AH511" t="s">
        <v>9899</v>
      </c>
      <c r="AI511" t="s">
        <v>9900</v>
      </c>
      <c r="AJ511" t="s">
        <v>9901</v>
      </c>
      <c r="AK511" t="s">
        <v>9902</v>
      </c>
      <c r="BA511" t="str">
        <f>"2699"</f>
        <v>2699</v>
      </c>
      <c r="BB511" t="str">
        <f>"1135"</f>
        <v>1135</v>
      </c>
      <c r="BC511" t="s">
        <v>665</v>
      </c>
      <c r="BD511" t="str">
        <f t="shared" si="112"/>
        <v>1</v>
      </c>
      <c r="BE511" t="s">
        <v>389</v>
      </c>
      <c r="BF511" t="str">
        <f>"86.22"</f>
        <v>86.22</v>
      </c>
      <c r="BG511" t="str">
        <f>"25.79"</f>
        <v>25.79</v>
      </c>
      <c r="BH511" t="str">
        <f>"39.76"</f>
        <v>39.76</v>
      </c>
      <c r="BI511" t="str">
        <f>"242.51"</f>
        <v>242.51</v>
      </c>
      <c r="BY511" t="str">
        <f>"51.17"</f>
        <v>51.17</v>
      </c>
      <c r="BZ511" t="str">
        <f>"1.449"</f>
        <v>1.449</v>
      </c>
      <c r="CA511" t="s">
        <v>431</v>
      </c>
      <c r="CE511" t="s">
        <v>1711</v>
      </c>
      <c r="CF511" t="s">
        <v>6253</v>
      </c>
      <c r="CG511" t="s">
        <v>9903</v>
      </c>
      <c r="CR511" t="s">
        <v>400</v>
      </c>
      <c r="CS511">
        <v>0</v>
      </c>
      <c r="CT511" t="s">
        <v>400</v>
      </c>
      <c r="CV511">
        <v>0</v>
      </c>
      <c r="CX511" t="s">
        <v>1980</v>
      </c>
      <c r="CY511" t="s">
        <v>954</v>
      </c>
      <c r="DA511">
        <v>18.14</v>
      </c>
      <c r="DB511">
        <v>40</v>
      </c>
      <c r="DC511">
        <v>2</v>
      </c>
      <c r="DK511" t="s">
        <v>9760</v>
      </c>
      <c r="DM511" t="s">
        <v>669</v>
      </c>
      <c r="DX511" t="s">
        <v>3518</v>
      </c>
      <c r="EM511" t="s">
        <v>402</v>
      </c>
      <c r="EN511">
        <v>2</v>
      </c>
      <c r="EZ511" t="s">
        <v>9904</v>
      </c>
      <c r="FA511" t="s">
        <v>9905</v>
      </c>
      <c r="FB511" t="s">
        <v>1982</v>
      </c>
      <c r="FC511" t="s">
        <v>1711</v>
      </c>
      <c r="FD511" t="s">
        <v>956</v>
      </c>
      <c r="FE511" t="s">
        <v>9903</v>
      </c>
      <c r="FF511">
        <v>0</v>
      </c>
      <c r="FG511" t="s">
        <v>402</v>
      </c>
      <c r="FH511" t="s">
        <v>6663</v>
      </c>
      <c r="FI511">
        <v>4</v>
      </c>
      <c r="FJ511" t="s">
        <v>960</v>
      </c>
      <c r="FK511" t="s">
        <v>1246</v>
      </c>
      <c r="FL511">
        <v>0</v>
      </c>
      <c r="FM511" t="s">
        <v>402</v>
      </c>
      <c r="FO511" t="s">
        <v>984</v>
      </c>
      <c r="GX511" t="s">
        <v>392</v>
      </c>
      <c r="HI511" t="s">
        <v>402</v>
      </c>
    </row>
    <row r="512" spans="1:251" x14ac:dyDescent="0.25">
      <c r="A512" t="s">
        <v>9906</v>
      </c>
      <c r="B512" t="str">
        <f>"198394016049"</f>
        <v>198394016049</v>
      </c>
      <c r="C512" t="s">
        <v>9907</v>
      </c>
      <c r="D512" t="s">
        <v>1318</v>
      </c>
      <c r="E512" t="s">
        <v>930</v>
      </c>
      <c r="G512" t="str">
        <f>"82"</f>
        <v>82</v>
      </c>
      <c r="H512" t="str">
        <f>"22.5"</f>
        <v>22.5</v>
      </c>
      <c r="I512" t="str">
        <f>"30"</f>
        <v>30</v>
      </c>
      <c r="J512" t="str">
        <f>"206.13"</f>
        <v>206.13</v>
      </c>
      <c r="K512" t="s">
        <v>9779</v>
      </c>
      <c r="N512" t="s">
        <v>372</v>
      </c>
      <c r="T512" t="s">
        <v>373</v>
      </c>
      <c r="U512" t="s">
        <v>373</v>
      </c>
      <c r="V512" t="s">
        <v>9887</v>
      </c>
      <c r="W512" t="s">
        <v>9908</v>
      </c>
      <c r="X512" t="s">
        <v>9909</v>
      </c>
      <c r="Y512" t="s">
        <v>9910</v>
      </c>
      <c r="Z512" t="s">
        <v>9911</v>
      </c>
      <c r="AA512" t="s">
        <v>9912</v>
      </c>
      <c r="AB512" t="s">
        <v>9913</v>
      </c>
      <c r="AC512" t="s">
        <v>9914</v>
      </c>
      <c r="AD512" t="s">
        <v>9915</v>
      </c>
      <c r="AE512" t="s">
        <v>9916</v>
      </c>
      <c r="AF512" t="s">
        <v>9917</v>
      </c>
      <c r="AG512" t="s">
        <v>9918</v>
      </c>
      <c r="AH512" t="s">
        <v>9919</v>
      </c>
      <c r="AI512" t="s">
        <v>9920</v>
      </c>
      <c r="BA512" t="str">
        <f>"2699"</f>
        <v>2699</v>
      </c>
      <c r="BB512" t="str">
        <f>"1135"</f>
        <v>1135</v>
      </c>
      <c r="BC512" t="s">
        <v>665</v>
      </c>
      <c r="BD512" t="str">
        <f t="shared" si="112"/>
        <v>1</v>
      </c>
      <c r="BE512" t="s">
        <v>389</v>
      </c>
      <c r="BF512" t="str">
        <f>"86.22"</f>
        <v>86.22</v>
      </c>
      <c r="BG512" t="str">
        <f>"25.79"</f>
        <v>25.79</v>
      </c>
      <c r="BH512" t="str">
        <f>"39.76"</f>
        <v>39.76</v>
      </c>
      <c r="BI512" t="str">
        <f>"242.51"</f>
        <v>242.51</v>
      </c>
      <c r="BY512" t="str">
        <f>"51.17"</f>
        <v>51.17</v>
      </c>
      <c r="BZ512" t="str">
        <f>"1.449"</f>
        <v>1.449</v>
      </c>
      <c r="CA512" t="s">
        <v>495</v>
      </c>
      <c r="CE512" t="s">
        <v>1711</v>
      </c>
      <c r="CF512" t="s">
        <v>6253</v>
      </c>
      <c r="CG512" t="s">
        <v>9903</v>
      </c>
      <c r="CR512" t="s">
        <v>400</v>
      </c>
      <c r="CS512">
        <v>0</v>
      </c>
      <c r="CT512" t="s">
        <v>400</v>
      </c>
      <c r="CV512">
        <v>0</v>
      </c>
      <c r="CX512" t="s">
        <v>1980</v>
      </c>
      <c r="CY512" t="s">
        <v>954</v>
      </c>
      <c r="DA512">
        <v>18.14</v>
      </c>
      <c r="DB512">
        <v>40</v>
      </c>
      <c r="DC512">
        <v>2</v>
      </c>
      <c r="DK512" t="s">
        <v>9760</v>
      </c>
      <c r="DM512" t="s">
        <v>669</v>
      </c>
      <c r="DX512" t="s">
        <v>3518</v>
      </c>
      <c r="EM512" t="s">
        <v>402</v>
      </c>
      <c r="EN512">
        <v>2</v>
      </c>
      <c r="EZ512" t="s">
        <v>9904</v>
      </c>
      <c r="FA512" t="s">
        <v>9905</v>
      </c>
      <c r="FB512" t="s">
        <v>1982</v>
      </c>
      <c r="FC512" t="s">
        <v>1711</v>
      </c>
      <c r="FD512" t="s">
        <v>956</v>
      </c>
      <c r="FE512" t="s">
        <v>9903</v>
      </c>
      <c r="FF512">
        <v>0</v>
      </c>
      <c r="FG512" t="s">
        <v>402</v>
      </c>
      <c r="FH512" t="s">
        <v>6663</v>
      </c>
      <c r="FI512">
        <v>4</v>
      </c>
      <c r="FJ512" t="s">
        <v>960</v>
      </c>
      <c r="FK512" t="s">
        <v>1246</v>
      </c>
      <c r="FL512">
        <v>0</v>
      </c>
      <c r="FM512" t="s">
        <v>402</v>
      </c>
      <c r="FO512" t="s">
        <v>984</v>
      </c>
      <c r="GX512" t="s">
        <v>392</v>
      </c>
      <c r="HI512" t="s">
        <v>402</v>
      </c>
    </row>
    <row r="513" spans="1:303" x14ac:dyDescent="0.25">
      <c r="A513" t="s">
        <v>9921</v>
      </c>
      <c r="B513" t="str">
        <f>"801542028930"</f>
        <v>801542028930</v>
      </c>
      <c r="C513" t="s">
        <v>9922</v>
      </c>
      <c r="D513" t="s">
        <v>646</v>
      </c>
      <c r="E513" t="s">
        <v>1319</v>
      </c>
      <c r="F513" t="s">
        <v>1320</v>
      </c>
      <c r="G513" t="str">
        <f>"70"</f>
        <v>70</v>
      </c>
      <c r="H513" t="str">
        <f>"27"</f>
        <v>27</v>
      </c>
      <c r="I513" t="str">
        <f>"31"</f>
        <v>31</v>
      </c>
      <c r="J513" t="str">
        <f>"163.14"</f>
        <v>163.14</v>
      </c>
      <c r="K513" t="s">
        <v>9923</v>
      </c>
      <c r="N513" t="s">
        <v>1970</v>
      </c>
      <c r="O513" t="s">
        <v>372</v>
      </c>
      <c r="T513" t="s">
        <v>373</v>
      </c>
      <c r="U513" t="s">
        <v>373</v>
      </c>
      <c r="V513" t="s">
        <v>9924</v>
      </c>
      <c r="W513" t="s">
        <v>9925</v>
      </c>
      <c r="X513" t="s">
        <v>9926</v>
      </c>
      <c r="Y513" t="s">
        <v>9927</v>
      </c>
      <c r="Z513" t="s">
        <v>9928</v>
      </c>
      <c r="AA513" t="s">
        <v>9929</v>
      </c>
      <c r="AB513" t="s">
        <v>9930</v>
      </c>
      <c r="AC513" t="s">
        <v>9931</v>
      </c>
      <c r="AD513" t="s">
        <v>9932</v>
      </c>
      <c r="AE513" t="s">
        <v>9933</v>
      </c>
      <c r="AF513" t="s">
        <v>9934</v>
      </c>
      <c r="AG513" t="s">
        <v>9935</v>
      </c>
      <c r="AH513" t="s">
        <v>9936</v>
      </c>
      <c r="AI513" t="s">
        <v>9937</v>
      </c>
      <c r="AJ513" t="s">
        <v>9938</v>
      </c>
      <c r="AK513" t="s">
        <v>9939</v>
      </c>
      <c r="AL513" t="s">
        <v>9940</v>
      </c>
      <c r="AM513" t="s">
        <v>9941</v>
      </c>
      <c r="BA513" t="str">
        <f>"2699"</f>
        <v>2699</v>
      </c>
      <c r="BB513" t="str">
        <f>"1135"</f>
        <v>1135</v>
      </c>
      <c r="BC513" t="s">
        <v>665</v>
      </c>
      <c r="BD513" t="str">
        <f t="shared" si="112"/>
        <v>1</v>
      </c>
      <c r="BE513" t="s">
        <v>9942</v>
      </c>
      <c r="BF513" t="str">
        <f>"73.62"</f>
        <v>73.62</v>
      </c>
      <c r="BG513" t="str">
        <f>"31.3"</f>
        <v>31.3</v>
      </c>
      <c r="BH513" t="str">
        <f>"27.36"</f>
        <v>27.36</v>
      </c>
      <c r="BI513" t="str">
        <f>"202.83"</f>
        <v>202.83</v>
      </c>
      <c r="BY513" t="str">
        <f>"36.48"</f>
        <v>36.48</v>
      </c>
      <c r="BZ513" t="str">
        <f>"1.033"</f>
        <v>1.033</v>
      </c>
      <c r="CA513" t="s">
        <v>495</v>
      </c>
      <c r="CR513" t="s">
        <v>1343</v>
      </c>
      <c r="CS513">
        <v>7</v>
      </c>
      <c r="CT513" t="s">
        <v>1312</v>
      </c>
      <c r="CV513">
        <v>0</v>
      </c>
      <c r="CX513" t="s">
        <v>403</v>
      </c>
      <c r="CY513" t="s">
        <v>1009</v>
      </c>
      <c r="DC513">
        <v>0</v>
      </c>
      <c r="DJ513" t="s">
        <v>1345</v>
      </c>
      <c r="DK513" t="s">
        <v>9943</v>
      </c>
      <c r="DM513" t="s">
        <v>473</v>
      </c>
      <c r="DX513" t="s">
        <v>566</v>
      </c>
      <c r="DY513" t="s">
        <v>1488</v>
      </c>
      <c r="DZ513" t="s">
        <v>9944</v>
      </c>
      <c r="EI513" t="s">
        <v>3638</v>
      </c>
      <c r="EJ513" t="s">
        <v>9650</v>
      </c>
      <c r="EK513" t="s">
        <v>3638</v>
      </c>
      <c r="EL513" t="s">
        <v>3518</v>
      </c>
      <c r="EM513" t="s">
        <v>402</v>
      </c>
      <c r="EN513">
        <v>0</v>
      </c>
      <c r="EW513" t="s">
        <v>638</v>
      </c>
      <c r="FI513">
        <v>0</v>
      </c>
      <c r="FJ513" t="s">
        <v>1012</v>
      </c>
      <c r="FR513" t="s">
        <v>1055</v>
      </c>
      <c r="FS513" t="s">
        <v>1055</v>
      </c>
      <c r="FT513" t="s">
        <v>7187</v>
      </c>
      <c r="FU513" t="s">
        <v>9945</v>
      </c>
      <c r="FV513" t="s">
        <v>3832</v>
      </c>
      <c r="FW513" t="s">
        <v>5109</v>
      </c>
      <c r="FX513" t="s">
        <v>1008</v>
      </c>
      <c r="FZ513" t="s">
        <v>1018</v>
      </c>
      <c r="GA513" t="s">
        <v>402</v>
      </c>
      <c r="GE513">
        <v>0</v>
      </c>
      <c r="GY513" t="s">
        <v>1055</v>
      </c>
      <c r="GZ513" t="s">
        <v>1055</v>
      </c>
      <c r="HA513" t="s">
        <v>9946</v>
      </c>
      <c r="HB513" t="s">
        <v>7187</v>
      </c>
      <c r="HC513" t="s">
        <v>5109</v>
      </c>
      <c r="HD513" t="s">
        <v>5109</v>
      </c>
      <c r="HH513" t="s">
        <v>402</v>
      </c>
    </row>
    <row r="514" spans="1:303" x14ac:dyDescent="0.25">
      <c r="A514" t="s">
        <v>9947</v>
      </c>
      <c r="B514" t="str">
        <f>"801542056155"</f>
        <v>801542056155</v>
      </c>
      <c r="C514" t="s">
        <v>9948</v>
      </c>
      <c r="D514" t="s">
        <v>646</v>
      </c>
      <c r="E514" t="s">
        <v>2006</v>
      </c>
      <c r="F514" t="s">
        <v>2007</v>
      </c>
      <c r="G514" t="str">
        <f>"65.75"</f>
        <v>65.75</v>
      </c>
      <c r="H514" t="str">
        <f>"85.75"</f>
        <v>85.75</v>
      </c>
      <c r="I514" t="str">
        <f>"48"</f>
        <v>48</v>
      </c>
      <c r="J514" t="str">
        <f>"173.06"</f>
        <v>173.06</v>
      </c>
      <c r="K514" t="s">
        <v>9923</v>
      </c>
      <c r="N514" t="s">
        <v>1970</v>
      </c>
      <c r="O514" t="s">
        <v>372</v>
      </c>
      <c r="T514" t="s">
        <v>373</v>
      </c>
      <c r="U514" t="s">
        <v>373</v>
      </c>
      <c r="W514" t="s">
        <v>9949</v>
      </c>
      <c r="X514" t="s">
        <v>9950</v>
      </c>
      <c r="Y514" t="s">
        <v>9951</v>
      </c>
      <c r="Z514" t="s">
        <v>9952</v>
      </c>
      <c r="AA514" t="s">
        <v>9953</v>
      </c>
      <c r="AB514" t="s">
        <v>9954</v>
      </c>
      <c r="AC514" t="s">
        <v>9955</v>
      </c>
      <c r="AD514" t="s">
        <v>9956</v>
      </c>
      <c r="AE514" t="s">
        <v>9957</v>
      </c>
      <c r="AF514" t="s">
        <v>9958</v>
      </c>
      <c r="AG514" t="s">
        <v>9959</v>
      </c>
      <c r="AH514" t="s">
        <v>9960</v>
      </c>
      <c r="AI514" t="s">
        <v>9961</v>
      </c>
      <c r="BA514" t="str">
        <f>"2599"</f>
        <v>2599</v>
      </c>
      <c r="BB514" t="str">
        <f>"1095"</f>
        <v>1095</v>
      </c>
      <c r="BC514" t="s">
        <v>665</v>
      </c>
      <c r="BD514" t="str">
        <f>"2"</f>
        <v>2</v>
      </c>
      <c r="BE514" t="s">
        <v>9942</v>
      </c>
      <c r="BF514" t="str">
        <f>"70.08"</f>
        <v>70.08</v>
      </c>
      <c r="BG514" t="str">
        <f>"52.36"</f>
        <v>52.36</v>
      </c>
      <c r="BH514" t="str">
        <f>"9.84"</f>
        <v>9.84</v>
      </c>
      <c r="BI514" t="str">
        <f>"170.86"</f>
        <v>170.86</v>
      </c>
      <c r="BJ514" t="s">
        <v>9942</v>
      </c>
      <c r="BK514" t="str">
        <f>"86.42"</f>
        <v>86.42</v>
      </c>
      <c r="BL514" t="str">
        <f>"13.19"</f>
        <v>13.19</v>
      </c>
      <c r="BM514" t="str">
        <f>"8.27"</f>
        <v>8.27</v>
      </c>
      <c r="BN514" t="str">
        <f>"48.5"</f>
        <v>48.5</v>
      </c>
      <c r="BY514" t="str">
        <f>"26.34"</f>
        <v>26.34</v>
      </c>
      <c r="BZ514" t="str">
        <f>"0.746"</f>
        <v>0.746</v>
      </c>
      <c r="CA514" t="s">
        <v>495</v>
      </c>
      <c r="CR514" t="s">
        <v>400</v>
      </c>
      <c r="CS514">
        <v>0</v>
      </c>
      <c r="CT514" t="s">
        <v>400</v>
      </c>
      <c r="CV514">
        <v>0</v>
      </c>
      <c r="CX514" t="s">
        <v>403</v>
      </c>
      <c r="CY514" t="s">
        <v>400</v>
      </c>
      <c r="DA514">
        <v>0</v>
      </c>
      <c r="DB514">
        <v>0</v>
      </c>
      <c r="DC514">
        <v>0</v>
      </c>
      <c r="DK514" t="s">
        <v>9943</v>
      </c>
      <c r="DM514" t="s">
        <v>2028</v>
      </c>
      <c r="EN514">
        <v>0</v>
      </c>
      <c r="HN514" t="s">
        <v>742</v>
      </c>
      <c r="HO514" t="s">
        <v>742</v>
      </c>
      <c r="HP514" t="s">
        <v>543</v>
      </c>
      <c r="HQ514" t="s">
        <v>1412</v>
      </c>
      <c r="HR514" t="s">
        <v>395</v>
      </c>
      <c r="HS514" t="s">
        <v>9962</v>
      </c>
      <c r="HT514" t="s">
        <v>9963</v>
      </c>
      <c r="HU514" t="s">
        <v>395</v>
      </c>
      <c r="HV514" t="s">
        <v>9962</v>
      </c>
      <c r="HW514" t="s">
        <v>9964</v>
      </c>
      <c r="HX514" t="s">
        <v>392</v>
      </c>
      <c r="HY514" t="s">
        <v>3273</v>
      </c>
      <c r="HZ514" t="s">
        <v>566</v>
      </c>
      <c r="IA514" t="s">
        <v>9964</v>
      </c>
      <c r="IB514" t="s">
        <v>1350</v>
      </c>
      <c r="IC514" t="s">
        <v>402</v>
      </c>
      <c r="ID514" t="s">
        <v>3519</v>
      </c>
      <c r="IE514" t="s">
        <v>1008</v>
      </c>
      <c r="IF514" t="s">
        <v>2177</v>
      </c>
      <c r="IG514" t="s">
        <v>2007</v>
      </c>
      <c r="IM514" t="s">
        <v>395</v>
      </c>
      <c r="IN514" t="s">
        <v>5045</v>
      </c>
      <c r="IO514" t="s">
        <v>395</v>
      </c>
      <c r="IP514" t="s">
        <v>402</v>
      </c>
      <c r="IQ514" t="s">
        <v>3522</v>
      </c>
    </row>
    <row r="515" spans="1:303" x14ac:dyDescent="0.25">
      <c r="A515" t="s">
        <v>9965</v>
      </c>
      <c r="B515" t="str">
        <f>"801542056148"</f>
        <v>801542056148</v>
      </c>
      <c r="C515" t="s">
        <v>9948</v>
      </c>
      <c r="D515" t="s">
        <v>646</v>
      </c>
      <c r="E515" t="s">
        <v>2006</v>
      </c>
      <c r="F515" t="s">
        <v>2040</v>
      </c>
      <c r="G515" t="str">
        <f>"81.75"</f>
        <v>81.75</v>
      </c>
      <c r="H515" t="str">
        <f>"85.75"</f>
        <v>85.75</v>
      </c>
      <c r="I515" t="str">
        <f>"48"</f>
        <v>48</v>
      </c>
      <c r="J515" t="str">
        <f>"209.44"</f>
        <v>209.44</v>
      </c>
      <c r="K515" t="s">
        <v>9923</v>
      </c>
      <c r="N515" t="s">
        <v>1970</v>
      </c>
      <c r="O515" t="s">
        <v>372</v>
      </c>
      <c r="T515" t="s">
        <v>373</v>
      </c>
      <c r="U515" t="s">
        <v>373</v>
      </c>
      <c r="W515" t="s">
        <v>9966</v>
      </c>
      <c r="X515" t="s">
        <v>9967</v>
      </c>
      <c r="Y515" t="s">
        <v>9968</v>
      </c>
      <c r="Z515" t="s">
        <v>9969</v>
      </c>
      <c r="AA515" t="s">
        <v>9970</v>
      </c>
      <c r="AB515" t="s">
        <v>9971</v>
      </c>
      <c r="AC515" t="s">
        <v>9972</v>
      </c>
      <c r="AD515" t="s">
        <v>9973</v>
      </c>
      <c r="AE515" t="s">
        <v>9974</v>
      </c>
      <c r="AF515" t="s">
        <v>9975</v>
      </c>
      <c r="AG515" t="s">
        <v>9976</v>
      </c>
      <c r="AH515" t="s">
        <v>9977</v>
      </c>
      <c r="AI515" t="s">
        <v>9978</v>
      </c>
      <c r="AJ515" t="s">
        <v>9979</v>
      </c>
      <c r="AK515" t="s">
        <v>9980</v>
      </c>
      <c r="AL515" t="s">
        <v>9981</v>
      </c>
      <c r="BA515" t="str">
        <f>"2999"</f>
        <v>2999</v>
      </c>
      <c r="BB515" t="str">
        <f>"1260"</f>
        <v>1260</v>
      </c>
      <c r="BC515" t="s">
        <v>665</v>
      </c>
      <c r="BD515" t="str">
        <f>"2"</f>
        <v>2</v>
      </c>
      <c r="BE515" t="s">
        <v>9942</v>
      </c>
      <c r="BF515" t="str">
        <f>"87.01"</f>
        <v>87.01</v>
      </c>
      <c r="BG515" t="str">
        <f>"52.36"</f>
        <v>52.36</v>
      </c>
      <c r="BH515" t="str">
        <f>"9.84"</f>
        <v>9.84</v>
      </c>
      <c r="BI515" t="str">
        <f>"207.23"</f>
        <v>207.23</v>
      </c>
      <c r="BJ515" t="s">
        <v>9942</v>
      </c>
      <c r="BK515" t="str">
        <f>"87.01"</f>
        <v>87.01</v>
      </c>
      <c r="BL515" t="str">
        <f>"12.2"</f>
        <v>12.2</v>
      </c>
      <c r="BM515" t="str">
        <f>"8.46"</f>
        <v>8.46</v>
      </c>
      <c r="BN515" t="str">
        <f>"59.52"</f>
        <v>59.52</v>
      </c>
      <c r="BY515" t="str">
        <f>"31.15"</f>
        <v>31.15</v>
      </c>
      <c r="BZ515" t="str">
        <f>"0.882"</f>
        <v>0.882</v>
      </c>
      <c r="CA515" t="s">
        <v>431</v>
      </c>
      <c r="CR515" t="s">
        <v>400</v>
      </c>
      <c r="CS515">
        <v>0</v>
      </c>
      <c r="CT515" t="s">
        <v>400</v>
      </c>
      <c r="CV515">
        <v>0</v>
      </c>
      <c r="CX515" t="s">
        <v>403</v>
      </c>
      <c r="CY515" t="s">
        <v>400</v>
      </c>
      <c r="DA515">
        <v>0</v>
      </c>
      <c r="DB515">
        <v>0</v>
      </c>
      <c r="DC515">
        <v>0</v>
      </c>
      <c r="DK515" t="s">
        <v>9943</v>
      </c>
      <c r="DM515" t="s">
        <v>2028</v>
      </c>
      <c r="EN515">
        <v>0</v>
      </c>
      <c r="HN515" t="s">
        <v>742</v>
      </c>
      <c r="HO515" t="s">
        <v>742</v>
      </c>
      <c r="HP515" t="s">
        <v>543</v>
      </c>
      <c r="HQ515" t="s">
        <v>1412</v>
      </c>
      <c r="HR515" t="s">
        <v>395</v>
      </c>
      <c r="HS515" t="s">
        <v>9982</v>
      </c>
      <c r="HT515" t="s">
        <v>9963</v>
      </c>
      <c r="HU515" t="s">
        <v>395</v>
      </c>
      <c r="HV515" t="s">
        <v>9982</v>
      </c>
      <c r="HW515" t="s">
        <v>9964</v>
      </c>
      <c r="HX515" t="s">
        <v>392</v>
      </c>
      <c r="HY515" t="s">
        <v>2173</v>
      </c>
      <c r="HZ515" t="s">
        <v>566</v>
      </c>
      <c r="IA515" t="s">
        <v>9964</v>
      </c>
      <c r="IB515" t="s">
        <v>1350</v>
      </c>
      <c r="IC515" t="s">
        <v>402</v>
      </c>
      <c r="ID515" t="s">
        <v>3519</v>
      </c>
      <c r="IE515" t="s">
        <v>1008</v>
      </c>
      <c r="IF515" t="s">
        <v>2177</v>
      </c>
      <c r="IG515" t="s">
        <v>2040</v>
      </c>
      <c r="IM515" t="s">
        <v>395</v>
      </c>
      <c r="IN515" t="s">
        <v>5045</v>
      </c>
      <c r="IO515" t="s">
        <v>395</v>
      </c>
      <c r="IP515" t="s">
        <v>402</v>
      </c>
      <c r="IQ515" t="s">
        <v>3522</v>
      </c>
    </row>
    <row r="516" spans="1:303" x14ac:dyDescent="0.25">
      <c r="A516" t="s">
        <v>9983</v>
      </c>
      <c r="B516" t="str">
        <f>"801542093532"</f>
        <v>801542093532</v>
      </c>
      <c r="C516" t="s">
        <v>9984</v>
      </c>
      <c r="D516" t="s">
        <v>646</v>
      </c>
      <c r="E516" t="s">
        <v>2006</v>
      </c>
      <c r="F516" t="s">
        <v>2007</v>
      </c>
      <c r="G516" t="str">
        <f>"65.75"</f>
        <v>65.75</v>
      </c>
      <c r="H516" t="str">
        <f>"85.75"</f>
        <v>85.75</v>
      </c>
      <c r="I516" t="str">
        <f>"48"</f>
        <v>48</v>
      </c>
      <c r="J516" t="str">
        <f>"173.06"</f>
        <v>173.06</v>
      </c>
      <c r="K516" t="s">
        <v>9985</v>
      </c>
      <c r="L516" t="s">
        <v>9986</v>
      </c>
      <c r="N516" t="s">
        <v>1970</v>
      </c>
      <c r="O516" t="s">
        <v>372</v>
      </c>
      <c r="T516" t="s">
        <v>373</v>
      </c>
      <c r="U516" t="s">
        <v>373</v>
      </c>
      <c r="V516" t="s">
        <v>9987</v>
      </c>
      <c r="W516" t="s">
        <v>9988</v>
      </c>
      <c r="X516" t="s">
        <v>9989</v>
      </c>
      <c r="Y516" t="s">
        <v>9990</v>
      </c>
      <c r="Z516" t="s">
        <v>9991</v>
      </c>
      <c r="AA516" t="s">
        <v>9992</v>
      </c>
      <c r="AB516" t="s">
        <v>9993</v>
      </c>
      <c r="AC516" t="s">
        <v>9994</v>
      </c>
      <c r="AD516" t="s">
        <v>9995</v>
      </c>
      <c r="AE516" t="s">
        <v>9996</v>
      </c>
      <c r="AF516" t="s">
        <v>9997</v>
      </c>
      <c r="AG516" t="s">
        <v>9998</v>
      </c>
      <c r="AH516" t="s">
        <v>9999</v>
      </c>
      <c r="BA516" t="str">
        <f>"2599"</f>
        <v>2599</v>
      </c>
      <c r="BB516" t="str">
        <f>"1095"</f>
        <v>1095</v>
      </c>
      <c r="BC516" t="s">
        <v>665</v>
      </c>
      <c r="BD516" t="str">
        <f>"2"</f>
        <v>2</v>
      </c>
      <c r="BE516" t="s">
        <v>9942</v>
      </c>
      <c r="BF516" t="str">
        <f>"70.08"</f>
        <v>70.08</v>
      </c>
      <c r="BG516" t="str">
        <f>"52.36"</f>
        <v>52.36</v>
      </c>
      <c r="BH516" t="str">
        <f>"9.84"</f>
        <v>9.84</v>
      </c>
      <c r="BI516" t="str">
        <f>"170.86"</f>
        <v>170.86</v>
      </c>
      <c r="BJ516" t="s">
        <v>9942</v>
      </c>
      <c r="BK516" t="str">
        <f>"86.42"</f>
        <v>86.42</v>
      </c>
      <c r="BL516" t="str">
        <f>"13.19"</f>
        <v>13.19</v>
      </c>
      <c r="BM516" t="str">
        <f>"8.27"</f>
        <v>8.27</v>
      </c>
      <c r="BN516" t="str">
        <f>"48.5"</f>
        <v>48.5</v>
      </c>
      <c r="BY516" t="str">
        <f>"26.34"</f>
        <v>26.34</v>
      </c>
      <c r="BZ516" t="str">
        <f>"0.746"</f>
        <v>0.746</v>
      </c>
      <c r="CA516" t="s">
        <v>390</v>
      </c>
      <c r="CR516" t="s">
        <v>400</v>
      </c>
      <c r="CS516">
        <v>0</v>
      </c>
      <c r="CT516" t="s">
        <v>400</v>
      </c>
      <c r="CV516">
        <v>0</v>
      </c>
      <c r="CX516" t="s">
        <v>403</v>
      </c>
      <c r="CY516" t="s">
        <v>400</v>
      </c>
      <c r="DA516">
        <v>0</v>
      </c>
      <c r="DB516">
        <v>0</v>
      </c>
      <c r="DC516">
        <v>0</v>
      </c>
      <c r="DK516" t="s">
        <v>9943</v>
      </c>
      <c r="DM516" t="s">
        <v>2028</v>
      </c>
      <c r="EN516">
        <v>0</v>
      </c>
      <c r="HN516" t="s">
        <v>742</v>
      </c>
      <c r="HO516" t="s">
        <v>742</v>
      </c>
      <c r="HP516" t="s">
        <v>543</v>
      </c>
      <c r="HQ516" t="s">
        <v>1412</v>
      </c>
      <c r="HR516" t="s">
        <v>395</v>
      </c>
      <c r="HS516" t="s">
        <v>9962</v>
      </c>
      <c r="HT516" t="s">
        <v>9963</v>
      </c>
      <c r="HU516" t="s">
        <v>395</v>
      </c>
      <c r="HV516" t="s">
        <v>9962</v>
      </c>
      <c r="HW516" t="s">
        <v>9964</v>
      </c>
      <c r="HX516" t="s">
        <v>392</v>
      </c>
      <c r="HY516" t="s">
        <v>3273</v>
      </c>
      <c r="HZ516" t="s">
        <v>566</v>
      </c>
      <c r="IA516" t="s">
        <v>9964</v>
      </c>
      <c r="IB516" t="s">
        <v>1350</v>
      </c>
      <c r="IC516" t="s">
        <v>402</v>
      </c>
      <c r="ID516" t="s">
        <v>3519</v>
      </c>
      <c r="IE516" t="s">
        <v>1008</v>
      </c>
      <c r="IF516" t="s">
        <v>2177</v>
      </c>
      <c r="IG516" t="s">
        <v>2007</v>
      </c>
      <c r="IM516" t="s">
        <v>395</v>
      </c>
      <c r="IN516" t="s">
        <v>5045</v>
      </c>
      <c r="IO516" t="s">
        <v>395</v>
      </c>
      <c r="IP516" t="s">
        <v>402</v>
      </c>
      <c r="IQ516" t="s">
        <v>3522</v>
      </c>
    </row>
    <row r="517" spans="1:303" x14ac:dyDescent="0.25">
      <c r="A517" t="s">
        <v>10000</v>
      </c>
      <c r="B517" t="str">
        <f>"801542093501"</f>
        <v>801542093501</v>
      </c>
      <c r="C517" t="s">
        <v>9948</v>
      </c>
      <c r="D517" t="s">
        <v>646</v>
      </c>
      <c r="E517" t="s">
        <v>2006</v>
      </c>
      <c r="F517" t="s">
        <v>2040</v>
      </c>
      <c r="G517" t="str">
        <f>"81.75"</f>
        <v>81.75</v>
      </c>
      <c r="H517" t="str">
        <f>"85.75"</f>
        <v>85.75</v>
      </c>
      <c r="I517" t="str">
        <f>"48"</f>
        <v>48</v>
      </c>
      <c r="J517" t="str">
        <f>"209.44"</f>
        <v>209.44</v>
      </c>
      <c r="K517" t="s">
        <v>9923</v>
      </c>
      <c r="L517" t="s">
        <v>9986</v>
      </c>
      <c r="N517" t="s">
        <v>1970</v>
      </c>
      <c r="O517" t="s">
        <v>372</v>
      </c>
      <c r="T517" t="s">
        <v>373</v>
      </c>
      <c r="U517" t="s">
        <v>373</v>
      </c>
      <c r="V517" t="s">
        <v>9987</v>
      </c>
      <c r="W517" t="s">
        <v>10001</v>
      </c>
      <c r="X517" t="s">
        <v>10002</v>
      </c>
      <c r="Y517" t="s">
        <v>10003</v>
      </c>
      <c r="Z517" t="s">
        <v>10004</v>
      </c>
      <c r="AA517" t="s">
        <v>10005</v>
      </c>
      <c r="AB517" t="s">
        <v>10006</v>
      </c>
      <c r="AC517" t="s">
        <v>10007</v>
      </c>
      <c r="AD517" t="s">
        <v>10008</v>
      </c>
      <c r="AE517" t="s">
        <v>10009</v>
      </c>
      <c r="AF517" t="s">
        <v>10010</v>
      </c>
      <c r="AG517" t="s">
        <v>10011</v>
      </c>
      <c r="AH517" t="s">
        <v>10012</v>
      </c>
      <c r="BA517" t="str">
        <f>"2999"</f>
        <v>2999</v>
      </c>
      <c r="BB517" t="str">
        <f>"1260"</f>
        <v>1260</v>
      </c>
      <c r="BC517" t="s">
        <v>665</v>
      </c>
      <c r="BD517" t="str">
        <f>"2"</f>
        <v>2</v>
      </c>
      <c r="BE517" t="s">
        <v>9942</v>
      </c>
      <c r="BF517" t="str">
        <f>"87.01"</f>
        <v>87.01</v>
      </c>
      <c r="BG517" t="str">
        <f>"52.36"</f>
        <v>52.36</v>
      </c>
      <c r="BH517" t="str">
        <f>"9.84"</f>
        <v>9.84</v>
      </c>
      <c r="BI517" t="str">
        <f>"207.23"</f>
        <v>207.23</v>
      </c>
      <c r="BJ517" t="s">
        <v>9942</v>
      </c>
      <c r="BK517" t="str">
        <f>"87.01"</f>
        <v>87.01</v>
      </c>
      <c r="BL517" t="str">
        <f>"12.2"</f>
        <v>12.2</v>
      </c>
      <c r="BM517" t="str">
        <f>"8.46"</f>
        <v>8.46</v>
      </c>
      <c r="BN517" t="str">
        <f>"59.52"</f>
        <v>59.52</v>
      </c>
      <c r="BY517" t="str">
        <f>"31.15"</f>
        <v>31.15</v>
      </c>
      <c r="BZ517" t="str">
        <f>"0.882"</f>
        <v>0.882</v>
      </c>
      <c r="CA517" t="s">
        <v>495</v>
      </c>
      <c r="CR517" t="s">
        <v>400</v>
      </c>
      <c r="CS517">
        <v>0</v>
      </c>
      <c r="CT517" t="s">
        <v>400</v>
      </c>
      <c r="CV517">
        <v>0</v>
      </c>
      <c r="CX517" t="s">
        <v>403</v>
      </c>
      <c r="CY517" t="s">
        <v>400</v>
      </c>
      <c r="DA517">
        <v>0</v>
      </c>
      <c r="DB517">
        <v>0</v>
      </c>
      <c r="DC517">
        <v>0</v>
      </c>
      <c r="DK517" t="s">
        <v>9943</v>
      </c>
      <c r="DM517" t="s">
        <v>2028</v>
      </c>
      <c r="EN517">
        <v>0</v>
      </c>
      <c r="HN517" t="s">
        <v>742</v>
      </c>
      <c r="HO517" t="s">
        <v>742</v>
      </c>
      <c r="HP517" t="s">
        <v>543</v>
      </c>
      <c r="HQ517" t="s">
        <v>1412</v>
      </c>
      <c r="HR517" t="s">
        <v>395</v>
      </c>
      <c r="HS517" t="s">
        <v>9982</v>
      </c>
      <c r="HT517" t="s">
        <v>9963</v>
      </c>
      <c r="HU517" t="s">
        <v>395</v>
      </c>
      <c r="HV517" t="s">
        <v>9982</v>
      </c>
      <c r="HW517" t="s">
        <v>9964</v>
      </c>
      <c r="HX517" t="s">
        <v>392</v>
      </c>
      <c r="HY517" t="s">
        <v>2173</v>
      </c>
      <c r="HZ517" t="s">
        <v>566</v>
      </c>
      <c r="IA517" t="s">
        <v>9964</v>
      </c>
      <c r="IB517" t="s">
        <v>1350</v>
      </c>
      <c r="IC517" t="s">
        <v>402</v>
      </c>
      <c r="ID517" t="s">
        <v>3519</v>
      </c>
      <c r="IE517" t="s">
        <v>1008</v>
      </c>
      <c r="IF517" t="s">
        <v>2177</v>
      </c>
      <c r="IG517" t="s">
        <v>2040</v>
      </c>
      <c r="IM517" t="s">
        <v>395</v>
      </c>
      <c r="IN517" t="s">
        <v>5045</v>
      </c>
      <c r="IO517" t="s">
        <v>395</v>
      </c>
      <c r="IP517" t="s">
        <v>402</v>
      </c>
      <c r="IQ517" t="s">
        <v>3522</v>
      </c>
    </row>
    <row r="518" spans="1:303" x14ac:dyDescent="0.25">
      <c r="A518" t="s">
        <v>10013</v>
      </c>
      <c r="B518" t="str">
        <f>"801542051778"</f>
        <v>801542051778</v>
      </c>
      <c r="C518" t="s">
        <v>10014</v>
      </c>
      <c r="D518" t="s">
        <v>1967</v>
      </c>
      <c r="E518" t="s">
        <v>1077</v>
      </c>
      <c r="G518" t="str">
        <f>"42"</f>
        <v>42</v>
      </c>
      <c r="H518" t="str">
        <f>"42"</f>
        <v>42</v>
      </c>
      <c r="I518" t="str">
        <f>"16"</f>
        <v>16</v>
      </c>
      <c r="J518" t="str">
        <f>"155.42"</f>
        <v>155.42</v>
      </c>
      <c r="K518" t="s">
        <v>7763</v>
      </c>
      <c r="L518" t="s">
        <v>10015</v>
      </c>
      <c r="M518" t="s">
        <v>7764</v>
      </c>
      <c r="N518" t="s">
        <v>6002</v>
      </c>
      <c r="O518" t="s">
        <v>10016</v>
      </c>
      <c r="P518" t="s">
        <v>372</v>
      </c>
      <c r="T518" t="s">
        <v>373</v>
      </c>
      <c r="U518" t="s">
        <v>373</v>
      </c>
      <c r="V518" t="s">
        <v>10017</v>
      </c>
      <c r="W518" t="s">
        <v>10018</v>
      </c>
      <c r="X518" t="s">
        <v>10019</v>
      </c>
      <c r="Y518" t="s">
        <v>10020</v>
      </c>
      <c r="Z518" t="s">
        <v>10021</v>
      </c>
      <c r="AA518" t="s">
        <v>10022</v>
      </c>
      <c r="AB518" t="s">
        <v>10023</v>
      </c>
      <c r="AC518" t="s">
        <v>10024</v>
      </c>
      <c r="AD518" t="s">
        <v>10025</v>
      </c>
      <c r="AE518" t="s">
        <v>10026</v>
      </c>
      <c r="AF518" t="s">
        <v>10027</v>
      </c>
      <c r="AG518" t="s">
        <v>10028</v>
      </c>
      <c r="AH518" t="s">
        <v>10029</v>
      </c>
      <c r="BA518" t="str">
        <f>"2599"</f>
        <v>2599</v>
      </c>
      <c r="BB518" t="str">
        <f>"1095"</f>
        <v>1095</v>
      </c>
      <c r="BC518" t="s">
        <v>388</v>
      </c>
      <c r="BD518" t="str">
        <f>"2"</f>
        <v>2</v>
      </c>
      <c r="BE518" t="s">
        <v>1089</v>
      </c>
      <c r="BF518" t="str">
        <f>"47.83"</f>
        <v>47.83</v>
      </c>
      <c r="BG518" t="str">
        <f>"8.46"</f>
        <v>8.46</v>
      </c>
      <c r="BH518" t="str">
        <f>"47.83"</f>
        <v>47.83</v>
      </c>
      <c r="BI518" t="str">
        <f>"180.78"</f>
        <v>180.78</v>
      </c>
      <c r="BJ518" t="s">
        <v>1090</v>
      </c>
      <c r="BK518" t="str">
        <f>"20.08"</f>
        <v>20.08</v>
      </c>
      <c r="BL518" t="str">
        <f>"20.47"</f>
        <v>20.47</v>
      </c>
      <c r="BM518" t="str">
        <f>"17.32"</f>
        <v>17.32</v>
      </c>
      <c r="BN518" t="str">
        <f>"48.5"</f>
        <v>48.5</v>
      </c>
      <c r="BY518" t="str">
        <f>"15.33"</f>
        <v>15.33</v>
      </c>
      <c r="BZ518" t="str">
        <f>"0.434"</f>
        <v>0.434</v>
      </c>
      <c r="CA518" t="s">
        <v>495</v>
      </c>
      <c r="CR518" t="s">
        <v>400</v>
      </c>
      <c r="CS518">
        <v>0</v>
      </c>
      <c r="CT518" t="s">
        <v>400</v>
      </c>
      <c r="CV518">
        <v>0</v>
      </c>
      <c r="CX518" t="s">
        <v>1980</v>
      </c>
      <c r="CY518" t="s">
        <v>400</v>
      </c>
      <c r="DC518">
        <v>0</v>
      </c>
      <c r="DJ518" t="s">
        <v>471</v>
      </c>
      <c r="DK518" t="s">
        <v>7774</v>
      </c>
      <c r="DM518" t="s">
        <v>473</v>
      </c>
      <c r="DX518" t="s">
        <v>10030</v>
      </c>
      <c r="EI518" t="s">
        <v>535</v>
      </c>
      <c r="EJ518" t="s">
        <v>10030</v>
      </c>
      <c r="EK518" t="s">
        <v>535</v>
      </c>
      <c r="EL518" t="s">
        <v>7587</v>
      </c>
      <c r="EM518" t="s">
        <v>402</v>
      </c>
      <c r="EN518">
        <v>0</v>
      </c>
      <c r="EO518">
        <v>0</v>
      </c>
      <c r="EX518" t="s">
        <v>10031</v>
      </c>
    </row>
    <row r="519" spans="1:303" x14ac:dyDescent="0.25">
      <c r="A519" t="s">
        <v>10032</v>
      </c>
      <c r="B519" t="str">
        <f>"801542106942"</f>
        <v>801542106942</v>
      </c>
      <c r="C519" t="s">
        <v>10033</v>
      </c>
      <c r="D519" t="s">
        <v>4843</v>
      </c>
      <c r="E519" t="s">
        <v>3813</v>
      </c>
      <c r="G519" t="str">
        <f>"84"</f>
        <v>84</v>
      </c>
      <c r="H519" t="str">
        <f>"20"</f>
        <v>20</v>
      </c>
      <c r="I519" t="str">
        <f>"94"</f>
        <v>94</v>
      </c>
      <c r="J519" t="str">
        <f>"367.12"</f>
        <v>367.12</v>
      </c>
      <c r="K519" t="s">
        <v>4845</v>
      </c>
      <c r="L519" t="s">
        <v>4844</v>
      </c>
      <c r="N519" t="s">
        <v>1424</v>
      </c>
      <c r="O519" t="s">
        <v>775</v>
      </c>
      <c r="T519" t="s">
        <v>373</v>
      </c>
      <c r="U519" t="s">
        <v>373</v>
      </c>
      <c r="V519" t="s">
        <v>10034</v>
      </c>
      <c r="W519" t="s">
        <v>10035</v>
      </c>
      <c r="X519" t="s">
        <v>10036</v>
      </c>
      <c r="Y519" t="s">
        <v>10037</v>
      </c>
      <c r="Z519" t="s">
        <v>10038</v>
      </c>
      <c r="AA519" t="s">
        <v>10039</v>
      </c>
      <c r="AB519" t="s">
        <v>10040</v>
      </c>
      <c r="AC519" t="s">
        <v>10041</v>
      </c>
      <c r="AD519" t="s">
        <v>10042</v>
      </c>
      <c r="AE519" t="s">
        <v>10043</v>
      </c>
      <c r="AF519" t="s">
        <v>10044</v>
      </c>
      <c r="AG519" t="s">
        <v>10045</v>
      </c>
      <c r="AH519" t="s">
        <v>10046</v>
      </c>
      <c r="AI519" t="s">
        <v>10047</v>
      </c>
      <c r="AJ519" t="s">
        <v>10048</v>
      </c>
      <c r="BA519" t="str">
        <f>"4299"</f>
        <v>4299</v>
      </c>
      <c r="BB519" t="str">
        <f>"1810"</f>
        <v>1810</v>
      </c>
      <c r="BC519" t="s">
        <v>949</v>
      </c>
      <c r="BD519" t="str">
        <f>"3"</f>
        <v>3</v>
      </c>
      <c r="BE519" t="s">
        <v>10049</v>
      </c>
      <c r="BF519" t="str">
        <f>"83.25"</f>
        <v>83.25</v>
      </c>
      <c r="BG519" t="str">
        <f>"21.75"</f>
        <v>21.75</v>
      </c>
      <c r="BH519" t="str">
        <f>"24"</f>
        <v>24</v>
      </c>
      <c r="BI519" t="str">
        <f>"175.49"</f>
        <v>175.49</v>
      </c>
      <c r="BJ519" t="s">
        <v>10050</v>
      </c>
      <c r="BK519" t="str">
        <f>"83.5"</f>
        <v>83.5</v>
      </c>
      <c r="BL519" t="str">
        <f>"21.25"</f>
        <v>21.25</v>
      </c>
      <c r="BM519" t="str">
        <f>"17.75"</f>
        <v>17.75</v>
      </c>
      <c r="BN519" t="str">
        <f>"172.95"</f>
        <v>172.95</v>
      </c>
      <c r="BO519" t="s">
        <v>5995</v>
      </c>
      <c r="BP519" t="str">
        <f>"91.75"</f>
        <v>91.75</v>
      </c>
      <c r="BQ519" t="str">
        <f>"6.5"</f>
        <v>6.5</v>
      </c>
      <c r="BR519" t="str">
        <f>"98"</f>
        <v>98</v>
      </c>
      <c r="BS519" t="str">
        <f>"122.47"</f>
        <v>122.47</v>
      </c>
      <c r="BY519" t="str">
        <f>"77.2"</f>
        <v>77.2</v>
      </c>
      <c r="BZ519" t="str">
        <f>"2.186"</f>
        <v>2.186</v>
      </c>
      <c r="CA519" t="s">
        <v>431</v>
      </c>
      <c r="CB519" t="s">
        <v>449</v>
      </c>
      <c r="CC519" t="s">
        <v>3599</v>
      </c>
      <c r="CD519" t="s">
        <v>3544</v>
      </c>
      <c r="CE519" t="s">
        <v>1055</v>
      </c>
      <c r="CF519" t="s">
        <v>10051</v>
      </c>
      <c r="CG519" t="s">
        <v>642</v>
      </c>
      <c r="CR519" t="s">
        <v>400</v>
      </c>
      <c r="CS519">
        <v>0</v>
      </c>
      <c r="CT519" t="s">
        <v>400</v>
      </c>
      <c r="CV519">
        <v>3</v>
      </c>
      <c r="CW519" t="s">
        <v>402</v>
      </c>
      <c r="CX519" t="s">
        <v>667</v>
      </c>
      <c r="CY519" t="s">
        <v>954</v>
      </c>
      <c r="DA519">
        <v>18.14</v>
      </c>
      <c r="DB519">
        <v>40</v>
      </c>
      <c r="DC519">
        <v>3</v>
      </c>
      <c r="DJ519" t="s">
        <v>5762</v>
      </c>
      <c r="DK519" t="s">
        <v>4864</v>
      </c>
      <c r="DX519" t="s">
        <v>433</v>
      </c>
      <c r="EM519" t="s">
        <v>402</v>
      </c>
      <c r="EN519">
        <v>7</v>
      </c>
      <c r="EZ519" t="s">
        <v>396</v>
      </c>
      <c r="FA519" t="s">
        <v>1040</v>
      </c>
      <c r="FB519" t="s">
        <v>10052</v>
      </c>
      <c r="FC519" t="s">
        <v>1056</v>
      </c>
      <c r="FD519" t="s">
        <v>3599</v>
      </c>
      <c r="FE519" t="s">
        <v>2083</v>
      </c>
      <c r="FG519" t="s">
        <v>402</v>
      </c>
      <c r="FH519" t="s">
        <v>959</v>
      </c>
      <c r="FI519">
        <v>6</v>
      </c>
      <c r="FJ519" t="s">
        <v>960</v>
      </c>
      <c r="FK519" t="s">
        <v>1246</v>
      </c>
      <c r="FM519" t="s">
        <v>402</v>
      </c>
      <c r="FO519" t="s">
        <v>984</v>
      </c>
      <c r="GB519" t="s">
        <v>1055</v>
      </c>
      <c r="GC519" t="s">
        <v>10051</v>
      </c>
      <c r="GD519" t="s">
        <v>642</v>
      </c>
      <c r="GR519" t="s">
        <v>1055</v>
      </c>
      <c r="GS519" t="s">
        <v>1055</v>
      </c>
      <c r="GT519" t="s">
        <v>10051</v>
      </c>
      <c r="GU519" t="s">
        <v>10051</v>
      </c>
      <c r="GV519" t="s">
        <v>642</v>
      </c>
      <c r="GW519" t="s">
        <v>642</v>
      </c>
      <c r="JY519" t="s">
        <v>511</v>
      </c>
      <c r="JZ519" t="s">
        <v>396</v>
      </c>
      <c r="KA519" t="s">
        <v>2083</v>
      </c>
      <c r="KL519" t="s">
        <v>511</v>
      </c>
      <c r="KM519" t="s">
        <v>511</v>
      </c>
      <c r="KN519" t="s">
        <v>396</v>
      </c>
      <c r="KO519" t="s">
        <v>396</v>
      </c>
      <c r="KP519" t="s">
        <v>2083</v>
      </c>
      <c r="KQ519" t="s">
        <v>2083</v>
      </c>
    </row>
    <row r="520" spans="1:303" x14ac:dyDescent="0.25">
      <c r="A520" t="s">
        <v>10053</v>
      </c>
      <c r="B520" t="str">
        <f>"801542250904"</f>
        <v>801542250904</v>
      </c>
      <c r="C520" t="s">
        <v>10054</v>
      </c>
      <c r="D520" t="s">
        <v>4843</v>
      </c>
      <c r="E520" t="s">
        <v>3813</v>
      </c>
      <c r="G520" t="str">
        <f>"84"</f>
        <v>84</v>
      </c>
      <c r="H520" t="str">
        <f>"20"</f>
        <v>20</v>
      </c>
      <c r="I520" t="str">
        <f>"94"</f>
        <v>94</v>
      </c>
      <c r="J520" t="str">
        <f>"367.12"</f>
        <v>367.12</v>
      </c>
      <c r="K520" t="s">
        <v>4869</v>
      </c>
      <c r="L520" t="s">
        <v>4868</v>
      </c>
      <c r="N520" t="s">
        <v>1424</v>
      </c>
      <c r="O520" t="s">
        <v>775</v>
      </c>
      <c r="T520" t="s">
        <v>373</v>
      </c>
      <c r="U520" t="s">
        <v>373</v>
      </c>
      <c r="V520" t="s">
        <v>10055</v>
      </c>
      <c r="W520" t="s">
        <v>10056</v>
      </c>
      <c r="X520" t="s">
        <v>10057</v>
      </c>
      <c r="Y520" t="s">
        <v>10058</v>
      </c>
      <c r="Z520" t="s">
        <v>10059</v>
      </c>
      <c r="AA520" t="s">
        <v>10060</v>
      </c>
      <c r="AB520" t="s">
        <v>10061</v>
      </c>
      <c r="AC520" t="s">
        <v>10062</v>
      </c>
      <c r="AD520" t="s">
        <v>10063</v>
      </c>
      <c r="AE520" t="s">
        <v>10064</v>
      </c>
      <c r="AF520" t="s">
        <v>10065</v>
      </c>
      <c r="AG520" t="s">
        <v>10066</v>
      </c>
      <c r="AH520" t="s">
        <v>10067</v>
      </c>
      <c r="AI520" t="s">
        <v>10068</v>
      </c>
      <c r="AJ520" t="s">
        <v>10069</v>
      </c>
      <c r="BA520" t="str">
        <f>"4299"</f>
        <v>4299</v>
      </c>
      <c r="BB520" t="str">
        <f>"1810"</f>
        <v>1810</v>
      </c>
      <c r="BC520" t="s">
        <v>949</v>
      </c>
      <c r="BD520" t="str">
        <f>"3"</f>
        <v>3</v>
      </c>
      <c r="BE520" t="s">
        <v>10049</v>
      </c>
      <c r="BF520" t="str">
        <f>"83.25"</f>
        <v>83.25</v>
      </c>
      <c r="BG520" t="str">
        <f>"21.75"</f>
        <v>21.75</v>
      </c>
      <c r="BH520" t="str">
        <f>"24"</f>
        <v>24</v>
      </c>
      <c r="BI520" t="str">
        <f>"175.49"</f>
        <v>175.49</v>
      </c>
      <c r="BJ520" t="s">
        <v>10050</v>
      </c>
      <c r="BK520" t="str">
        <f>"83.5"</f>
        <v>83.5</v>
      </c>
      <c r="BL520" t="str">
        <f>"21.25"</f>
        <v>21.25</v>
      </c>
      <c r="BM520" t="str">
        <f>"17.75"</f>
        <v>17.75</v>
      </c>
      <c r="BN520" t="str">
        <f>"172.95"</f>
        <v>172.95</v>
      </c>
      <c r="BO520" t="s">
        <v>5995</v>
      </c>
      <c r="BP520" t="str">
        <f>"91.75"</f>
        <v>91.75</v>
      </c>
      <c r="BQ520" t="str">
        <f>"6.5"</f>
        <v>6.5</v>
      </c>
      <c r="BR520" t="str">
        <f>"98"</f>
        <v>98</v>
      </c>
      <c r="BS520" t="str">
        <f>"122.47"</f>
        <v>122.47</v>
      </c>
      <c r="BY520" t="str">
        <f>"77.2"</f>
        <v>77.2</v>
      </c>
      <c r="BZ520" t="str">
        <f>"2.186"</f>
        <v>2.186</v>
      </c>
      <c r="CA520" t="s">
        <v>390</v>
      </c>
      <c r="CB520" t="s">
        <v>449</v>
      </c>
      <c r="CC520" t="s">
        <v>3599</v>
      </c>
      <c r="CD520" t="s">
        <v>3544</v>
      </c>
      <c r="CE520" t="s">
        <v>1055</v>
      </c>
      <c r="CF520" t="s">
        <v>10051</v>
      </c>
      <c r="CG520" t="s">
        <v>642</v>
      </c>
      <c r="CR520" t="s">
        <v>400</v>
      </c>
      <c r="CS520">
        <v>0</v>
      </c>
      <c r="CT520" t="s">
        <v>400</v>
      </c>
      <c r="CV520">
        <v>3</v>
      </c>
      <c r="CW520" t="s">
        <v>402</v>
      </c>
      <c r="CX520" t="s">
        <v>667</v>
      </c>
      <c r="CY520" t="s">
        <v>954</v>
      </c>
      <c r="DA520">
        <v>18.14</v>
      </c>
      <c r="DB520">
        <v>40</v>
      </c>
      <c r="DC520">
        <v>3</v>
      </c>
      <c r="DJ520" t="s">
        <v>5762</v>
      </c>
      <c r="DK520" t="s">
        <v>4864</v>
      </c>
      <c r="DX520" t="s">
        <v>433</v>
      </c>
      <c r="EM520" t="s">
        <v>402</v>
      </c>
      <c r="EN520">
        <v>7</v>
      </c>
      <c r="EZ520" t="s">
        <v>396</v>
      </c>
      <c r="FA520" t="s">
        <v>1040</v>
      </c>
      <c r="FB520" t="s">
        <v>10052</v>
      </c>
      <c r="FC520" t="s">
        <v>1056</v>
      </c>
      <c r="FD520" t="s">
        <v>3599</v>
      </c>
      <c r="FE520" t="s">
        <v>2083</v>
      </c>
      <c r="FG520" t="s">
        <v>402</v>
      </c>
      <c r="FH520" t="s">
        <v>959</v>
      </c>
      <c r="FI520">
        <v>6</v>
      </c>
      <c r="FJ520" t="s">
        <v>960</v>
      </c>
      <c r="FK520" t="s">
        <v>1246</v>
      </c>
      <c r="FM520" t="s">
        <v>402</v>
      </c>
      <c r="FO520" t="s">
        <v>984</v>
      </c>
      <c r="GB520" t="s">
        <v>1055</v>
      </c>
      <c r="GC520" t="s">
        <v>10051</v>
      </c>
      <c r="GD520" t="s">
        <v>642</v>
      </c>
      <c r="GR520" t="s">
        <v>1055</v>
      </c>
      <c r="GS520" t="s">
        <v>1055</v>
      </c>
      <c r="GT520" t="s">
        <v>10051</v>
      </c>
      <c r="GU520" t="s">
        <v>10051</v>
      </c>
      <c r="GV520" t="s">
        <v>642</v>
      </c>
      <c r="GW520" t="s">
        <v>642</v>
      </c>
      <c r="JY520" t="s">
        <v>511</v>
      </c>
      <c r="JZ520" t="s">
        <v>396</v>
      </c>
      <c r="KA520" t="s">
        <v>2083</v>
      </c>
      <c r="KL520" t="s">
        <v>511</v>
      </c>
      <c r="KM520" t="s">
        <v>511</v>
      </c>
      <c r="KN520" t="s">
        <v>396</v>
      </c>
      <c r="KO520" t="s">
        <v>396</v>
      </c>
      <c r="KP520" t="s">
        <v>2083</v>
      </c>
      <c r="KQ520" t="s">
        <v>2083</v>
      </c>
    </row>
    <row r="521" spans="1:303" x14ac:dyDescent="0.25">
      <c r="A521" t="s">
        <v>10070</v>
      </c>
      <c r="B521" t="str">
        <f>"801542192129"</f>
        <v>801542192129</v>
      </c>
      <c r="C521" t="s">
        <v>10071</v>
      </c>
      <c r="D521" t="s">
        <v>1276</v>
      </c>
      <c r="E521" t="s">
        <v>1021</v>
      </c>
      <c r="G521" t="str">
        <f>"78"</f>
        <v>78</v>
      </c>
      <c r="H521" t="str">
        <f>"18"</f>
        <v>18</v>
      </c>
      <c r="I521" t="str">
        <f>"26"</f>
        <v>26</v>
      </c>
      <c r="J521" t="str">
        <f>"170.42"</f>
        <v>170.42</v>
      </c>
      <c r="K521" t="s">
        <v>10072</v>
      </c>
      <c r="L521" t="s">
        <v>414</v>
      </c>
      <c r="N521" t="s">
        <v>1970</v>
      </c>
      <c r="O521" t="s">
        <v>416</v>
      </c>
      <c r="P521" t="s">
        <v>372</v>
      </c>
      <c r="T521" t="s">
        <v>373</v>
      </c>
      <c r="U521" t="s">
        <v>373</v>
      </c>
      <c r="V521" t="s">
        <v>10073</v>
      </c>
      <c r="W521" t="s">
        <v>10074</v>
      </c>
      <c r="X521" t="s">
        <v>10075</v>
      </c>
      <c r="Y521" t="s">
        <v>10076</v>
      </c>
      <c r="Z521" t="s">
        <v>10077</v>
      </c>
      <c r="AA521" t="s">
        <v>10078</v>
      </c>
      <c r="AB521" t="s">
        <v>10079</v>
      </c>
      <c r="AC521" t="s">
        <v>10080</v>
      </c>
      <c r="AD521" t="s">
        <v>10081</v>
      </c>
      <c r="AE521" t="s">
        <v>10082</v>
      </c>
      <c r="AF521" t="s">
        <v>10083</v>
      </c>
      <c r="AG521" t="s">
        <v>10084</v>
      </c>
      <c r="AH521" t="s">
        <v>10085</v>
      </c>
      <c r="AI521" t="s">
        <v>10086</v>
      </c>
      <c r="AJ521" t="s">
        <v>10087</v>
      </c>
      <c r="AK521" t="s">
        <v>10088</v>
      </c>
      <c r="AL521" t="s">
        <v>10089</v>
      </c>
      <c r="BA521" t="str">
        <f>"2299"</f>
        <v>2299</v>
      </c>
      <c r="BB521" t="str">
        <f>"970"</f>
        <v>970</v>
      </c>
      <c r="BC521" t="s">
        <v>665</v>
      </c>
      <c r="BD521" t="str">
        <f>"1"</f>
        <v>1</v>
      </c>
      <c r="BE521" t="s">
        <v>10090</v>
      </c>
      <c r="BF521" t="str">
        <f>"81.69"</f>
        <v>81.69</v>
      </c>
      <c r="BG521" t="str">
        <f>"26.77"</f>
        <v>26.77</v>
      </c>
      <c r="BH521" t="str">
        <f>"21.65"</f>
        <v>21.65</v>
      </c>
      <c r="BI521" t="str">
        <f>"211.2"</f>
        <v>211.2</v>
      </c>
      <c r="BY521" t="str">
        <f>"27.4"</f>
        <v>27.4</v>
      </c>
      <c r="BZ521" t="str">
        <f>"0.776"</f>
        <v>0.776</v>
      </c>
      <c r="CA521" t="s">
        <v>431</v>
      </c>
      <c r="CE521" t="s">
        <v>10091</v>
      </c>
      <c r="CF521" t="s">
        <v>396</v>
      </c>
      <c r="CG521" t="s">
        <v>6563</v>
      </c>
      <c r="CR521" t="s">
        <v>400</v>
      </c>
      <c r="CS521">
        <v>0</v>
      </c>
      <c r="CT521" t="s">
        <v>400</v>
      </c>
      <c r="CV521">
        <v>0</v>
      </c>
      <c r="CX521" t="s">
        <v>1980</v>
      </c>
      <c r="CY521" t="s">
        <v>954</v>
      </c>
      <c r="DA521">
        <v>18.14</v>
      </c>
      <c r="DB521">
        <v>40</v>
      </c>
      <c r="DC521">
        <v>3</v>
      </c>
      <c r="DK521" t="s">
        <v>10092</v>
      </c>
      <c r="DX521" t="s">
        <v>3079</v>
      </c>
      <c r="EM521" t="s">
        <v>402</v>
      </c>
      <c r="EN521">
        <v>3</v>
      </c>
      <c r="EZ521" t="s">
        <v>10093</v>
      </c>
      <c r="FA521" t="s">
        <v>956</v>
      </c>
      <c r="FB521" t="s">
        <v>10094</v>
      </c>
      <c r="FC521" t="s">
        <v>10091</v>
      </c>
      <c r="FD521" t="s">
        <v>956</v>
      </c>
      <c r="FE521" t="s">
        <v>6563</v>
      </c>
      <c r="FG521" t="s">
        <v>402</v>
      </c>
      <c r="FH521" t="s">
        <v>959</v>
      </c>
      <c r="FI521">
        <v>6</v>
      </c>
      <c r="FJ521" t="s">
        <v>960</v>
      </c>
      <c r="FK521" t="s">
        <v>961</v>
      </c>
      <c r="FM521" t="s">
        <v>402</v>
      </c>
      <c r="FO521" t="s">
        <v>984</v>
      </c>
      <c r="GB521" t="s">
        <v>10091</v>
      </c>
      <c r="GC521" t="s">
        <v>396</v>
      </c>
      <c r="GD521" t="s">
        <v>10095</v>
      </c>
      <c r="GE521">
        <v>0</v>
      </c>
      <c r="GX521" t="s">
        <v>1357</v>
      </c>
      <c r="HE521" t="s">
        <v>10091</v>
      </c>
      <c r="HF521" t="s">
        <v>956</v>
      </c>
      <c r="HG521" t="s">
        <v>10095</v>
      </c>
      <c r="HI521" t="s">
        <v>402</v>
      </c>
    </row>
    <row r="522" spans="1:303" x14ac:dyDescent="0.25">
      <c r="A522" t="s">
        <v>10096</v>
      </c>
      <c r="B522" t="str">
        <f>"801542874988"</f>
        <v>801542874988</v>
      </c>
      <c r="C522" t="s">
        <v>10097</v>
      </c>
      <c r="D522" t="s">
        <v>7204</v>
      </c>
      <c r="E522" t="s">
        <v>1021</v>
      </c>
      <c r="G522" t="str">
        <f>"78"</f>
        <v>78</v>
      </c>
      <c r="H522" t="str">
        <f>"18"</f>
        <v>18</v>
      </c>
      <c r="I522" t="str">
        <f>"24"</f>
        <v>24</v>
      </c>
      <c r="J522" t="str">
        <f>"180.34"</f>
        <v>180.34</v>
      </c>
      <c r="K522" t="s">
        <v>10098</v>
      </c>
      <c r="L522" t="s">
        <v>10099</v>
      </c>
      <c r="M522" t="s">
        <v>10100</v>
      </c>
      <c r="N522" t="s">
        <v>7902</v>
      </c>
      <c r="O522" t="s">
        <v>6144</v>
      </c>
      <c r="P522" t="s">
        <v>6143</v>
      </c>
      <c r="T522" t="s">
        <v>373</v>
      </c>
      <c r="U522" t="s">
        <v>373</v>
      </c>
      <c r="V522" t="s">
        <v>10101</v>
      </c>
      <c r="W522" t="s">
        <v>10102</v>
      </c>
      <c r="X522" t="s">
        <v>10103</v>
      </c>
      <c r="Y522" t="s">
        <v>10104</v>
      </c>
      <c r="Z522" t="s">
        <v>10105</v>
      </c>
      <c r="AA522" t="s">
        <v>10106</v>
      </c>
      <c r="AB522" t="s">
        <v>10107</v>
      </c>
      <c r="AC522" t="s">
        <v>10108</v>
      </c>
      <c r="AD522" t="s">
        <v>10109</v>
      </c>
      <c r="AE522" t="s">
        <v>10110</v>
      </c>
      <c r="AF522" t="s">
        <v>10111</v>
      </c>
      <c r="AG522" t="s">
        <v>10112</v>
      </c>
      <c r="AH522" t="s">
        <v>10113</v>
      </c>
      <c r="BA522" t="str">
        <f>"2799"</f>
        <v>2799</v>
      </c>
      <c r="BB522" t="str">
        <f>"1180"</f>
        <v>1180</v>
      </c>
      <c r="BC522" t="s">
        <v>6158</v>
      </c>
      <c r="BD522" t="str">
        <f>"1"</f>
        <v>1</v>
      </c>
      <c r="BE522" t="s">
        <v>389</v>
      </c>
      <c r="BF522" t="str">
        <f>"82.28"</f>
        <v>82.28</v>
      </c>
      <c r="BG522" t="str">
        <f>"22.44"</f>
        <v>22.44</v>
      </c>
      <c r="BH522" t="str">
        <f>"29.92"</f>
        <v>29.92</v>
      </c>
      <c r="BI522" t="str">
        <f>"220.46"</f>
        <v>220.46</v>
      </c>
      <c r="BY522" t="str">
        <f>"31.96"</f>
        <v>31.96</v>
      </c>
      <c r="BZ522" t="str">
        <f>"0.905"</f>
        <v>0.905</v>
      </c>
      <c r="CA522" t="s">
        <v>495</v>
      </c>
      <c r="CE522" t="s">
        <v>5043</v>
      </c>
      <c r="CF522" t="s">
        <v>10114</v>
      </c>
      <c r="CG522" t="s">
        <v>10115</v>
      </c>
      <c r="CQ522" t="s">
        <v>438</v>
      </c>
      <c r="CR522" t="s">
        <v>400</v>
      </c>
      <c r="CS522">
        <v>0</v>
      </c>
      <c r="CT522" t="s">
        <v>400</v>
      </c>
      <c r="CV522">
        <v>0</v>
      </c>
      <c r="CX522" t="s">
        <v>1980</v>
      </c>
      <c r="CY522" t="s">
        <v>954</v>
      </c>
      <c r="DA522">
        <v>18.14</v>
      </c>
      <c r="DB522">
        <v>40</v>
      </c>
      <c r="DC522">
        <v>3</v>
      </c>
      <c r="DD522">
        <v>0</v>
      </c>
      <c r="DK522" t="s">
        <v>10116</v>
      </c>
      <c r="DX522" t="s">
        <v>475</v>
      </c>
      <c r="EN522">
        <v>3</v>
      </c>
      <c r="EZ522" t="s">
        <v>10117</v>
      </c>
      <c r="FA522" t="s">
        <v>1040</v>
      </c>
      <c r="FB522" t="s">
        <v>10118</v>
      </c>
      <c r="FC522" t="s">
        <v>979</v>
      </c>
      <c r="FD522" t="s">
        <v>1040</v>
      </c>
      <c r="FE522" t="s">
        <v>10115</v>
      </c>
      <c r="FG522" t="s">
        <v>402</v>
      </c>
      <c r="FH522" t="s">
        <v>959</v>
      </c>
      <c r="FI522">
        <v>6</v>
      </c>
      <c r="FJ522" t="s">
        <v>960</v>
      </c>
      <c r="FK522" t="s">
        <v>961</v>
      </c>
      <c r="FM522" t="s">
        <v>402</v>
      </c>
      <c r="FO522" t="s">
        <v>984</v>
      </c>
      <c r="GB522" t="s">
        <v>5043</v>
      </c>
      <c r="GC522" t="s">
        <v>10114</v>
      </c>
      <c r="GD522" t="s">
        <v>828</v>
      </c>
      <c r="GE522">
        <v>0</v>
      </c>
      <c r="GX522" t="s">
        <v>475</v>
      </c>
      <c r="HE522" t="s">
        <v>979</v>
      </c>
      <c r="HF522" t="s">
        <v>1040</v>
      </c>
      <c r="HG522" t="s">
        <v>828</v>
      </c>
      <c r="HI522" t="s">
        <v>402</v>
      </c>
    </row>
    <row r="523" spans="1:303" x14ac:dyDescent="0.25">
      <c r="A523" t="s">
        <v>10119</v>
      </c>
      <c r="B523" t="str">
        <f>"801542009977"</f>
        <v>801542009977</v>
      </c>
      <c r="C523" t="s">
        <v>10120</v>
      </c>
      <c r="D523" t="s">
        <v>1420</v>
      </c>
      <c r="E523" t="s">
        <v>1021</v>
      </c>
      <c r="G523" t="str">
        <f>"78"</f>
        <v>78</v>
      </c>
      <c r="H523" t="str">
        <f>"18"</f>
        <v>18</v>
      </c>
      <c r="I523" t="str">
        <f>"28"</f>
        <v>28</v>
      </c>
      <c r="J523" t="str">
        <f>"145.5"</f>
        <v>145.5</v>
      </c>
      <c r="K523" t="s">
        <v>10121</v>
      </c>
      <c r="L523" t="s">
        <v>10122</v>
      </c>
      <c r="N523" t="s">
        <v>372</v>
      </c>
      <c r="O523" t="s">
        <v>1970</v>
      </c>
      <c r="T523" t="s">
        <v>373</v>
      </c>
      <c r="U523" t="s">
        <v>373</v>
      </c>
      <c r="V523" t="s">
        <v>10123</v>
      </c>
      <c r="W523" t="s">
        <v>10124</v>
      </c>
      <c r="X523" t="s">
        <v>10125</v>
      </c>
      <c r="Y523" t="s">
        <v>10126</v>
      </c>
      <c r="Z523" t="s">
        <v>10127</v>
      </c>
      <c r="AA523" t="s">
        <v>10128</v>
      </c>
      <c r="AB523" t="s">
        <v>10129</v>
      </c>
      <c r="AC523" t="s">
        <v>10130</v>
      </c>
      <c r="AD523" t="s">
        <v>10131</v>
      </c>
      <c r="AE523" t="s">
        <v>10132</v>
      </c>
      <c r="AF523" t="s">
        <v>10133</v>
      </c>
      <c r="AG523" t="s">
        <v>10134</v>
      </c>
      <c r="AH523" t="s">
        <v>10135</v>
      </c>
      <c r="AI523" t="s">
        <v>10136</v>
      </c>
      <c r="AJ523" t="s">
        <v>10137</v>
      </c>
      <c r="BA523" t="str">
        <f>"1699"</f>
        <v>1699</v>
      </c>
      <c r="BB523" t="str">
        <f>"715"</f>
        <v>715</v>
      </c>
      <c r="BC523" t="s">
        <v>665</v>
      </c>
      <c r="BD523" t="str">
        <f>"1"</f>
        <v>1</v>
      </c>
      <c r="BE523" t="s">
        <v>389</v>
      </c>
      <c r="BF523" t="str">
        <f>"81.89"</f>
        <v>81.89</v>
      </c>
      <c r="BG523" t="str">
        <f>"21.65"</f>
        <v>21.65</v>
      </c>
      <c r="BH523" t="str">
        <f>"34.65"</f>
        <v>34.65</v>
      </c>
      <c r="BI523" t="str">
        <f>"181.44"</f>
        <v>181.44</v>
      </c>
      <c r="BY523" t="str">
        <f>"35.56"</f>
        <v>35.56</v>
      </c>
      <c r="BZ523" t="str">
        <f>"1.007"</f>
        <v>1.007</v>
      </c>
      <c r="CA523" t="s">
        <v>431</v>
      </c>
      <c r="CE523" t="s">
        <v>4675</v>
      </c>
      <c r="CF523" t="s">
        <v>8649</v>
      </c>
      <c r="CG523" t="s">
        <v>10138</v>
      </c>
      <c r="CR523" t="s">
        <v>400</v>
      </c>
      <c r="CS523">
        <v>0</v>
      </c>
      <c r="CT523" t="s">
        <v>400</v>
      </c>
      <c r="CV523">
        <v>0</v>
      </c>
      <c r="CX523" t="s">
        <v>1980</v>
      </c>
      <c r="CY523" t="s">
        <v>954</v>
      </c>
      <c r="DA523">
        <v>18.14</v>
      </c>
      <c r="DB523">
        <v>40</v>
      </c>
      <c r="DC523">
        <v>2</v>
      </c>
      <c r="DK523" t="s">
        <v>10139</v>
      </c>
      <c r="DX523" t="s">
        <v>2174</v>
      </c>
      <c r="EM523" t="s">
        <v>402</v>
      </c>
      <c r="EN523">
        <v>2</v>
      </c>
      <c r="EZ523" t="s">
        <v>743</v>
      </c>
      <c r="FA523" t="s">
        <v>3518</v>
      </c>
      <c r="FB523" t="s">
        <v>10140</v>
      </c>
      <c r="FC523" t="s">
        <v>4675</v>
      </c>
      <c r="FD523" t="s">
        <v>4614</v>
      </c>
      <c r="FE523" t="s">
        <v>10138</v>
      </c>
      <c r="FG523" t="s">
        <v>402</v>
      </c>
      <c r="FH523" t="s">
        <v>959</v>
      </c>
      <c r="FI523">
        <v>4</v>
      </c>
      <c r="FJ523" t="s">
        <v>960</v>
      </c>
      <c r="FK523" t="s">
        <v>961</v>
      </c>
      <c r="FM523" t="s">
        <v>402</v>
      </c>
      <c r="FO523" t="s">
        <v>984</v>
      </c>
      <c r="GB523" t="s">
        <v>4675</v>
      </c>
      <c r="GC523" t="s">
        <v>8649</v>
      </c>
      <c r="GD523" t="s">
        <v>10138</v>
      </c>
      <c r="GE523">
        <v>0</v>
      </c>
      <c r="GX523" t="s">
        <v>392</v>
      </c>
      <c r="HI523" t="s">
        <v>402</v>
      </c>
    </row>
    <row r="524" spans="1:303" x14ac:dyDescent="0.25">
      <c r="A524" t="s">
        <v>10141</v>
      </c>
      <c r="B524" t="str">
        <f>"801542026820"</f>
        <v>801542026820</v>
      </c>
      <c r="C524" t="s">
        <v>10142</v>
      </c>
      <c r="D524" t="s">
        <v>929</v>
      </c>
      <c r="E524" t="s">
        <v>1021</v>
      </c>
      <c r="G524" t="str">
        <f>"78"</f>
        <v>78</v>
      </c>
      <c r="H524" t="str">
        <f>"18"</f>
        <v>18</v>
      </c>
      <c r="I524" t="str">
        <f>"27"</f>
        <v>27</v>
      </c>
      <c r="J524" t="str">
        <f>"155.42"</f>
        <v>155.42</v>
      </c>
      <c r="K524" t="s">
        <v>10143</v>
      </c>
      <c r="N524" t="s">
        <v>10144</v>
      </c>
      <c r="T524" t="s">
        <v>402</v>
      </c>
      <c r="U524" t="s">
        <v>373</v>
      </c>
      <c r="V524" t="s">
        <v>10145</v>
      </c>
      <c r="W524" t="s">
        <v>10146</v>
      </c>
      <c r="X524" t="s">
        <v>10147</v>
      </c>
      <c r="Y524" t="s">
        <v>10148</v>
      </c>
      <c r="Z524" t="s">
        <v>10149</v>
      </c>
      <c r="AA524" t="s">
        <v>10150</v>
      </c>
      <c r="AB524" t="s">
        <v>10151</v>
      </c>
      <c r="AC524" t="s">
        <v>10152</v>
      </c>
      <c r="AD524" t="s">
        <v>10153</v>
      </c>
      <c r="AE524" t="s">
        <v>10154</v>
      </c>
      <c r="AF524" t="s">
        <v>10155</v>
      </c>
      <c r="AG524" t="s">
        <v>10156</v>
      </c>
      <c r="AH524" t="s">
        <v>10157</v>
      </c>
      <c r="AI524" t="s">
        <v>10158</v>
      </c>
      <c r="AJ524" t="s">
        <v>10159</v>
      </c>
      <c r="BA524" t="str">
        <f>"1999"</f>
        <v>1999</v>
      </c>
      <c r="BB524" t="str">
        <f>"840"</f>
        <v>840</v>
      </c>
      <c r="BC524" t="s">
        <v>949</v>
      </c>
      <c r="BD524" t="str">
        <f>"1"</f>
        <v>1</v>
      </c>
      <c r="BE524" t="s">
        <v>389</v>
      </c>
      <c r="BF524" t="str">
        <f>"81.75"</f>
        <v>81.75</v>
      </c>
      <c r="BG524" t="str">
        <f>"22.75"</f>
        <v>22.75</v>
      </c>
      <c r="BH524" t="str">
        <f>"31.5"</f>
        <v>31.5</v>
      </c>
      <c r="BI524" t="str">
        <f>"184.64"</f>
        <v>184.64</v>
      </c>
      <c r="BY524" t="str">
        <f>"33.9"</f>
        <v>33.9</v>
      </c>
      <c r="BZ524" t="str">
        <f>"0.96"</f>
        <v>0.96</v>
      </c>
      <c r="CA524" t="s">
        <v>431</v>
      </c>
      <c r="CE524" t="s">
        <v>474</v>
      </c>
      <c r="CF524" t="s">
        <v>10160</v>
      </c>
      <c r="CG524" t="s">
        <v>4033</v>
      </c>
      <c r="CR524" t="s">
        <v>400</v>
      </c>
      <c r="CS524">
        <v>0</v>
      </c>
      <c r="CT524" t="s">
        <v>400</v>
      </c>
      <c r="CV524">
        <v>0</v>
      </c>
      <c r="CX524" t="s">
        <v>667</v>
      </c>
      <c r="CY524" t="s">
        <v>954</v>
      </c>
      <c r="DA524">
        <v>18.14</v>
      </c>
      <c r="DB524">
        <v>40</v>
      </c>
      <c r="DC524">
        <v>2</v>
      </c>
      <c r="DK524" t="s">
        <v>10161</v>
      </c>
      <c r="DX524" t="s">
        <v>827</v>
      </c>
      <c r="EN524">
        <v>2</v>
      </c>
      <c r="EZ524" t="s">
        <v>638</v>
      </c>
      <c r="FA524" t="s">
        <v>1040</v>
      </c>
      <c r="FB524" t="s">
        <v>1554</v>
      </c>
      <c r="FC524" t="s">
        <v>979</v>
      </c>
      <c r="FD524" t="s">
        <v>637</v>
      </c>
      <c r="FE524" t="s">
        <v>4033</v>
      </c>
      <c r="FG524" t="s">
        <v>402</v>
      </c>
      <c r="FH524" t="s">
        <v>959</v>
      </c>
      <c r="FI524">
        <v>4</v>
      </c>
      <c r="FJ524" t="s">
        <v>960</v>
      </c>
      <c r="FK524" t="s">
        <v>961</v>
      </c>
      <c r="FM524" t="s">
        <v>402</v>
      </c>
      <c r="FO524" t="s">
        <v>984</v>
      </c>
      <c r="GB524" t="s">
        <v>474</v>
      </c>
      <c r="GC524" t="s">
        <v>10160</v>
      </c>
      <c r="GD524" t="s">
        <v>4033</v>
      </c>
      <c r="GE524">
        <v>0</v>
      </c>
      <c r="HI524" t="s">
        <v>402</v>
      </c>
    </row>
    <row r="525" spans="1:303" x14ac:dyDescent="0.25">
      <c r="A525" t="s">
        <v>10162</v>
      </c>
      <c r="B525" t="str">
        <f>"801542056384"</f>
        <v>801542056384</v>
      </c>
      <c r="C525" t="s">
        <v>10163</v>
      </c>
      <c r="D525" t="s">
        <v>1276</v>
      </c>
      <c r="E525" t="s">
        <v>2006</v>
      </c>
      <c r="F525" t="s">
        <v>2040</v>
      </c>
      <c r="G525" t="str">
        <f>"80"</f>
        <v>80</v>
      </c>
      <c r="H525" t="str">
        <f>"90"</f>
        <v>90</v>
      </c>
      <c r="I525" t="str">
        <f>"48"</f>
        <v>48</v>
      </c>
      <c r="J525" t="str">
        <f>"228.18"</f>
        <v>228.18</v>
      </c>
      <c r="K525" t="s">
        <v>1576</v>
      </c>
      <c r="L525" t="s">
        <v>4748</v>
      </c>
      <c r="M525" t="s">
        <v>10164</v>
      </c>
      <c r="N525" t="s">
        <v>416</v>
      </c>
      <c r="O525" t="s">
        <v>519</v>
      </c>
      <c r="P525" t="s">
        <v>6858</v>
      </c>
      <c r="T525" t="s">
        <v>373</v>
      </c>
      <c r="U525" t="s">
        <v>373</v>
      </c>
      <c r="V525" t="s">
        <v>10165</v>
      </c>
      <c r="W525" t="s">
        <v>10166</v>
      </c>
      <c r="X525" t="s">
        <v>10167</v>
      </c>
      <c r="Y525" t="s">
        <v>10168</v>
      </c>
      <c r="Z525" t="s">
        <v>10169</v>
      </c>
      <c r="AA525" t="s">
        <v>10170</v>
      </c>
      <c r="AB525" t="s">
        <v>10171</v>
      </c>
      <c r="AC525" t="s">
        <v>10172</v>
      </c>
      <c r="AD525" t="s">
        <v>10173</v>
      </c>
      <c r="AE525" t="s">
        <v>10174</v>
      </c>
      <c r="AF525" t="s">
        <v>10175</v>
      </c>
      <c r="AG525" t="s">
        <v>10176</v>
      </c>
      <c r="AH525" t="s">
        <v>10177</v>
      </c>
      <c r="AI525" t="s">
        <v>10178</v>
      </c>
      <c r="AJ525" t="s">
        <v>10179</v>
      </c>
      <c r="AK525" t="s">
        <v>10180</v>
      </c>
      <c r="AL525" t="s">
        <v>10181</v>
      </c>
      <c r="AM525" t="s">
        <v>10182</v>
      </c>
      <c r="AN525" t="s">
        <v>10183</v>
      </c>
      <c r="AO525" t="s">
        <v>10184</v>
      </c>
      <c r="BA525" t="str">
        <f>"2799"</f>
        <v>2799</v>
      </c>
      <c r="BB525" t="str">
        <f>"1180"</f>
        <v>1180</v>
      </c>
      <c r="BC525" t="s">
        <v>665</v>
      </c>
      <c r="BD525" t="str">
        <f>"2"</f>
        <v>2</v>
      </c>
      <c r="BE525" t="s">
        <v>10185</v>
      </c>
      <c r="BF525" t="str">
        <f>"84.65"</f>
        <v>84.65</v>
      </c>
      <c r="BG525" t="str">
        <f>"52.36"</f>
        <v>52.36</v>
      </c>
      <c r="BH525" t="str">
        <f>"12.8"</f>
        <v>12.8</v>
      </c>
      <c r="BI525" t="str">
        <f>"139.33"</f>
        <v>139.33</v>
      </c>
      <c r="BJ525" t="s">
        <v>10185</v>
      </c>
      <c r="BK525" t="str">
        <f>"88.58"</f>
        <v>88.58</v>
      </c>
      <c r="BL525" t="str">
        <f>"18.5"</f>
        <v>18.5</v>
      </c>
      <c r="BM525" t="str">
        <f>"8.27"</f>
        <v>8.27</v>
      </c>
      <c r="BN525" t="str">
        <f>"123.46"</f>
        <v>123.46</v>
      </c>
      <c r="BY525" t="str">
        <f>"40.65"</f>
        <v>40.65</v>
      </c>
      <c r="BZ525" t="str">
        <f>"1.151"</f>
        <v>1.151</v>
      </c>
      <c r="CA525" t="s">
        <v>431</v>
      </c>
      <c r="CQ525" t="s">
        <v>438</v>
      </c>
      <c r="CR525" t="s">
        <v>400</v>
      </c>
      <c r="CS525">
        <v>0</v>
      </c>
      <c r="CT525" t="s">
        <v>400</v>
      </c>
      <c r="CV525">
        <v>0</v>
      </c>
      <c r="CX525" t="s">
        <v>1980</v>
      </c>
      <c r="CY525" t="s">
        <v>400</v>
      </c>
      <c r="DA525">
        <v>0</v>
      </c>
      <c r="DB525">
        <v>0</v>
      </c>
      <c r="DC525">
        <v>0</v>
      </c>
      <c r="DD525">
        <v>0</v>
      </c>
      <c r="DK525" t="s">
        <v>8549</v>
      </c>
      <c r="DM525" t="s">
        <v>2028</v>
      </c>
      <c r="EN525">
        <v>0</v>
      </c>
      <c r="HN525" t="s">
        <v>10186</v>
      </c>
      <c r="HO525" t="s">
        <v>3188</v>
      </c>
      <c r="HP525" t="s">
        <v>3188</v>
      </c>
      <c r="HQ525" t="s">
        <v>5832</v>
      </c>
      <c r="HR525" t="s">
        <v>637</v>
      </c>
      <c r="HS525" t="s">
        <v>3255</v>
      </c>
      <c r="HT525" t="s">
        <v>9963</v>
      </c>
      <c r="HU525" t="s">
        <v>3188</v>
      </c>
      <c r="HV525" t="s">
        <v>3544</v>
      </c>
      <c r="HW525" t="s">
        <v>2171</v>
      </c>
      <c r="HX525" t="s">
        <v>1357</v>
      </c>
      <c r="HY525" t="s">
        <v>3255</v>
      </c>
      <c r="HZ525" t="s">
        <v>3188</v>
      </c>
      <c r="IA525" t="s">
        <v>10187</v>
      </c>
      <c r="IB525" t="s">
        <v>637</v>
      </c>
      <c r="IC525" t="s">
        <v>402</v>
      </c>
      <c r="ID525" t="s">
        <v>3519</v>
      </c>
      <c r="IE525" t="s">
        <v>2037</v>
      </c>
      <c r="IF525" t="s">
        <v>2177</v>
      </c>
      <c r="IG525" t="s">
        <v>2040</v>
      </c>
      <c r="IM525" t="s">
        <v>395</v>
      </c>
      <c r="IN525" t="s">
        <v>5878</v>
      </c>
      <c r="IP525" t="s">
        <v>402</v>
      </c>
      <c r="IQ525" t="s">
        <v>3522</v>
      </c>
    </row>
    <row r="526" spans="1:303" x14ac:dyDescent="0.25">
      <c r="A526" t="s">
        <v>10188</v>
      </c>
      <c r="B526" t="str">
        <f>"801542056391"</f>
        <v>801542056391</v>
      </c>
      <c r="C526" t="s">
        <v>10189</v>
      </c>
      <c r="D526" t="s">
        <v>1276</v>
      </c>
      <c r="E526" t="s">
        <v>2006</v>
      </c>
      <c r="F526" t="s">
        <v>2007</v>
      </c>
      <c r="G526" t="str">
        <f>"64"</f>
        <v>64</v>
      </c>
      <c r="H526" t="str">
        <f>"90"</f>
        <v>90</v>
      </c>
      <c r="I526" t="str">
        <f>"48"</f>
        <v>48</v>
      </c>
      <c r="J526" t="str">
        <f>"189.6"</f>
        <v>189.6</v>
      </c>
      <c r="K526" t="s">
        <v>10190</v>
      </c>
      <c r="L526" t="s">
        <v>4748</v>
      </c>
      <c r="M526" t="s">
        <v>10164</v>
      </c>
      <c r="N526" t="s">
        <v>416</v>
      </c>
      <c r="O526" t="s">
        <v>519</v>
      </c>
      <c r="P526" t="s">
        <v>6858</v>
      </c>
      <c r="T526" t="s">
        <v>373</v>
      </c>
      <c r="U526" t="s">
        <v>373</v>
      </c>
      <c r="V526" t="s">
        <v>10165</v>
      </c>
      <c r="W526" t="s">
        <v>10191</v>
      </c>
      <c r="X526" t="s">
        <v>10192</v>
      </c>
      <c r="Y526" t="s">
        <v>10193</v>
      </c>
      <c r="Z526" t="s">
        <v>10194</v>
      </c>
      <c r="AA526" t="s">
        <v>10195</v>
      </c>
      <c r="AB526" t="s">
        <v>10196</v>
      </c>
      <c r="AC526" t="s">
        <v>10197</v>
      </c>
      <c r="AD526" t="s">
        <v>10198</v>
      </c>
      <c r="AE526" t="s">
        <v>10199</v>
      </c>
      <c r="AF526" t="s">
        <v>10200</v>
      </c>
      <c r="AG526" t="s">
        <v>10201</v>
      </c>
      <c r="AH526" t="s">
        <v>10202</v>
      </c>
      <c r="AI526" t="s">
        <v>10203</v>
      </c>
      <c r="AJ526" t="s">
        <v>10204</v>
      </c>
      <c r="AK526" t="s">
        <v>10205</v>
      </c>
      <c r="AL526" t="s">
        <v>10206</v>
      </c>
      <c r="AM526" t="s">
        <v>10207</v>
      </c>
      <c r="AN526" t="s">
        <v>10208</v>
      </c>
      <c r="AO526" t="s">
        <v>10209</v>
      </c>
      <c r="AP526" t="s">
        <v>10210</v>
      </c>
      <c r="BA526" t="str">
        <f>"2499"</f>
        <v>2499</v>
      </c>
      <c r="BB526" t="str">
        <f>"1050"</f>
        <v>1050</v>
      </c>
      <c r="BC526" t="s">
        <v>665</v>
      </c>
      <c r="BD526" t="str">
        <f>"2"</f>
        <v>2</v>
      </c>
      <c r="BE526" t="s">
        <v>10185</v>
      </c>
      <c r="BF526" t="str">
        <f>"68.5"</f>
        <v>68.5</v>
      </c>
      <c r="BG526" t="str">
        <f>"52.36"</f>
        <v>52.36</v>
      </c>
      <c r="BH526" t="str">
        <f>"12.8"</f>
        <v>12.8</v>
      </c>
      <c r="BI526" t="str">
        <f>"125.66"</f>
        <v>125.66</v>
      </c>
      <c r="BJ526" t="s">
        <v>10185</v>
      </c>
      <c r="BK526" t="str">
        <f>"86.61"</f>
        <v>86.61</v>
      </c>
      <c r="BL526" t="str">
        <f>"19.88"</f>
        <v>19.88</v>
      </c>
      <c r="BM526" t="str">
        <f>"8.66"</f>
        <v>8.66</v>
      </c>
      <c r="BN526" t="str">
        <f>"100.31"</f>
        <v>100.31</v>
      </c>
      <c r="BY526" t="str">
        <f>"35.17"</f>
        <v>35.17</v>
      </c>
      <c r="BZ526" t="str">
        <f>"0.996"</f>
        <v>0.996</v>
      </c>
      <c r="CA526" t="s">
        <v>495</v>
      </c>
      <c r="CQ526" t="s">
        <v>438</v>
      </c>
      <c r="CR526" t="s">
        <v>400</v>
      </c>
      <c r="CS526">
        <v>0</v>
      </c>
      <c r="CT526" t="s">
        <v>400</v>
      </c>
      <c r="CV526">
        <v>0</v>
      </c>
      <c r="CX526" t="s">
        <v>1980</v>
      </c>
      <c r="CY526" t="s">
        <v>400</v>
      </c>
      <c r="DA526">
        <v>0</v>
      </c>
      <c r="DB526">
        <v>0</v>
      </c>
      <c r="DC526">
        <v>0</v>
      </c>
      <c r="DD526">
        <v>0</v>
      </c>
      <c r="DK526" t="s">
        <v>8549</v>
      </c>
      <c r="DM526" t="s">
        <v>2028</v>
      </c>
      <c r="EN526">
        <v>0</v>
      </c>
      <c r="HN526" t="s">
        <v>10186</v>
      </c>
      <c r="HO526" t="s">
        <v>3188</v>
      </c>
      <c r="HP526" t="s">
        <v>3188</v>
      </c>
      <c r="HQ526" t="s">
        <v>5832</v>
      </c>
      <c r="HR526" t="s">
        <v>637</v>
      </c>
      <c r="HS526" t="s">
        <v>3273</v>
      </c>
      <c r="HT526" t="s">
        <v>9963</v>
      </c>
      <c r="HU526" t="s">
        <v>3188</v>
      </c>
      <c r="HV526" t="s">
        <v>10211</v>
      </c>
      <c r="HW526" t="s">
        <v>2171</v>
      </c>
      <c r="HX526" t="s">
        <v>1357</v>
      </c>
      <c r="HY526" t="s">
        <v>3273</v>
      </c>
      <c r="HZ526" t="s">
        <v>3188</v>
      </c>
      <c r="IA526" t="s">
        <v>10187</v>
      </c>
      <c r="IB526" t="s">
        <v>637</v>
      </c>
      <c r="IC526" t="s">
        <v>402</v>
      </c>
      <c r="ID526" t="s">
        <v>3519</v>
      </c>
      <c r="IE526" t="s">
        <v>2037</v>
      </c>
      <c r="IF526" t="s">
        <v>2177</v>
      </c>
      <c r="IG526" t="s">
        <v>2007</v>
      </c>
      <c r="IM526" t="s">
        <v>395</v>
      </c>
      <c r="IN526" t="s">
        <v>5878</v>
      </c>
      <c r="IP526" t="s">
        <v>402</v>
      </c>
      <c r="IQ526" t="s">
        <v>3522</v>
      </c>
    </row>
    <row r="527" spans="1:303" x14ac:dyDescent="0.25">
      <c r="A527" t="s">
        <v>10212</v>
      </c>
      <c r="B527" t="str">
        <f>"198394018616"</f>
        <v>198394018616</v>
      </c>
      <c r="C527" t="s">
        <v>10213</v>
      </c>
      <c r="D527" t="s">
        <v>1276</v>
      </c>
      <c r="E527" t="s">
        <v>2006</v>
      </c>
      <c r="F527" t="s">
        <v>2007</v>
      </c>
      <c r="G527" t="str">
        <f>"64"</f>
        <v>64</v>
      </c>
      <c r="H527" t="str">
        <f>"90"</f>
        <v>90</v>
      </c>
      <c r="I527" t="str">
        <f>"48"</f>
        <v>48</v>
      </c>
      <c r="J527" t="str">
        <f>"189.6"</f>
        <v>189.6</v>
      </c>
      <c r="K527" t="s">
        <v>2310</v>
      </c>
      <c r="L527" t="s">
        <v>4748</v>
      </c>
      <c r="M527" t="s">
        <v>10164</v>
      </c>
      <c r="N527" t="s">
        <v>416</v>
      </c>
      <c r="O527" t="s">
        <v>519</v>
      </c>
      <c r="P527" t="s">
        <v>6858</v>
      </c>
      <c r="T527" t="s">
        <v>373</v>
      </c>
      <c r="U527" t="s">
        <v>373</v>
      </c>
      <c r="V527" t="s">
        <v>10214</v>
      </c>
      <c r="W527" t="s">
        <v>10215</v>
      </c>
      <c r="X527" t="s">
        <v>10216</v>
      </c>
      <c r="Y527" t="s">
        <v>10217</v>
      </c>
      <c r="Z527" t="s">
        <v>10218</v>
      </c>
      <c r="AA527" t="s">
        <v>10219</v>
      </c>
      <c r="AB527" t="s">
        <v>2319</v>
      </c>
      <c r="AC527" t="s">
        <v>10220</v>
      </c>
      <c r="AD527" t="s">
        <v>10221</v>
      </c>
      <c r="AE527" t="s">
        <v>10222</v>
      </c>
      <c r="AF527" t="s">
        <v>10223</v>
      </c>
      <c r="AG527" t="s">
        <v>10224</v>
      </c>
      <c r="AH527" t="s">
        <v>10225</v>
      </c>
      <c r="AI527" t="s">
        <v>10226</v>
      </c>
      <c r="BA527" t="str">
        <f>"2499"</f>
        <v>2499</v>
      </c>
      <c r="BB527" t="str">
        <f>"1050"</f>
        <v>1050</v>
      </c>
      <c r="BC527" t="s">
        <v>665</v>
      </c>
      <c r="BD527" t="str">
        <f>"2"</f>
        <v>2</v>
      </c>
      <c r="BE527" t="s">
        <v>6809</v>
      </c>
      <c r="BF527" t="str">
        <f>"68.5"</f>
        <v>68.5</v>
      </c>
      <c r="BG527" t="str">
        <f>"52.36"</f>
        <v>52.36</v>
      </c>
      <c r="BH527" t="str">
        <f>"12.8"</f>
        <v>12.8</v>
      </c>
      <c r="BI527" t="str">
        <f>"125.66"</f>
        <v>125.66</v>
      </c>
      <c r="BJ527" t="s">
        <v>10227</v>
      </c>
      <c r="BK527" t="str">
        <f>"86.61"</f>
        <v>86.61</v>
      </c>
      <c r="BL527" t="str">
        <f>"19.88"</f>
        <v>19.88</v>
      </c>
      <c r="BM527" t="str">
        <f>"8.66"</f>
        <v>8.66</v>
      </c>
      <c r="BN527" t="str">
        <f>"100.31"</f>
        <v>100.31</v>
      </c>
      <c r="BY527" t="str">
        <f>"35.17"</f>
        <v>35.17</v>
      </c>
      <c r="BZ527" t="str">
        <f>"0.996"</f>
        <v>0.996</v>
      </c>
      <c r="CA527" t="s">
        <v>495</v>
      </c>
      <c r="CQ527" t="s">
        <v>438</v>
      </c>
      <c r="CR527" t="s">
        <v>400</v>
      </c>
      <c r="CS527">
        <v>0</v>
      </c>
      <c r="CT527" t="s">
        <v>400</v>
      </c>
      <c r="CV527">
        <v>0</v>
      </c>
      <c r="CX527" t="s">
        <v>1980</v>
      </c>
      <c r="CY527" t="s">
        <v>400</v>
      </c>
      <c r="DA527">
        <v>0</v>
      </c>
      <c r="DB527">
        <v>0</v>
      </c>
      <c r="DC527">
        <v>0</v>
      </c>
      <c r="DD527">
        <v>0</v>
      </c>
      <c r="DK527" t="s">
        <v>8549</v>
      </c>
      <c r="DM527" t="s">
        <v>2028</v>
      </c>
      <c r="EN527">
        <v>0</v>
      </c>
      <c r="HN527" t="s">
        <v>10186</v>
      </c>
      <c r="HO527" t="s">
        <v>3188</v>
      </c>
      <c r="HP527" t="s">
        <v>3188</v>
      </c>
      <c r="HQ527" t="s">
        <v>5832</v>
      </c>
      <c r="HR527" t="s">
        <v>637</v>
      </c>
      <c r="HS527" t="s">
        <v>3273</v>
      </c>
      <c r="HT527" t="s">
        <v>9963</v>
      </c>
      <c r="HU527" t="s">
        <v>3188</v>
      </c>
      <c r="HV527" t="s">
        <v>10211</v>
      </c>
      <c r="HW527" t="s">
        <v>2171</v>
      </c>
      <c r="HX527" t="s">
        <v>1357</v>
      </c>
      <c r="HY527" t="s">
        <v>3273</v>
      </c>
      <c r="HZ527" t="s">
        <v>3188</v>
      </c>
      <c r="IA527" t="s">
        <v>10187</v>
      </c>
      <c r="IB527" t="s">
        <v>637</v>
      </c>
      <c r="IC527" t="s">
        <v>402</v>
      </c>
      <c r="ID527" t="s">
        <v>3519</v>
      </c>
      <c r="IE527" t="s">
        <v>2037</v>
      </c>
      <c r="IF527" t="s">
        <v>2177</v>
      </c>
      <c r="IG527" t="s">
        <v>2007</v>
      </c>
      <c r="IM527" t="s">
        <v>395</v>
      </c>
      <c r="IN527" t="s">
        <v>5878</v>
      </c>
      <c r="IP527" t="s">
        <v>402</v>
      </c>
      <c r="IQ527" t="s">
        <v>3522</v>
      </c>
    </row>
    <row r="528" spans="1:303" x14ac:dyDescent="0.25">
      <c r="A528" t="s">
        <v>10228</v>
      </c>
      <c r="B528" t="str">
        <f>"198394018609"</f>
        <v>198394018609</v>
      </c>
      <c r="C528" t="s">
        <v>10213</v>
      </c>
      <c r="D528" t="s">
        <v>1276</v>
      </c>
      <c r="E528" t="s">
        <v>2006</v>
      </c>
      <c r="F528" t="s">
        <v>2040</v>
      </c>
      <c r="G528" t="str">
        <f>"80"</f>
        <v>80</v>
      </c>
      <c r="H528" t="str">
        <f>"90"</f>
        <v>90</v>
      </c>
      <c r="I528" t="str">
        <f>"48"</f>
        <v>48</v>
      </c>
      <c r="J528" t="str">
        <f>"228.18"</f>
        <v>228.18</v>
      </c>
      <c r="K528" t="s">
        <v>2310</v>
      </c>
      <c r="L528" t="s">
        <v>4748</v>
      </c>
      <c r="M528" t="s">
        <v>10164</v>
      </c>
      <c r="N528" t="s">
        <v>416</v>
      </c>
      <c r="O528" t="s">
        <v>519</v>
      </c>
      <c r="P528" t="s">
        <v>6858</v>
      </c>
      <c r="T528" t="s">
        <v>373</v>
      </c>
      <c r="U528" t="s">
        <v>373</v>
      </c>
      <c r="V528" t="s">
        <v>10214</v>
      </c>
      <c r="W528" t="s">
        <v>10229</v>
      </c>
      <c r="X528" t="s">
        <v>10230</v>
      </c>
      <c r="Y528" t="s">
        <v>10231</v>
      </c>
      <c r="Z528" t="s">
        <v>10232</v>
      </c>
      <c r="AA528" t="s">
        <v>10233</v>
      </c>
      <c r="AB528" t="s">
        <v>10234</v>
      </c>
      <c r="AC528" t="s">
        <v>2319</v>
      </c>
      <c r="AD528" t="s">
        <v>10235</v>
      </c>
      <c r="AE528" t="s">
        <v>10236</v>
      </c>
      <c r="AF528" t="s">
        <v>10237</v>
      </c>
      <c r="AG528" t="s">
        <v>10238</v>
      </c>
      <c r="AH528" t="s">
        <v>10239</v>
      </c>
      <c r="AI528" t="s">
        <v>10240</v>
      </c>
      <c r="AJ528" t="s">
        <v>10241</v>
      </c>
      <c r="BA528" t="str">
        <f>"2799"</f>
        <v>2799</v>
      </c>
      <c r="BB528" t="str">
        <f>"1180"</f>
        <v>1180</v>
      </c>
      <c r="BC528" t="s">
        <v>665</v>
      </c>
      <c r="BD528" t="str">
        <f>"2"</f>
        <v>2</v>
      </c>
      <c r="BE528" t="s">
        <v>6809</v>
      </c>
      <c r="BF528" t="str">
        <f>"84.65"</f>
        <v>84.65</v>
      </c>
      <c r="BG528" t="str">
        <f>"52.36"</f>
        <v>52.36</v>
      </c>
      <c r="BH528" t="str">
        <f>"12.8"</f>
        <v>12.8</v>
      </c>
      <c r="BI528" t="str">
        <f>"139.33"</f>
        <v>139.33</v>
      </c>
      <c r="BJ528" t="s">
        <v>10227</v>
      </c>
      <c r="BK528" t="str">
        <f>"88.58"</f>
        <v>88.58</v>
      </c>
      <c r="BL528" t="str">
        <f>"18.5"</f>
        <v>18.5</v>
      </c>
      <c r="BM528" t="str">
        <f>"8.27"</f>
        <v>8.27</v>
      </c>
      <c r="BN528" t="str">
        <f>"123.46"</f>
        <v>123.46</v>
      </c>
      <c r="BY528" t="str">
        <f>"40.65"</f>
        <v>40.65</v>
      </c>
      <c r="BZ528" t="str">
        <f>"1.151"</f>
        <v>1.151</v>
      </c>
      <c r="CA528" t="s">
        <v>495</v>
      </c>
      <c r="CQ528" t="s">
        <v>438</v>
      </c>
      <c r="CR528" t="s">
        <v>400</v>
      </c>
      <c r="CS528">
        <v>0</v>
      </c>
      <c r="CT528" t="s">
        <v>400</v>
      </c>
      <c r="CV528">
        <v>0</v>
      </c>
      <c r="CX528" t="s">
        <v>1980</v>
      </c>
      <c r="CY528" t="s">
        <v>400</v>
      </c>
      <c r="DA528">
        <v>0</v>
      </c>
      <c r="DB528">
        <v>0</v>
      </c>
      <c r="DC528">
        <v>0</v>
      </c>
      <c r="DD528">
        <v>0</v>
      </c>
      <c r="DK528" t="s">
        <v>8549</v>
      </c>
      <c r="DM528" t="s">
        <v>2028</v>
      </c>
      <c r="EN528">
        <v>0</v>
      </c>
      <c r="HN528" t="s">
        <v>10186</v>
      </c>
      <c r="HO528" t="s">
        <v>3188</v>
      </c>
      <c r="HP528" t="s">
        <v>3188</v>
      </c>
      <c r="HQ528" t="s">
        <v>5832</v>
      </c>
      <c r="HR528" t="s">
        <v>637</v>
      </c>
      <c r="HS528" t="s">
        <v>3255</v>
      </c>
      <c r="HT528" t="s">
        <v>9963</v>
      </c>
      <c r="HU528" t="s">
        <v>3188</v>
      </c>
      <c r="HV528" t="s">
        <v>3544</v>
      </c>
      <c r="HW528" t="s">
        <v>2171</v>
      </c>
      <c r="HX528" t="s">
        <v>1357</v>
      </c>
      <c r="HY528" t="s">
        <v>3255</v>
      </c>
      <c r="HZ528" t="s">
        <v>3188</v>
      </c>
      <c r="IA528" t="s">
        <v>10187</v>
      </c>
      <c r="IB528" t="s">
        <v>637</v>
      </c>
      <c r="IC528" t="s">
        <v>402</v>
      </c>
      <c r="ID528" t="s">
        <v>3519</v>
      </c>
      <c r="IE528" t="s">
        <v>2037</v>
      </c>
      <c r="IF528" t="s">
        <v>2177</v>
      </c>
      <c r="IG528" t="s">
        <v>2040</v>
      </c>
      <c r="IM528" t="s">
        <v>395</v>
      </c>
      <c r="IN528" t="s">
        <v>5878</v>
      </c>
      <c r="IP528" t="s">
        <v>402</v>
      </c>
      <c r="IQ528" t="s">
        <v>3522</v>
      </c>
    </row>
    <row r="529" spans="1:287" x14ac:dyDescent="0.25">
      <c r="A529" t="s">
        <v>10242</v>
      </c>
      <c r="B529" t="str">
        <f>"801542028251"</f>
        <v>801542028251</v>
      </c>
      <c r="C529" t="s">
        <v>10243</v>
      </c>
      <c r="D529" t="s">
        <v>1276</v>
      </c>
      <c r="E529" t="s">
        <v>988</v>
      </c>
      <c r="G529" t="str">
        <f>"65"</f>
        <v>65</v>
      </c>
      <c r="H529" t="str">
        <f>"18"</f>
        <v>18</v>
      </c>
      <c r="I529" t="str">
        <f>"32"</f>
        <v>32</v>
      </c>
      <c r="J529" t="str">
        <f>"224.87"</f>
        <v>224.87</v>
      </c>
      <c r="K529" t="s">
        <v>10164</v>
      </c>
      <c r="L529" t="s">
        <v>1576</v>
      </c>
      <c r="N529" t="s">
        <v>6858</v>
      </c>
      <c r="O529" t="s">
        <v>416</v>
      </c>
      <c r="T529" t="s">
        <v>373</v>
      </c>
      <c r="U529" t="s">
        <v>373</v>
      </c>
      <c r="V529" t="s">
        <v>10244</v>
      </c>
      <c r="W529" t="s">
        <v>10245</v>
      </c>
      <c r="X529" t="s">
        <v>10246</v>
      </c>
      <c r="Y529" t="s">
        <v>10247</v>
      </c>
      <c r="Z529" t="s">
        <v>10248</v>
      </c>
      <c r="AA529" t="s">
        <v>10249</v>
      </c>
      <c r="AB529" t="s">
        <v>10250</v>
      </c>
      <c r="AC529" t="s">
        <v>10251</v>
      </c>
      <c r="AD529" t="s">
        <v>10252</v>
      </c>
      <c r="AE529" t="s">
        <v>10253</v>
      </c>
      <c r="AF529" t="s">
        <v>10254</v>
      </c>
      <c r="AG529" t="s">
        <v>10255</v>
      </c>
      <c r="AH529" t="s">
        <v>10256</v>
      </c>
      <c r="AI529" t="s">
        <v>10257</v>
      </c>
      <c r="AJ529" t="s">
        <v>10258</v>
      </c>
      <c r="AK529" t="s">
        <v>10259</v>
      </c>
      <c r="AL529" t="s">
        <v>10260</v>
      </c>
      <c r="AM529" t="s">
        <v>10261</v>
      </c>
      <c r="BA529" t="str">
        <f>"1899"</f>
        <v>1899</v>
      </c>
      <c r="BB529" t="str">
        <f>"800"</f>
        <v>800</v>
      </c>
      <c r="BC529" t="s">
        <v>665</v>
      </c>
      <c r="BD529" t="str">
        <f t="shared" ref="BD529:BD534" si="113">"1"</f>
        <v>1</v>
      </c>
      <c r="BE529" t="s">
        <v>389</v>
      </c>
      <c r="BF529" t="str">
        <f>"69.09"</f>
        <v>69.09</v>
      </c>
      <c r="BG529" t="str">
        <f>"22.05"</f>
        <v>22.05</v>
      </c>
      <c r="BH529" t="str">
        <f>"38.98"</f>
        <v>38.98</v>
      </c>
      <c r="BI529" t="str">
        <f>"275.58"</f>
        <v>275.58</v>
      </c>
      <c r="BY529" t="str">
        <f>"34.36"</f>
        <v>34.36</v>
      </c>
      <c r="BZ529" t="str">
        <f>"0.973"</f>
        <v>0.973</v>
      </c>
      <c r="CA529" t="s">
        <v>495</v>
      </c>
      <c r="CR529" t="s">
        <v>1007</v>
      </c>
      <c r="CS529">
        <v>6</v>
      </c>
      <c r="CT529" t="s">
        <v>1312</v>
      </c>
      <c r="CV529">
        <v>0</v>
      </c>
      <c r="CX529" t="s">
        <v>1980</v>
      </c>
      <c r="CY529" t="s">
        <v>1009</v>
      </c>
      <c r="DC529">
        <v>0</v>
      </c>
      <c r="DJ529" t="s">
        <v>1010</v>
      </c>
      <c r="DK529" t="s">
        <v>8549</v>
      </c>
      <c r="DM529" t="s">
        <v>473</v>
      </c>
      <c r="DX529" t="s">
        <v>2174</v>
      </c>
      <c r="EN529">
        <v>0</v>
      </c>
      <c r="FI529">
        <v>0</v>
      </c>
      <c r="FJ529" t="s">
        <v>1012</v>
      </c>
      <c r="FR529" t="s">
        <v>3319</v>
      </c>
      <c r="FT529" t="s">
        <v>10262</v>
      </c>
      <c r="FV529" t="s">
        <v>10263</v>
      </c>
      <c r="FX529" t="s">
        <v>1017</v>
      </c>
      <c r="FZ529" t="s">
        <v>6455</v>
      </c>
    </row>
    <row r="530" spans="1:287" x14ac:dyDescent="0.25">
      <c r="A530" t="s">
        <v>10264</v>
      </c>
      <c r="B530" t="str">
        <f>"801542028299"</f>
        <v>801542028299</v>
      </c>
      <c r="C530" t="s">
        <v>10265</v>
      </c>
      <c r="D530" t="s">
        <v>1276</v>
      </c>
      <c r="E530" t="s">
        <v>1043</v>
      </c>
      <c r="G530" t="str">
        <f>"26"</f>
        <v>26</v>
      </c>
      <c r="H530" t="str">
        <f>"18"</f>
        <v>18</v>
      </c>
      <c r="I530" t="str">
        <f>"25"</f>
        <v>25</v>
      </c>
      <c r="J530" t="str">
        <f>"66.14"</f>
        <v>66.14</v>
      </c>
      <c r="K530" t="s">
        <v>10164</v>
      </c>
      <c r="L530" t="s">
        <v>1576</v>
      </c>
      <c r="N530" t="s">
        <v>6858</v>
      </c>
      <c r="O530" t="s">
        <v>416</v>
      </c>
      <c r="T530" t="s">
        <v>373</v>
      </c>
      <c r="U530" t="s">
        <v>373</v>
      </c>
      <c r="V530" t="s">
        <v>10266</v>
      </c>
      <c r="W530" t="s">
        <v>10267</v>
      </c>
      <c r="X530" t="s">
        <v>10268</v>
      </c>
      <c r="Y530" t="s">
        <v>10269</v>
      </c>
      <c r="Z530" t="s">
        <v>10270</v>
      </c>
      <c r="AA530" t="s">
        <v>10271</v>
      </c>
      <c r="AB530" t="s">
        <v>10272</v>
      </c>
      <c r="AC530" t="s">
        <v>10273</v>
      </c>
      <c r="AD530" t="s">
        <v>10274</v>
      </c>
      <c r="AE530" t="s">
        <v>10275</v>
      </c>
      <c r="AF530" t="s">
        <v>10276</v>
      </c>
      <c r="AG530" t="s">
        <v>10277</v>
      </c>
      <c r="AH530" t="s">
        <v>10278</v>
      </c>
      <c r="AI530" t="s">
        <v>10279</v>
      </c>
      <c r="BA530" t="str">
        <f>"699"</f>
        <v>699</v>
      </c>
      <c r="BB530" t="str">
        <f>"295"</f>
        <v>295</v>
      </c>
      <c r="BC530" t="s">
        <v>665</v>
      </c>
      <c r="BD530" t="str">
        <f t="shared" si="113"/>
        <v>1</v>
      </c>
      <c r="BE530" t="s">
        <v>1266</v>
      </c>
      <c r="BF530" t="str">
        <f>"31.69"</f>
        <v>31.69</v>
      </c>
      <c r="BG530" t="str">
        <f>"29.33"</f>
        <v>29.33</v>
      </c>
      <c r="BH530" t="str">
        <f>"21.85"</f>
        <v>21.85</v>
      </c>
      <c r="BI530" t="str">
        <f>"90.39"</f>
        <v>90.39</v>
      </c>
      <c r="BY530" t="str">
        <f>"11.76"</f>
        <v>11.76</v>
      </c>
      <c r="BZ530" t="str">
        <f>"0.333"</f>
        <v>0.333</v>
      </c>
      <c r="CA530" t="s">
        <v>495</v>
      </c>
      <c r="CR530" t="s">
        <v>1007</v>
      </c>
      <c r="CS530">
        <v>2</v>
      </c>
      <c r="CT530" t="s">
        <v>1312</v>
      </c>
      <c r="CV530">
        <v>0</v>
      </c>
      <c r="CX530" t="s">
        <v>1980</v>
      </c>
      <c r="CY530" t="s">
        <v>1009</v>
      </c>
      <c r="DC530">
        <v>0</v>
      </c>
      <c r="DJ530" t="s">
        <v>408</v>
      </c>
      <c r="DK530" t="s">
        <v>8549</v>
      </c>
      <c r="DM530" t="s">
        <v>473</v>
      </c>
      <c r="DX530" t="s">
        <v>2174</v>
      </c>
      <c r="EN530">
        <v>0</v>
      </c>
      <c r="FI530">
        <v>0</v>
      </c>
      <c r="FJ530" t="s">
        <v>1012</v>
      </c>
      <c r="FR530" t="s">
        <v>3319</v>
      </c>
      <c r="FT530" t="s">
        <v>10280</v>
      </c>
      <c r="FV530" t="s">
        <v>6204</v>
      </c>
      <c r="FX530" t="s">
        <v>1017</v>
      </c>
      <c r="FZ530" t="s">
        <v>6455</v>
      </c>
    </row>
    <row r="531" spans="1:287" x14ac:dyDescent="0.25">
      <c r="A531" t="s">
        <v>10281</v>
      </c>
      <c r="B531" t="str">
        <f>"801542823504"</f>
        <v>801542823504</v>
      </c>
      <c r="C531" t="s">
        <v>10282</v>
      </c>
      <c r="D531" t="s">
        <v>835</v>
      </c>
      <c r="E531" t="s">
        <v>3813</v>
      </c>
      <c r="G531" t="str">
        <f>"30"</f>
        <v>30</v>
      </c>
      <c r="H531" t="str">
        <f>"15"</f>
        <v>15</v>
      </c>
      <c r="I531" t="str">
        <f>"75"</f>
        <v>75</v>
      </c>
      <c r="J531" t="str">
        <f>"99.21"</f>
        <v>99.21</v>
      </c>
      <c r="K531" t="s">
        <v>10283</v>
      </c>
      <c r="N531" t="s">
        <v>1970</v>
      </c>
      <c r="T531" t="s">
        <v>373</v>
      </c>
      <c r="U531" t="s">
        <v>373</v>
      </c>
      <c r="V531" t="s">
        <v>10284</v>
      </c>
      <c r="W531" t="s">
        <v>10285</v>
      </c>
      <c r="X531" t="s">
        <v>10286</v>
      </c>
      <c r="Y531" t="s">
        <v>10287</v>
      </c>
      <c r="Z531" t="s">
        <v>10288</v>
      </c>
      <c r="AA531" t="s">
        <v>10289</v>
      </c>
      <c r="AB531" t="s">
        <v>10290</v>
      </c>
      <c r="AC531" t="s">
        <v>10291</v>
      </c>
      <c r="AD531" t="s">
        <v>10292</v>
      </c>
      <c r="AE531" t="s">
        <v>10293</v>
      </c>
      <c r="AF531" t="s">
        <v>10294</v>
      </c>
      <c r="BA531" t="str">
        <f>"1599"</f>
        <v>1599</v>
      </c>
      <c r="BB531" t="str">
        <f>"675"</f>
        <v>675</v>
      </c>
      <c r="BC531" t="s">
        <v>388</v>
      </c>
      <c r="BD531" t="str">
        <f t="shared" si="113"/>
        <v>1</v>
      </c>
      <c r="BE531" t="s">
        <v>389</v>
      </c>
      <c r="BF531" t="str">
        <f>"33.66"</f>
        <v>33.66</v>
      </c>
      <c r="BG531" t="str">
        <f>"17.72"</f>
        <v>17.72</v>
      </c>
      <c r="BH531" t="str">
        <f>"77.56"</f>
        <v>77.56</v>
      </c>
      <c r="BI531" t="str">
        <f>"116.84"</f>
        <v>116.84</v>
      </c>
      <c r="BY531" t="str">
        <f>"26.77"</f>
        <v>26.77</v>
      </c>
      <c r="BZ531" t="str">
        <f>"0.758"</f>
        <v>0.758</v>
      </c>
      <c r="CA531" t="s">
        <v>495</v>
      </c>
      <c r="CB531" t="s">
        <v>979</v>
      </c>
      <c r="CC531" t="s">
        <v>1040</v>
      </c>
      <c r="CD531" t="s">
        <v>609</v>
      </c>
      <c r="CE531" t="s">
        <v>979</v>
      </c>
      <c r="CF531" t="s">
        <v>1159</v>
      </c>
      <c r="CG531" t="s">
        <v>609</v>
      </c>
      <c r="CR531" t="s">
        <v>400</v>
      </c>
      <c r="CS531">
        <v>0</v>
      </c>
      <c r="CT531" t="s">
        <v>400</v>
      </c>
      <c r="CV531">
        <v>6</v>
      </c>
      <c r="CW531" t="s">
        <v>402</v>
      </c>
      <c r="CX531" t="s">
        <v>953</v>
      </c>
      <c r="DA531">
        <v>18.14</v>
      </c>
      <c r="DB531">
        <v>40</v>
      </c>
      <c r="DC531">
        <v>0</v>
      </c>
      <c r="DK531" t="s">
        <v>10295</v>
      </c>
      <c r="EM531" t="s">
        <v>402</v>
      </c>
      <c r="EN531">
        <v>7</v>
      </c>
      <c r="FI531">
        <v>0</v>
      </c>
      <c r="FJ531" t="s">
        <v>1012</v>
      </c>
      <c r="GB531" t="s">
        <v>979</v>
      </c>
      <c r="GC531" t="s">
        <v>2240</v>
      </c>
      <c r="GD531" t="s">
        <v>609</v>
      </c>
      <c r="GR531" t="s">
        <v>979</v>
      </c>
      <c r="GS531" t="s">
        <v>979</v>
      </c>
      <c r="GT531" t="s">
        <v>830</v>
      </c>
      <c r="GU531" t="s">
        <v>791</v>
      </c>
      <c r="GV531" t="s">
        <v>2696</v>
      </c>
      <c r="GW531" t="s">
        <v>2696</v>
      </c>
      <c r="JM531" t="s">
        <v>979</v>
      </c>
      <c r="JN531" t="s">
        <v>1040</v>
      </c>
      <c r="JO531" t="s">
        <v>2696</v>
      </c>
      <c r="JY531" t="s">
        <v>979</v>
      </c>
      <c r="JZ531" t="s">
        <v>791</v>
      </c>
      <c r="KA531" t="s">
        <v>609</v>
      </c>
    </row>
    <row r="532" spans="1:287" x14ac:dyDescent="0.25">
      <c r="A532" t="s">
        <v>10296</v>
      </c>
      <c r="B532" t="str">
        <f>"801542028855"</f>
        <v>801542028855</v>
      </c>
      <c r="C532" t="s">
        <v>10297</v>
      </c>
      <c r="D532" t="s">
        <v>10298</v>
      </c>
      <c r="E532" t="s">
        <v>1319</v>
      </c>
      <c r="F532" t="s">
        <v>1320</v>
      </c>
      <c r="G532" t="str">
        <f>"72"</f>
        <v>72</v>
      </c>
      <c r="H532" t="str">
        <f>"30"</f>
        <v>30</v>
      </c>
      <c r="I532" t="str">
        <f>"30"</f>
        <v>30</v>
      </c>
      <c r="J532" t="str">
        <f>"116.84"</f>
        <v>116.84</v>
      </c>
      <c r="K532" t="s">
        <v>649</v>
      </c>
      <c r="N532" t="s">
        <v>461</v>
      </c>
      <c r="T532" t="s">
        <v>373</v>
      </c>
      <c r="U532" t="s">
        <v>373</v>
      </c>
      <c r="V532" t="s">
        <v>10299</v>
      </c>
      <c r="W532" t="s">
        <v>10300</v>
      </c>
      <c r="X532" t="s">
        <v>10301</v>
      </c>
      <c r="Y532" t="s">
        <v>10302</v>
      </c>
      <c r="Z532" t="s">
        <v>10303</v>
      </c>
      <c r="AA532" t="s">
        <v>10304</v>
      </c>
      <c r="AB532" t="s">
        <v>10305</v>
      </c>
      <c r="AC532" t="s">
        <v>10306</v>
      </c>
      <c r="AD532" t="s">
        <v>10307</v>
      </c>
      <c r="AE532" t="s">
        <v>10308</v>
      </c>
      <c r="AF532" t="s">
        <v>10309</v>
      </c>
      <c r="AG532" t="s">
        <v>10310</v>
      </c>
      <c r="AH532" t="s">
        <v>10311</v>
      </c>
      <c r="AI532" t="s">
        <v>10312</v>
      </c>
      <c r="AJ532" t="s">
        <v>10313</v>
      </c>
      <c r="AK532" t="s">
        <v>10314</v>
      </c>
      <c r="AL532" t="s">
        <v>10315</v>
      </c>
      <c r="BA532" t="str">
        <f>"2299"</f>
        <v>2299</v>
      </c>
      <c r="BB532" t="str">
        <f>"970"</f>
        <v>970</v>
      </c>
      <c r="BC532" t="s">
        <v>388</v>
      </c>
      <c r="BD532" t="str">
        <f t="shared" si="113"/>
        <v>1</v>
      </c>
      <c r="BE532" t="s">
        <v>389</v>
      </c>
      <c r="BF532" t="str">
        <f>"75.98"</f>
        <v>75.98</v>
      </c>
      <c r="BG532" t="str">
        <f>"34.25"</f>
        <v>34.25</v>
      </c>
      <c r="BH532" t="str">
        <f>"16.93"</f>
        <v>16.93</v>
      </c>
      <c r="BI532" t="str">
        <f>"143.3"</f>
        <v>143.3</v>
      </c>
      <c r="BY532" t="str">
        <f>"25.5"</f>
        <v>25.5</v>
      </c>
      <c r="BZ532" t="str">
        <f>"0.722"</f>
        <v>0.722</v>
      </c>
      <c r="CA532" t="s">
        <v>390</v>
      </c>
      <c r="CR532" t="s">
        <v>1343</v>
      </c>
      <c r="CS532">
        <v>5</v>
      </c>
      <c r="CT532" t="s">
        <v>1344</v>
      </c>
      <c r="CV532">
        <v>0</v>
      </c>
      <c r="CX532" t="s">
        <v>403</v>
      </c>
      <c r="CY532" t="s">
        <v>1009</v>
      </c>
      <c r="DC532">
        <v>0</v>
      </c>
      <c r="DJ532" t="s">
        <v>1345</v>
      </c>
      <c r="DK532" t="s">
        <v>10316</v>
      </c>
      <c r="DM532" t="s">
        <v>669</v>
      </c>
      <c r="DX532" t="s">
        <v>675</v>
      </c>
      <c r="DY532" t="s">
        <v>3857</v>
      </c>
      <c r="DZ532" t="s">
        <v>10317</v>
      </c>
      <c r="EI532" t="s">
        <v>10318</v>
      </c>
      <c r="EJ532" t="s">
        <v>10319</v>
      </c>
      <c r="EK532" t="s">
        <v>10320</v>
      </c>
      <c r="EL532" t="s">
        <v>1350</v>
      </c>
      <c r="EM532" t="s">
        <v>402</v>
      </c>
      <c r="EN532">
        <v>0</v>
      </c>
      <c r="EW532" t="s">
        <v>6563</v>
      </c>
      <c r="FI532">
        <v>0</v>
      </c>
      <c r="FJ532" t="s">
        <v>1012</v>
      </c>
      <c r="FR532" t="s">
        <v>950</v>
      </c>
      <c r="FS532" t="s">
        <v>950</v>
      </c>
      <c r="FT532" t="s">
        <v>1852</v>
      </c>
      <c r="FU532" t="s">
        <v>6662</v>
      </c>
      <c r="FV532" t="s">
        <v>1039</v>
      </c>
      <c r="FW532" t="s">
        <v>1853</v>
      </c>
      <c r="FX532" t="s">
        <v>1008</v>
      </c>
      <c r="FZ532" t="s">
        <v>1018</v>
      </c>
      <c r="GA532" t="s">
        <v>402</v>
      </c>
      <c r="GE532">
        <v>0</v>
      </c>
      <c r="HH532" t="s">
        <v>402</v>
      </c>
    </row>
    <row r="533" spans="1:287" x14ac:dyDescent="0.25">
      <c r="A533" t="s">
        <v>10321</v>
      </c>
      <c r="B533" t="str">
        <f>"801542201371"</f>
        <v>801542201371</v>
      </c>
      <c r="C533" t="s">
        <v>10322</v>
      </c>
      <c r="D533" t="s">
        <v>10298</v>
      </c>
      <c r="E533" t="s">
        <v>1319</v>
      </c>
      <c r="F533" t="s">
        <v>1320</v>
      </c>
      <c r="G533" t="str">
        <f>"72"</f>
        <v>72</v>
      </c>
      <c r="H533" t="str">
        <f>"30"</f>
        <v>30</v>
      </c>
      <c r="I533" t="str">
        <f>"30"</f>
        <v>30</v>
      </c>
      <c r="J533" t="str">
        <f>"116.84"</f>
        <v>116.84</v>
      </c>
      <c r="K533" t="s">
        <v>10323</v>
      </c>
      <c r="N533" t="s">
        <v>1839</v>
      </c>
      <c r="T533" t="s">
        <v>373</v>
      </c>
      <c r="U533" t="s">
        <v>373</v>
      </c>
      <c r="V533" t="s">
        <v>10299</v>
      </c>
      <c r="W533" t="s">
        <v>10324</v>
      </c>
      <c r="X533" t="s">
        <v>10325</v>
      </c>
      <c r="Y533" t="s">
        <v>10326</v>
      </c>
      <c r="Z533" t="s">
        <v>10327</v>
      </c>
      <c r="AA533" t="s">
        <v>10328</v>
      </c>
      <c r="AB533" t="s">
        <v>10329</v>
      </c>
      <c r="AC533" t="s">
        <v>10330</v>
      </c>
      <c r="AD533" t="s">
        <v>10331</v>
      </c>
      <c r="AE533" t="s">
        <v>10332</v>
      </c>
      <c r="AF533" t="s">
        <v>10333</v>
      </c>
      <c r="AG533" t="s">
        <v>10334</v>
      </c>
      <c r="AH533" t="s">
        <v>10335</v>
      </c>
      <c r="AI533" t="s">
        <v>10336</v>
      </c>
      <c r="AJ533" t="s">
        <v>10337</v>
      </c>
      <c r="AK533" t="s">
        <v>10338</v>
      </c>
      <c r="AL533" t="s">
        <v>10339</v>
      </c>
      <c r="BA533" t="str">
        <f>"2299"</f>
        <v>2299</v>
      </c>
      <c r="BB533" t="str">
        <f>"970"</f>
        <v>970</v>
      </c>
      <c r="BC533" t="s">
        <v>388</v>
      </c>
      <c r="BD533" t="str">
        <f t="shared" si="113"/>
        <v>1</v>
      </c>
      <c r="BE533" t="s">
        <v>389</v>
      </c>
      <c r="BF533" t="str">
        <f>"75.98"</f>
        <v>75.98</v>
      </c>
      <c r="BG533" t="str">
        <f>"34.25"</f>
        <v>34.25</v>
      </c>
      <c r="BH533" t="str">
        <f>"16.93"</f>
        <v>16.93</v>
      </c>
      <c r="BI533" t="str">
        <f>"143.3"</f>
        <v>143.3</v>
      </c>
      <c r="BY533" t="str">
        <f>"25.5"</f>
        <v>25.5</v>
      </c>
      <c r="BZ533" t="str">
        <f>"0.722"</f>
        <v>0.722</v>
      </c>
      <c r="CA533" t="s">
        <v>390</v>
      </c>
      <c r="CR533" t="s">
        <v>1343</v>
      </c>
      <c r="CS533">
        <v>5</v>
      </c>
      <c r="CT533" t="s">
        <v>1344</v>
      </c>
      <c r="CV533">
        <v>0</v>
      </c>
      <c r="CX533" t="s">
        <v>403</v>
      </c>
      <c r="CY533" t="s">
        <v>1009</v>
      </c>
      <c r="DC533">
        <v>0</v>
      </c>
      <c r="DJ533" t="s">
        <v>1345</v>
      </c>
      <c r="DK533" t="s">
        <v>10316</v>
      </c>
      <c r="DM533" t="s">
        <v>669</v>
      </c>
      <c r="DX533" t="s">
        <v>675</v>
      </c>
      <c r="DY533" t="s">
        <v>3857</v>
      </c>
      <c r="DZ533" t="s">
        <v>10317</v>
      </c>
      <c r="EI533" t="s">
        <v>10318</v>
      </c>
      <c r="EJ533" t="s">
        <v>10319</v>
      </c>
      <c r="EK533" t="s">
        <v>10320</v>
      </c>
      <c r="EL533" t="s">
        <v>1350</v>
      </c>
      <c r="EM533" t="s">
        <v>402</v>
      </c>
      <c r="EN533">
        <v>0</v>
      </c>
      <c r="EW533" t="s">
        <v>6563</v>
      </c>
      <c r="FI533">
        <v>0</v>
      </c>
      <c r="FJ533" t="s">
        <v>1012</v>
      </c>
      <c r="FR533" t="s">
        <v>950</v>
      </c>
      <c r="FS533" t="s">
        <v>950</v>
      </c>
      <c r="FT533" t="s">
        <v>1852</v>
      </c>
      <c r="FU533" t="s">
        <v>6662</v>
      </c>
      <c r="FV533" t="s">
        <v>1039</v>
      </c>
      <c r="FW533" t="s">
        <v>1853</v>
      </c>
      <c r="FX533" t="s">
        <v>1008</v>
      </c>
      <c r="FZ533" t="s">
        <v>1018</v>
      </c>
      <c r="GA533" t="s">
        <v>402</v>
      </c>
      <c r="GE533">
        <v>0</v>
      </c>
      <c r="HH533" t="s">
        <v>402</v>
      </c>
    </row>
    <row r="534" spans="1:287" x14ac:dyDescent="0.25">
      <c r="A534" t="s">
        <v>10340</v>
      </c>
      <c r="B534" t="str">
        <f>"801542200299"</f>
        <v>801542200299</v>
      </c>
      <c r="C534" t="s">
        <v>10341</v>
      </c>
      <c r="D534" t="s">
        <v>1224</v>
      </c>
      <c r="E534" t="s">
        <v>1077</v>
      </c>
      <c r="G534" t="str">
        <f>"55"</f>
        <v>55</v>
      </c>
      <c r="H534" t="str">
        <f>"55"</f>
        <v>55</v>
      </c>
      <c r="I534" t="str">
        <f>"15"</f>
        <v>15</v>
      </c>
      <c r="J534" t="str">
        <f>"168.87"</f>
        <v>168.87</v>
      </c>
      <c r="K534" t="s">
        <v>8322</v>
      </c>
      <c r="N534" t="s">
        <v>1463</v>
      </c>
      <c r="T534" t="s">
        <v>402</v>
      </c>
      <c r="U534" t="s">
        <v>373</v>
      </c>
      <c r="V534" t="s">
        <v>10342</v>
      </c>
      <c r="W534" t="s">
        <v>10343</v>
      </c>
      <c r="X534" t="s">
        <v>10344</v>
      </c>
      <c r="Y534" t="s">
        <v>10345</v>
      </c>
      <c r="Z534" t="s">
        <v>10346</v>
      </c>
      <c r="AA534" t="s">
        <v>10347</v>
      </c>
      <c r="AB534" t="s">
        <v>10348</v>
      </c>
      <c r="AC534" t="s">
        <v>8330</v>
      </c>
      <c r="AD534" t="s">
        <v>10349</v>
      </c>
      <c r="AE534" t="s">
        <v>10350</v>
      </c>
      <c r="AF534" t="s">
        <v>10351</v>
      </c>
      <c r="AG534" t="s">
        <v>10352</v>
      </c>
      <c r="AH534" t="s">
        <v>10353</v>
      </c>
      <c r="AI534" t="s">
        <v>10354</v>
      </c>
      <c r="BA534" t="str">
        <f>"2299"</f>
        <v>2299</v>
      </c>
      <c r="BB534" t="str">
        <f>"970"</f>
        <v>970</v>
      </c>
      <c r="BC534" t="s">
        <v>1149</v>
      </c>
      <c r="BD534" t="str">
        <f t="shared" si="113"/>
        <v>1</v>
      </c>
      <c r="BE534" t="s">
        <v>389</v>
      </c>
      <c r="BF534" t="str">
        <f>"61.26"</f>
        <v>61.26</v>
      </c>
      <c r="BG534" t="str">
        <f>"61.65"</f>
        <v>61.65</v>
      </c>
      <c r="BH534" t="str">
        <f>"20.87"</f>
        <v>20.87</v>
      </c>
      <c r="BI534" t="str">
        <f>"200.62"</f>
        <v>200.62</v>
      </c>
      <c r="BY534" t="str">
        <f>"45.59"</f>
        <v>45.59</v>
      </c>
      <c r="BZ534" t="str">
        <f>"1.291"</f>
        <v>1.291</v>
      </c>
      <c r="CA534" t="s">
        <v>431</v>
      </c>
      <c r="CR534" t="s">
        <v>400</v>
      </c>
      <c r="CS534">
        <v>0</v>
      </c>
      <c r="CT534" t="s">
        <v>400</v>
      </c>
      <c r="CV534">
        <v>0</v>
      </c>
      <c r="CX534" t="s">
        <v>953</v>
      </c>
      <c r="CY534" t="s">
        <v>400</v>
      </c>
      <c r="DC534">
        <v>0</v>
      </c>
      <c r="DJ534" t="s">
        <v>1132</v>
      </c>
      <c r="DK534" t="s">
        <v>8337</v>
      </c>
      <c r="DM534" t="s">
        <v>473</v>
      </c>
      <c r="DX534" t="s">
        <v>830</v>
      </c>
      <c r="DY534" t="s">
        <v>10355</v>
      </c>
      <c r="DZ534" t="s">
        <v>10355</v>
      </c>
      <c r="EI534" t="s">
        <v>10356</v>
      </c>
      <c r="EJ534" t="s">
        <v>979</v>
      </c>
      <c r="EK534" t="s">
        <v>10356</v>
      </c>
      <c r="EL534" t="s">
        <v>450</v>
      </c>
      <c r="EM534" t="s">
        <v>402</v>
      </c>
      <c r="EN534">
        <v>0</v>
      </c>
      <c r="EO534">
        <v>0</v>
      </c>
    </row>
    <row r="535" spans="1:287" x14ac:dyDescent="0.25">
      <c r="A535" t="s">
        <v>10357</v>
      </c>
      <c r="B535" t="str">
        <f>"801542170301"</f>
        <v>801542170301</v>
      </c>
      <c r="C535" t="s">
        <v>10358</v>
      </c>
      <c r="D535" t="s">
        <v>1276</v>
      </c>
      <c r="E535" t="s">
        <v>2006</v>
      </c>
      <c r="F535" t="s">
        <v>2040</v>
      </c>
      <c r="G535" t="str">
        <f>"81"</f>
        <v>81</v>
      </c>
      <c r="H535" t="str">
        <f t="shared" ref="H535:H540" si="114">"85.5"</f>
        <v>85.5</v>
      </c>
      <c r="I535" t="str">
        <f t="shared" ref="I535:I540" si="115">"54"</f>
        <v>54</v>
      </c>
      <c r="J535" t="str">
        <f>"179.67"</f>
        <v>179.67</v>
      </c>
      <c r="K535" t="s">
        <v>2310</v>
      </c>
      <c r="L535" t="s">
        <v>10359</v>
      </c>
      <c r="N535" t="s">
        <v>416</v>
      </c>
      <c r="O535" t="s">
        <v>519</v>
      </c>
      <c r="T535" t="s">
        <v>373</v>
      </c>
      <c r="U535" t="s">
        <v>373</v>
      </c>
      <c r="V535" t="s">
        <v>10360</v>
      </c>
      <c r="W535" t="s">
        <v>10361</v>
      </c>
      <c r="X535" t="s">
        <v>10362</v>
      </c>
      <c r="Y535" t="s">
        <v>10363</v>
      </c>
      <c r="Z535" t="s">
        <v>10364</v>
      </c>
      <c r="AA535" t="s">
        <v>10365</v>
      </c>
      <c r="AB535" t="s">
        <v>10366</v>
      </c>
      <c r="AC535" t="s">
        <v>10367</v>
      </c>
      <c r="AD535" t="s">
        <v>2319</v>
      </c>
      <c r="AE535" t="s">
        <v>10368</v>
      </c>
      <c r="AF535" t="s">
        <v>10369</v>
      </c>
      <c r="AG535" t="s">
        <v>10370</v>
      </c>
      <c r="AH535" t="s">
        <v>10371</v>
      </c>
      <c r="AI535" t="s">
        <v>10372</v>
      </c>
      <c r="AJ535" t="s">
        <v>10373</v>
      </c>
      <c r="AK535" t="s">
        <v>10374</v>
      </c>
      <c r="BA535" t="str">
        <f>"2599"</f>
        <v>2599</v>
      </c>
      <c r="BB535" t="str">
        <f>"1095"</f>
        <v>1095</v>
      </c>
      <c r="BC535" t="s">
        <v>665</v>
      </c>
      <c r="BD535" t="str">
        <f t="shared" ref="BD535:BD540" si="116">"2"</f>
        <v>2</v>
      </c>
      <c r="BE535" t="s">
        <v>10375</v>
      </c>
      <c r="BF535" t="str">
        <f>"84.65"</f>
        <v>84.65</v>
      </c>
      <c r="BG535" t="str">
        <f>"58.07"</f>
        <v>58.07</v>
      </c>
      <c r="BH535" t="str">
        <f>"8.86"</f>
        <v>8.86</v>
      </c>
      <c r="BI535" t="str">
        <f>"126.77"</f>
        <v>126.77</v>
      </c>
      <c r="BJ535" t="s">
        <v>10375</v>
      </c>
      <c r="BK535" t="str">
        <f t="shared" ref="BK535:BK540" si="117">"84.65"</f>
        <v>84.65</v>
      </c>
      <c r="BL535" t="str">
        <f t="shared" ref="BL535:BL540" si="118">"14.96"</f>
        <v>14.96</v>
      </c>
      <c r="BM535" t="str">
        <f t="shared" ref="BM535:BM540" si="119">"9.65"</f>
        <v>9.65</v>
      </c>
      <c r="BN535" t="str">
        <f>"88.18"</f>
        <v>88.18</v>
      </c>
      <c r="BY535" t="str">
        <f>"32.28"</f>
        <v>32.28</v>
      </c>
      <c r="BZ535" t="str">
        <f>"0.914"</f>
        <v>0.914</v>
      </c>
      <c r="CA535" t="s">
        <v>1765</v>
      </c>
      <c r="CQ535" t="s">
        <v>438</v>
      </c>
      <c r="CR535" t="s">
        <v>400</v>
      </c>
      <c r="CS535">
        <v>0</v>
      </c>
      <c r="CT535" t="s">
        <v>400</v>
      </c>
      <c r="CV535">
        <v>0</v>
      </c>
      <c r="CX535" t="s">
        <v>1980</v>
      </c>
      <c r="CY535" t="s">
        <v>400</v>
      </c>
      <c r="DA535">
        <v>0</v>
      </c>
      <c r="DB535">
        <v>0</v>
      </c>
      <c r="DC535">
        <v>0</v>
      </c>
      <c r="DD535">
        <v>0</v>
      </c>
      <c r="DK535" t="s">
        <v>10376</v>
      </c>
      <c r="DM535" t="s">
        <v>2028</v>
      </c>
      <c r="EN535">
        <v>0</v>
      </c>
      <c r="HN535" t="s">
        <v>2174</v>
      </c>
      <c r="HO535" t="s">
        <v>2174</v>
      </c>
      <c r="HP535" t="s">
        <v>2174</v>
      </c>
      <c r="HQ535" t="s">
        <v>638</v>
      </c>
      <c r="HR535" t="s">
        <v>8233</v>
      </c>
      <c r="HS535" t="s">
        <v>2032</v>
      </c>
      <c r="HT535" t="s">
        <v>10377</v>
      </c>
      <c r="HU535" t="s">
        <v>8233</v>
      </c>
      <c r="HV535" t="s">
        <v>2032</v>
      </c>
      <c r="HW535" t="s">
        <v>2171</v>
      </c>
      <c r="HX535" t="s">
        <v>392</v>
      </c>
      <c r="HY535" t="s">
        <v>3255</v>
      </c>
      <c r="HZ535" t="s">
        <v>2599</v>
      </c>
      <c r="IA535" t="s">
        <v>10378</v>
      </c>
      <c r="IB535" t="s">
        <v>637</v>
      </c>
      <c r="IC535" t="s">
        <v>402</v>
      </c>
      <c r="ID535" t="s">
        <v>2036</v>
      </c>
      <c r="IE535" t="s">
        <v>2037</v>
      </c>
      <c r="IF535" t="s">
        <v>2177</v>
      </c>
      <c r="IG535" t="s">
        <v>2040</v>
      </c>
      <c r="IM535" t="s">
        <v>395</v>
      </c>
      <c r="IN535" t="s">
        <v>3949</v>
      </c>
      <c r="IO535" t="s">
        <v>395</v>
      </c>
      <c r="IP535" t="s">
        <v>402</v>
      </c>
      <c r="IQ535" t="s">
        <v>3522</v>
      </c>
    </row>
    <row r="536" spans="1:287" x14ac:dyDescent="0.25">
      <c r="A536" t="s">
        <v>10379</v>
      </c>
      <c r="B536" t="str">
        <f>"801542170387"</f>
        <v>801542170387</v>
      </c>
      <c r="C536" t="s">
        <v>10380</v>
      </c>
      <c r="D536" t="s">
        <v>1276</v>
      </c>
      <c r="E536" t="s">
        <v>2006</v>
      </c>
      <c r="F536" t="s">
        <v>2007</v>
      </c>
      <c r="G536" t="str">
        <f>"64.75"</f>
        <v>64.75</v>
      </c>
      <c r="H536" t="str">
        <f t="shared" si="114"/>
        <v>85.5</v>
      </c>
      <c r="I536" t="str">
        <f t="shared" si="115"/>
        <v>54</v>
      </c>
      <c r="J536" t="str">
        <f>"164.24"</f>
        <v>164.24</v>
      </c>
      <c r="K536" t="s">
        <v>10381</v>
      </c>
      <c r="L536" t="s">
        <v>10359</v>
      </c>
      <c r="N536" t="s">
        <v>416</v>
      </c>
      <c r="O536" t="s">
        <v>519</v>
      </c>
      <c r="T536" t="s">
        <v>373</v>
      </c>
      <c r="U536" t="s">
        <v>373</v>
      </c>
      <c r="V536" t="s">
        <v>10360</v>
      </c>
      <c r="W536" t="s">
        <v>10382</v>
      </c>
      <c r="X536" t="s">
        <v>10383</v>
      </c>
      <c r="Y536" t="s">
        <v>10384</v>
      </c>
      <c r="Z536" t="s">
        <v>10385</v>
      </c>
      <c r="AA536" t="s">
        <v>10386</v>
      </c>
      <c r="AB536" t="s">
        <v>10387</v>
      </c>
      <c r="AC536" t="s">
        <v>10388</v>
      </c>
      <c r="AD536" t="s">
        <v>2319</v>
      </c>
      <c r="AE536" t="s">
        <v>10389</v>
      </c>
      <c r="AF536" t="s">
        <v>10390</v>
      </c>
      <c r="AG536" t="s">
        <v>10391</v>
      </c>
      <c r="AH536" t="s">
        <v>10392</v>
      </c>
      <c r="AI536" t="s">
        <v>10393</v>
      </c>
      <c r="AJ536" t="s">
        <v>10394</v>
      </c>
      <c r="AK536" t="s">
        <v>10395</v>
      </c>
      <c r="AL536" t="s">
        <v>10396</v>
      </c>
      <c r="AM536" t="s">
        <v>10397</v>
      </c>
      <c r="AN536" t="s">
        <v>10398</v>
      </c>
      <c r="AO536" t="s">
        <v>10399</v>
      </c>
      <c r="BA536" t="str">
        <f>"2299"</f>
        <v>2299</v>
      </c>
      <c r="BB536" t="str">
        <f>"970"</f>
        <v>970</v>
      </c>
      <c r="BC536" t="s">
        <v>665</v>
      </c>
      <c r="BD536" t="str">
        <f t="shared" si="116"/>
        <v>2</v>
      </c>
      <c r="BE536" t="s">
        <v>10375</v>
      </c>
      <c r="BF536" t="str">
        <f>"68.5"</f>
        <v>68.5</v>
      </c>
      <c r="BG536" t="str">
        <f>"58.07"</f>
        <v>58.07</v>
      </c>
      <c r="BH536" t="str">
        <f>"8.86"</f>
        <v>8.86</v>
      </c>
      <c r="BI536" t="str">
        <f>"110.23"</f>
        <v>110.23</v>
      </c>
      <c r="BJ536" t="s">
        <v>10375</v>
      </c>
      <c r="BK536" t="str">
        <f t="shared" si="117"/>
        <v>84.65</v>
      </c>
      <c r="BL536" t="str">
        <f t="shared" si="118"/>
        <v>14.96</v>
      </c>
      <c r="BM536" t="str">
        <f t="shared" si="119"/>
        <v>9.65</v>
      </c>
      <c r="BN536" t="str">
        <f>"82.67"</f>
        <v>82.67</v>
      </c>
      <c r="BY536" t="str">
        <f>"27.44"</f>
        <v>27.44</v>
      </c>
      <c r="BZ536" t="str">
        <f>"0.777"</f>
        <v>0.777</v>
      </c>
      <c r="CA536" t="s">
        <v>431</v>
      </c>
      <c r="CQ536" t="s">
        <v>438</v>
      </c>
      <c r="CR536" t="s">
        <v>400</v>
      </c>
      <c r="CS536">
        <v>0</v>
      </c>
      <c r="CT536" t="s">
        <v>400</v>
      </c>
      <c r="CV536">
        <v>0</v>
      </c>
      <c r="CX536" t="s">
        <v>1980</v>
      </c>
      <c r="CY536" t="s">
        <v>400</v>
      </c>
      <c r="DA536">
        <v>0</v>
      </c>
      <c r="DB536">
        <v>0</v>
      </c>
      <c r="DC536">
        <v>0</v>
      </c>
      <c r="DD536">
        <v>0</v>
      </c>
      <c r="DK536" t="s">
        <v>10376</v>
      </c>
      <c r="DM536" t="s">
        <v>2028</v>
      </c>
      <c r="EN536">
        <v>0</v>
      </c>
      <c r="HN536" t="s">
        <v>2174</v>
      </c>
      <c r="HO536" t="s">
        <v>2174</v>
      </c>
      <c r="HP536" t="s">
        <v>2174</v>
      </c>
      <c r="HQ536" t="s">
        <v>638</v>
      </c>
      <c r="HR536" t="s">
        <v>8233</v>
      </c>
      <c r="HS536" t="s">
        <v>10400</v>
      </c>
      <c r="HT536" t="s">
        <v>10377</v>
      </c>
      <c r="HU536" t="s">
        <v>8233</v>
      </c>
      <c r="HV536" t="s">
        <v>10400</v>
      </c>
      <c r="HW536" t="s">
        <v>2171</v>
      </c>
      <c r="HX536" t="s">
        <v>392</v>
      </c>
      <c r="HY536" t="s">
        <v>2193</v>
      </c>
      <c r="HZ536" t="s">
        <v>2599</v>
      </c>
      <c r="IA536" t="s">
        <v>10378</v>
      </c>
      <c r="IB536" t="s">
        <v>637</v>
      </c>
      <c r="IC536" t="s">
        <v>402</v>
      </c>
      <c r="ID536" t="s">
        <v>2036</v>
      </c>
      <c r="IE536" t="s">
        <v>2037</v>
      </c>
      <c r="IF536" t="s">
        <v>2177</v>
      </c>
      <c r="IG536" t="s">
        <v>2007</v>
      </c>
      <c r="IM536" t="s">
        <v>395</v>
      </c>
      <c r="IN536" t="s">
        <v>3949</v>
      </c>
      <c r="IO536" t="s">
        <v>395</v>
      </c>
      <c r="IP536" t="s">
        <v>402</v>
      </c>
      <c r="IQ536" t="s">
        <v>3522</v>
      </c>
    </row>
    <row r="537" spans="1:287" x14ac:dyDescent="0.25">
      <c r="A537" t="s">
        <v>10401</v>
      </c>
      <c r="B537" t="str">
        <f>"801542158118"</f>
        <v>801542158118</v>
      </c>
      <c r="C537" t="s">
        <v>10402</v>
      </c>
      <c r="D537" t="s">
        <v>1276</v>
      </c>
      <c r="E537" t="s">
        <v>2006</v>
      </c>
      <c r="F537" t="s">
        <v>2040</v>
      </c>
      <c r="G537" t="str">
        <f>"81"</f>
        <v>81</v>
      </c>
      <c r="H537" t="str">
        <f t="shared" si="114"/>
        <v>85.5</v>
      </c>
      <c r="I537" t="str">
        <f t="shared" si="115"/>
        <v>54</v>
      </c>
      <c r="J537" t="str">
        <f>"179.67"</f>
        <v>179.67</v>
      </c>
      <c r="K537" t="s">
        <v>1206</v>
      </c>
      <c r="L537" t="s">
        <v>10403</v>
      </c>
      <c r="N537" t="s">
        <v>416</v>
      </c>
      <c r="O537" t="s">
        <v>372</v>
      </c>
      <c r="T537" t="s">
        <v>373</v>
      </c>
      <c r="U537" t="s">
        <v>373</v>
      </c>
      <c r="V537" t="s">
        <v>10404</v>
      </c>
      <c r="W537" t="s">
        <v>10405</v>
      </c>
      <c r="X537" t="s">
        <v>10406</v>
      </c>
      <c r="Y537" t="s">
        <v>10407</v>
      </c>
      <c r="Z537" t="s">
        <v>10408</v>
      </c>
      <c r="AA537" t="s">
        <v>10409</v>
      </c>
      <c r="AB537" t="s">
        <v>10410</v>
      </c>
      <c r="AC537" t="s">
        <v>10411</v>
      </c>
      <c r="AD537" t="s">
        <v>10412</v>
      </c>
      <c r="AE537" t="s">
        <v>10413</v>
      </c>
      <c r="AF537" t="s">
        <v>10414</v>
      </c>
      <c r="AG537" t="s">
        <v>10415</v>
      </c>
      <c r="BA537" t="str">
        <f>"2599"</f>
        <v>2599</v>
      </c>
      <c r="BB537" t="str">
        <f>"1095"</f>
        <v>1095</v>
      </c>
      <c r="BC537" t="s">
        <v>665</v>
      </c>
      <c r="BD537" t="str">
        <f t="shared" si="116"/>
        <v>2</v>
      </c>
      <c r="BE537" t="s">
        <v>10375</v>
      </c>
      <c r="BF537" t="str">
        <f>"84.65"</f>
        <v>84.65</v>
      </c>
      <c r="BG537" t="str">
        <f>"58.07"</f>
        <v>58.07</v>
      </c>
      <c r="BH537" t="str">
        <f>"8.86"</f>
        <v>8.86</v>
      </c>
      <c r="BI537" t="str">
        <f>"126.77"</f>
        <v>126.77</v>
      </c>
      <c r="BJ537" t="s">
        <v>10375</v>
      </c>
      <c r="BK537" t="str">
        <f t="shared" si="117"/>
        <v>84.65</v>
      </c>
      <c r="BL537" t="str">
        <f t="shared" si="118"/>
        <v>14.96</v>
      </c>
      <c r="BM537" t="str">
        <f t="shared" si="119"/>
        <v>9.65</v>
      </c>
      <c r="BN537" t="str">
        <f>"88.18"</f>
        <v>88.18</v>
      </c>
      <c r="BY537" t="str">
        <f>"32.28"</f>
        <v>32.28</v>
      </c>
      <c r="BZ537" t="str">
        <f>"0.914"</f>
        <v>0.914</v>
      </c>
      <c r="CA537" t="s">
        <v>431</v>
      </c>
      <c r="CQ537" t="s">
        <v>438</v>
      </c>
      <c r="CR537" t="s">
        <v>400</v>
      </c>
      <c r="CS537">
        <v>0</v>
      </c>
      <c r="CT537" t="s">
        <v>400</v>
      </c>
      <c r="CV537">
        <v>0</v>
      </c>
      <c r="CX537" t="s">
        <v>1980</v>
      </c>
      <c r="CY537" t="s">
        <v>400</v>
      </c>
      <c r="DA537">
        <v>0</v>
      </c>
      <c r="DB537">
        <v>0</v>
      </c>
      <c r="DC537">
        <v>0</v>
      </c>
      <c r="DD537">
        <v>0</v>
      </c>
      <c r="DK537" t="s">
        <v>10376</v>
      </c>
      <c r="DM537" t="s">
        <v>2028</v>
      </c>
      <c r="EN537">
        <v>0</v>
      </c>
      <c r="HN537" t="s">
        <v>2174</v>
      </c>
      <c r="HO537" t="s">
        <v>2174</v>
      </c>
      <c r="HP537" t="s">
        <v>2174</v>
      </c>
      <c r="HQ537" t="s">
        <v>638</v>
      </c>
      <c r="HR537" t="s">
        <v>8233</v>
      </c>
      <c r="HS537" t="s">
        <v>2032</v>
      </c>
      <c r="HT537" t="s">
        <v>10377</v>
      </c>
      <c r="HU537" t="s">
        <v>8233</v>
      </c>
      <c r="HV537" t="s">
        <v>2032</v>
      </c>
      <c r="HW537" t="s">
        <v>2171</v>
      </c>
      <c r="HX537" t="s">
        <v>392</v>
      </c>
      <c r="HY537" t="s">
        <v>3255</v>
      </c>
      <c r="HZ537" t="s">
        <v>2599</v>
      </c>
      <c r="IA537" t="s">
        <v>10378</v>
      </c>
      <c r="IB537" t="s">
        <v>637</v>
      </c>
      <c r="IC537" t="s">
        <v>402</v>
      </c>
      <c r="ID537" t="s">
        <v>2036</v>
      </c>
      <c r="IE537" t="s">
        <v>2037</v>
      </c>
      <c r="IF537" t="s">
        <v>2177</v>
      </c>
      <c r="IG537" t="s">
        <v>2040</v>
      </c>
      <c r="IM537" t="s">
        <v>395</v>
      </c>
      <c r="IN537" t="s">
        <v>3949</v>
      </c>
      <c r="IO537" t="s">
        <v>395</v>
      </c>
      <c r="IP537" t="s">
        <v>402</v>
      </c>
      <c r="IQ537" t="s">
        <v>3522</v>
      </c>
    </row>
    <row r="538" spans="1:287" x14ac:dyDescent="0.25">
      <c r="A538" t="s">
        <v>10416</v>
      </c>
      <c r="B538" t="str">
        <f>"801542203924"</f>
        <v>801542203924</v>
      </c>
      <c r="C538" t="s">
        <v>10402</v>
      </c>
      <c r="D538" t="s">
        <v>1276</v>
      </c>
      <c r="E538" t="s">
        <v>2006</v>
      </c>
      <c r="F538" t="s">
        <v>2007</v>
      </c>
      <c r="G538" t="str">
        <f>"64.75"</f>
        <v>64.75</v>
      </c>
      <c r="H538" t="str">
        <f t="shared" si="114"/>
        <v>85.5</v>
      </c>
      <c r="I538" t="str">
        <f t="shared" si="115"/>
        <v>54</v>
      </c>
      <c r="J538" t="str">
        <f>"164.24"</f>
        <v>164.24</v>
      </c>
      <c r="K538" t="s">
        <v>1206</v>
      </c>
      <c r="L538" t="s">
        <v>10403</v>
      </c>
      <c r="N538" t="s">
        <v>416</v>
      </c>
      <c r="O538" t="s">
        <v>372</v>
      </c>
      <c r="T538" t="s">
        <v>373</v>
      </c>
      <c r="U538" t="s">
        <v>373</v>
      </c>
      <c r="V538" t="s">
        <v>10417</v>
      </c>
      <c r="W538" t="s">
        <v>10418</v>
      </c>
      <c r="X538" t="s">
        <v>10419</v>
      </c>
      <c r="Y538" t="s">
        <v>10420</v>
      </c>
      <c r="Z538" t="s">
        <v>10421</v>
      </c>
      <c r="AA538" t="s">
        <v>10422</v>
      </c>
      <c r="AB538" t="s">
        <v>10423</v>
      </c>
      <c r="AC538" t="s">
        <v>10424</v>
      </c>
      <c r="AD538" t="s">
        <v>10425</v>
      </c>
      <c r="AE538" t="s">
        <v>10426</v>
      </c>
      <c r="AF538" t="s">
        <v>10427</v>
      </c>
      <c r="AG538" t="s">
        <v>10428</v>
      </c>
      <c r="BA538" t="str">
        <f>"2299"</f>
        <v>2299</v>
      </c>
      <c r="BB538" t="str">
        <f>"970"</f>
        <v>970</v>
      </c>
      <c r="BC538" t="s">
        <v>665</v>
      </c>
      <c r="BD538" t="str">
        <f t="shared" si="116"/>
        <v>2</v>
      </c>
      <c r="BE538" t="s">
        <v>10375</v>
      </c>
      <c r="BF538" t="str">
        <f>"68.5"</f>
        <v>68.5</v>
      </c>
      <c r="BG538" t="str">
        <f>"58.07"</f>
        <v>58.07</v>
      </c>
      <c r="BH538" t="str">
        <f>"8.86"</f>
        <v>8.86</v>
      </c>
      <c r="BI538" t="str">
        <f>"110.23"</f>
        <v>110.23</v>
      </c>
      <c r="BJ538" t="s">
        <v>10375</v>
      </c>
      <c r="BK538" t="str">
        <f t="shared" si="117"/>
        <v>84.65</v>
      </c>
      <c r="BL538" t="str">
        <f t="shared" si="118"/>
        <v>14.96</v>
      </c>
      <c r="BM538" t="str">
        <f t="shared" si="119"/>
        <v>9.65</v>
      </c>
      <c r="BN538" t="str">
        <f>"82.67"</f>
        <v>82.67</v>
      </c>
      <c r="BY538" t="str">
        <f>"27.44"</f>
        <v>27.44</v>
      </c>
      <c r="BZ538" t="str">
        <f>"0.777"</f>
        <v>0.777</v>
      </c>
      <c r="CA538" t="s">
        <v>431</v>
      </c>
      <c r="CQ538" t="s">
        <v>438</v>
      </c>
      <c r="CR538" t="s">
        <v>400</v>
      </c>
      <c r="CS538">
        <v>0</v>
      </c>
      <c r="CT538" t="s">
        <v>400</v>
      </c>
      <c r="CV538">
        <v>0</v>
      </c>
      <c r="CX538" t="s">
        <v>1980</v>
      </c>
      <c r="CY538" t="s">
        <v>400</v>
      </c>
      <c r="DA538">
        <v>0</v>
      </c>
      <c r="DB538">
        <v>0</v>
      </c>
      <c r="DC538">
        <v>0</v>
      </c>
      <c r="DD538">
        <v>0</v>
      </c>
      <c r="DK538" t="s">
        <v>10376</v>
      </c>
      <c r="DM538" t="s">
        <v>2028</v>
      </c>
      <c r="EN538">
        <v>0</v>
      </c>
      <c r="HN538" t="s">
        <v>2174</v>
      </c>
      <c r="HO538" t="s">
        <v>2174</v>
      </c>
      <c r="HP538" t="s">
        <v>2174</v>
      </c>
      <c r="HQ538" t="s">
        <v>638</v>
      </c>
      <c r="HR538" t="s">
        <v>8233</v>
      </c>
      <c r="HS538" t="s">
        <v>10400</v>
      </c>
      <c r="HT538" t="s">
        <v>10377</v>
      </c>
      <c r="HU538" t="s">
        <v>8233</v>
      </c>
      <c r="HV538" t="s">
        <v>10400</v>
      </c>
      <c r="HW538" t="s">
        <v>2171</v>
      </c>
      <c r="HX538" t="s">
        <v>392</v>
      </c>
      <c r="HY538" t="s">
        <v>2193</v>
      </c>
      <c r="HZ538" t="s">
        <v>2599</v>
      </c>
      <c r="IA538" t="s">
        <v>10378</v>
      </c>
      <c r="IB538" t="s">
        <v>637</v>
      </c>
      <c r="IC538" t="s">
        <v>402</v>
      </c>
      <c r="ID538" t="s">
        <v>2036</v>
      </c>
      <c r="IE538" t="s">
        <v>2037</v>
      </c>
      <c r="IF538" t="s">
        <v>2177</v>
      </c>
      <c r="IG538" t="s">
        <v>2007</v>
      </c>
      <c r="IM538" t="s">
        <v>395</v>
      </c>
      <c r="IN538" t="s">
        <v>3949</v>
      </c>
      <c r="IO538" t="s">
        <v>395</v>
      </c>
      <c r="IP538" t="s">
        <v>402</v>
      </c>
      <c r="IQ538" t="s">
        <v>3522</v>
      </c>
    </row>
    <row r="539" spans="1:287" x14ac:dyDescent="0.25">
      <c r="A539" t="s">
        <v>10429</v>
      </c>
      <c r="B539" t="str">
        <f>"198394056403"</f>
        <v>198394056403</v>
      </c>
      <c r="C539" t="s">
        <v>10430</v>
      </c>
      <c r="D539" t="s">
        <v>1276</v>
      </c>
      <c r="E539" t="s">
        <v>2006</v>
      </c>
      <c r="F539" t="s">
        <v>2007</v>
      </c>
      <c r="G539" t="str">
        <f>"64.75"</f>
        <v>64.75</v>
      </c>
      <c r="H539" t="str">
        <f t="shared" si="114"/>
        <v>85.5</v>
      </c>
      <c r="I539" t="str">
        <f t="shared" si="115"/>
        <v>54</v>
      </c>
      <c r="J539" t="str">
        <f>"164.24"</f>
        <v>164.24</v>
      </c>
      <c r="K539" t="s">
        <v>10431</v>
      </c>
      <c r="L539" t="s">
        <v>10432</v>
      </c>
      <c r="N539" t="s">
        <v>10433</v>
      </c>
      <c r="O539" t="s">
        <v>10434</v>
      </c>
      <c r="P539" t="s">
        <v>10435</v>
      </c>
      <c r="Q539" t="s">
        <v>372</v>
      </c>
      <c r="T539" t="s">
        <v>373</v>
      </c>
      <c r="U539" t="s">
        <v>402</v>
      </c>
      <c r="W539" t="s">
        <v>10436</v>
      </c>
      <c r="X539" t="s">
        <v>10437</v>
      </c>
      <c r="Y539" t="s">
        <v>10438</v>
      </c>
      <c r="Z539" t="s">
        <v>10439</v>
      </c>
      <c r="AA539" t="s">
        <v>10440</v>
      </c>
      <c r="AB539" t="s">
        <v>10441</v>
      </c>
      <c r="AC539" t="s">
        <v>10442</v>
      </c>
      <c r="AD539" t="s">
        <v>10443</v>
      </c>
      <c r="AE539" t="s">
        <v>10444</v>
      </c>
      <c r="AF539" t="s">
        <v>10445</v>
      </c>
      <c r="AG539" t="s">
        <v>10446</v>
      </c>
      <c r="AH539" t="s">
        <v>10447</v>
      </c>
      <c r="AI539" t="s">
        <v>10448</v>
      </c>
      <c r="BA539" t="str">
        <f>"2099"</f>
        <v>2099</v>
      </c>
      <c r="BB539" t="str">
        <f>"885"</f>
        <v>885</v>
      </c>
      <c r="BC539" t="s">
        <v>665</v>
      </c>
      <c r="BD539" t="str">
        <f t="shared" si="116"/>
        <v>2</v>
      </c>
      <c r="BE539" t="s">
        <v>10375</v>
      </c>
      <c r="BF539" t="str">
        <f>"68.5"</f>
        <v>68.5</v>
      </c>
      <c r="BG539" t="str">
        <f>"8.86"</f>
        <v>8.86</v>
      </c>
      <c r="BH539" t="str">
        <f>"58.07"</f>
        <v>58.07</v>
      </c>
      <c r="BI539" t="str">
        <f>"110.23"</f>
        <v>110.23</v>
      </c>
      <c r="BJ539" t="s">
        <v>10375</v>
      </c>
      <c r="BK539" t="str">
        <f t="shared" si="117"/>
        <v>84.65</v>
      </c>
      <c r="BL539" t="str">
        <f t="shared" si="118"/>
        <v>14.96</v>
      </c>
      <c r="BM539" t="str">
        <f t="shared" si="119"/>
        <v>9.65</v>
      </c>
      <c r="BN539" t="str">
        <f>"82.67"</f>
        <v>82.67</v>
      </c>
      <c r="BY539" t="str">
        <f>"27.44"</f>
        <v>27.44</v>
      </c>
      <c r="BZ539" t="str">
        <f>"0.777"</f>
        <v>0.777</v>
      </c>
      <c r="CA539" t="s">
        <v>431</v>
      </c>
      <c r="CQ539" t="s">
        <v>631</v>
      </c>
      <c r="CR539" t="s">
        <v>400</v>
      </c>
      <c r="CS539">
        <v>0</v>
      </c>
      <c r="CT539" t="s">
        <v>400</v>
      </c>
      <c r="CV539">
        <v>0</v>
      </c>
      <c r="CX539" t="s">
        <v>1980</v>
      </c>
      <c r="CY539" t="s">
        <v>400</v>
      </c>
      <c r="DA539">
        <v>0</v>
      </c>
      <c r="DB539">
        <v>0</v>
      </c>
      <c r="DC539">
        <v>0</v>
      </c>
      <c r="DD539">
        <v>25000</v>
      </c>
      <c r="DK539" t="s">
        <v>10376</v>
      </c>
      <c r="DM539" t="s">
        <v>2028</v>
      </c>
      <c r="EN539">
        <v>0</v>
      </c>
      <c r="HN539" t="s">
        <v>2174</v>
      </c>
      <c r="HO539" t="s">
        <v>2174</v>
      </c>
      <c r="HP539" t="s">
        <v>2174</v>
      </c>
      <c r="HQ539" t="s">
        <v>638</v>
      </c>
      <c r="HR539" t="s">
        <v>8233</v>
      </c>
      <c r="HS539" t="s">
        <v>10400</v>
      </c>
      <c r="HT539" t="s">
        <v>10377</v>
      </c>
      <c r="HU539" t="s">
        <v>8233</v>
      </c>
      <c r="HV539" t="s">
        <v>10400</v>
      </c>
      <c r="HW539" t="s">
        <v>2171</v>
      </c>
      <c r="HX539" t="s">
        <v>392</v>
      </c>
      <c r="HY539" t="s">
        <v>2193</v>
      </c>
      <c r="HZ539" t="s">
        <v>2599</v>
      </c>
      <c r="IA539" t="s">
        <v>10378</v>
      </c>
      <c r="IB539" t="s">
        <v>637</v>
      </c>
      <c r="IC539" t="s">
        <v>402</v>
      </c>
      <c r="ID539" t="s">
        <v>2036</v>
      </c>
      <c r="IE539" t="s">
        <v>2037</v>
      </c>
      <c r="IF539" t="s">
        <v>2177</v>
      </c>
      <c r="IG539" t="s">
        <v>2007</v>
      </c>
      <c r="IM539" t="s">
        <v>395</v>
      </c>
      <c r="IN539" t="s">
        <v>3949</v>
      </c>
      <c r="IO539" t="s">
        <v>395</v>
      </c>
      <c r="IP539" t="s">
        <v>402</v>
      </c>
      <c r="IQ539" t="s">
        <v>3522</v>
      </c>
    </row>
    <row r="540" spans="1:287" x14ac:dyDescent="0.25">
      <c r="A540" t="s">
        <v>10449</v>
      </c>
      <c r="B540" t="str">
        <f>"198394056397"</f>
        <v>198394056397</v>
      </c>
      <c r="C540" t="s">
        <v>10430</v>
      </c>
      <c r="D540" t="s">
        <v>1276</v>
      </c>
      <c r="E540" t="s">
        <v>2006</v>
      </c>
      <c r="F540" t="s">
        <v>2040</v>
      </c>
      <c r="G540" t="str">
        <f>"81"</f>
        <v>81</v>
      </c>
      <c r="H540" t="str">
        <f t="shared" si="114"/>
        <v>85.5</v>
      </c>
      <c r="I540" t="str">
        <f t="shared" si="115"/>
        <v>54</v>
      </c>
      <c r="J540" t="str">
        <f>"179.67"</f>
        <v>179.67</v>
      </c>
      <c r="K540" t="s">
        <v>10431</v>
      </c>
      <c r="L540" t="s">
        <v>10432</v>
      </c>
      <c r="N540" t="s">
        <v>10433</v>
      </c>
      <c r="O540" t="s">
        <v>10434</v>
      </c>
      <c r="P540" t="s">
        <v>10435</v>
      </c>
      <c r="Q540" t="s">
        <v>372</v>
      </c>
      <c r="T540" t="s">
        <v>373</v>
      </c>
      <c r="U540" t="s">
        <v>402</v>
      </c>
      <c r="W540" t="s">
        <v>10450</v>
      </c>
      <c r="X540" t="s">
        <v>10451</v>
      </c>
      <c r="Y540" t="s">
        <v>10452</v>
      </c>
      <c r="Z540" t="s">
        <v>10453</v>
      </c>
      <c r="AA540" t="s">
        <v>10454</v>
      </c>
      <c r="AB540" t="s">
        <v>10455</v>
      </c>
      <c r="AC540" t="s">
        <v>10456</v>
      </c>
      <c r="AD540" t="s">
        <v>10457</v>
      </c>
      <c r="AE540" t="s">
        <v>10458</v>
      </c>
      <c r="AF540" t="s">
        <v>10459</v>
      </c>
      <c r="AG540" t="s">
        <v>10460</v>
      </c>
      <c r="AH540" t="s">
        <v>10461</v>
      </c>
      <c r="AI540" t="s">
        <v>10462</v>
      </c>
      <c r="AJ540" t="s">
        <v>10463</v>
      </c>
      <c r="AK540" t="s">
        <v>10464</v>
      </c>
      <c r="BA540" t="str">
        <f>"2299"</f>
        <v>2299</v>
      </c>
      <c r="BB540" t="str">
        <f>"970"</f>
        <v>970</v>
      </c>
      <c r="BC540" t="s">
        <v>665</v>
      </c>
      <c r="BD540" t="str">
        <f t="shared" si="116"/>
        <v>2</v>
      </c>
      <c r="BE540" t="s">
        <v>10375</v>
      </c>
      <c r="BF540" t="str">
        <f>"84.65"</f>
        <v>84.65</v>
      </c>
      <c r="BG540" t="str">
        <f>"8.86"</f>
        <v>8.86</v>
      </c>
      <c r="BH540" t="str">
        <f>"58.07"</f>
        <v>58.07</v>
      </c>
      <c r="BI540" t="str">
        <f>"126.77"</f>
        <v>126.77</v>
      </c>
      <c r="BJ540" t="s">
        <v>10375</v>
      </c>
      <c r="BK540" t="str">
        <f t="shared" si="117"/>
        <v>84.65</v>
      </c>
      <c r="BL540" t="str">
        <f t="shared" si="118"/>
        <v>14.96</v>
      </c>
      <c r="BM540" t="str">
        <f t="shared" si="119"/>
        <v>9.65</v>
      </c>
      <c r="BN540" t="str">
        <f>"88.18"</f>
        <v>88.18</v>
      </c>
      <c r="BY540" t="str">
        <f>"32.28"</f>
        <v>32.28</v>
      </c>
      <c r="BZ540" t="str">
        <f>"0.914"</f>
        <v>0.914</v>
      </c>
      <c r="CA540" t="s">
        <v>431</v>
      </c>
      <c r="CQ540" t="s">
        <v>631</v>
      </c>
      <c r="CR540" t="s">
        <v>400</v>
      </c>
      <c r="CS540">
        <v>0</v>
      </c>
      <c r="CT540" t="s">
        <v>400</v>
      </c>
      <c r="CV540">
        <v>0</v>
      </c>
      <c r="CX540" t="s">
        <v>1980</v>
      </c>
      <c r="CY540" t="s">
        <v>400</v>
      </c>
      <c r="DA540">
        <v>0</v>
      </c>
      <c r="DB540">
        <v>0</v>
      </c>
      <c r="DC540">
        <v>0</v>
      </c>
      <c r="DD540">
        <v>25000</v>
      </c>
      <c r="DK540" t="s">
        <v>10376</v>
      </c>
      <c r="DM540" t="s">
        <v>2028</v>
      </c>
      <c r="EN540">
        <v>0</v>
      </c>
      <c r="HN540" t="s">
        <v>2174</v>
      </c>
      <c r="HO540" t="s">
        <v>2174</v>
      </c>
      <c r="HP540" t="s">
        <v>2174</v>
      </c>
      <c r="HQ540" t="s">
        <v>638</v>
      </c>
      <c r="HR540" t="s">
        <v>8233</v>
      </c>
      <c r="HS540" t="s">
        <v>2032</v>
      </c>
      <c r="HT540" t="s">
        <v>10377</v>
      </c>
      <c r="HU540" t="s">
        <v>8233</v>
      </c>
      <c r="HV540" t="s">
        <v>2032</v>
      </c>
      <c r="HW540" t="s">
        <v>2171</v>
      </c>
      <c r="HX540" t="s">
        <v>392</v>
      </c>
      <c r="HY540" t="s">
        <v>3255</v>
      </c>
      <c r="HZ540" t="s">
        <v>2599</v>
      </c>
      <c r="IA540" t="s">
        <v>10378</v>
      </c>
      <c r="IB540" t="s">
        <v>637</v>
      </c>
      <c r="IC540" t="s">
        <v>402</v>
      </c>
      <c r="ID540" t="s">
        <v>2036</v>
      </c>
      <c r="IE540" t="s">
        <v>2037</v>
      </c>
      <c r="IF540" t="s">
        <v>2177</v>
      </c>
      <c r="IG540" t="s">
        <v>2040</v>
      </c>
      <c r="IM540" t="s">
        <v>395</v>
      </c>
      <c r="IN540" t="s">
        <v>3949</v>
      </c>
      <c r="IO540" t="s">
        <v>395</v>
      </c>
      <c r="IP540" t="s">
        <v>402</v>
      </c>
      <c r="IQ540" t="s">
        <v>3522</v>
      </c>
    </row>
    <row r="541" spans="1:287" x14ac:dyDescent="0.25">
      <c r="A541" t="s">
        <v>10465</v>
      </c>
      <c r="B541" t="str">
        <f>"801542028756"</f>
        <v>801542028756</v>
      </c>
      <c r="C541" t="s">
        <v>10466</v>
      </c>
      <c r="D541" t="s">
        <v>722</v>
      </c>
      <c r="E541" t="s">
        <v>988</v>
      </c>
      <c r="G541" t="str">
        <f>"88"</f>
        <v>88</v>
      </c>
      <c r="H541" t="str">
        <f t="shared" ref="H541:H547" si="120">"17"</f>
        <v>17</v>
      </c>
      <c r="I541" t="str">
        <f>"33"</f>
        <v>33</v>
      </c>
      <c r="J541" t="str">
        <f>"321.87"</f>
        <v>321.87</v>
      </c>
      <c r="K541" t="s">
        <v>9068</v>
      </c>
      <c r="L541" t="s">
        <v>10467</v>
      </c>
      <c r="N541" t="s">
        <v>1970</v>
      </c>
      <c r="O541" t="s">
        <v>775</v>
      </c>
      <c r="T541" t="s">
        <v>373</v>
      </c>
      <c r="U541" t="s">
        <v>373</v>
      </c>
      <c r="V541" t="s">
        <v>10468</v>
      </c>
      <c r="W541" t="s">
        <v>10469</v>
      </c>
      <c r="X541" t="s">
        <v>10470</v>
      </c>
      <c r="Y541" t="s">
        <v>10471</v>
      </c>
      <c r="Z541" t="s">
        <v>10472</v>
      </c>
      <c r="AA541" t="s">
        <v>10473</v>
      </c>
      <c r="AB541" t="s">
        <v>10474</v>
      </c>
      <c r="AC541" t="s">
        <v>10475</v>
      </c>
      <c r="AD541" t="s">
        <v>10476</v>
      </c>
      <c r="AE541" t="s">
        <v>10477</v>
      </c>
      <c r="AF541" t="s">
        <v>10478</v>
      </c>
      <c r="AG541" t="s">
        <v>10479</v>
      </c>
      <c r="AH541" t="s">
        <v>10480</v>
      </c>
      <c r="AI541" t="s">
        <v>10481</v>
      </c>
      <c r="AJ541" t="s">
        <v>10482</v>
      </c>
      <c r="AK541" t="s">
        <v>10483</v>
      </c>
      <c r="AL541" t="s">
        <v>10484</v>
      </c>
      <c r="AM541" t="s">
        <v>10485</v>
      </c>
      <c r="AN541" t="s">
        <v>10486</v>
      </c>
      <c r="BA541" t="str">
        <f>"2999"</f>
        <v>2999</v>
      </c>
      <c r="BB541" t="str">
        <f>"1260"</f>
        <v>1260</v>
      </c>
      <c r="BC541" t="s">
        <v>665</v>
      </c>
      <c r="BD541" t="str">
        <f t="shared" ref="BD541:BD552" si="121">"1"</f>
        <v>1</v>
      </c>
      <c r="BE541" t="s">
        <v>10487</v>
      </c>
      <c r="BF541" t="str">
        <f>"92.52"</f>
        <v>92.52</v>
      </c>
      <c r="BG541" t="str">
        <f t="shared" ref="BG541:BG546" si="122">"21.65"</f>
        <v>21.65</v>
      </c>
      <c r="BH541" t="str">
        <f>"36.61"</f>
        <v>36.61</v>
      </c>
      <c r="BI541" t="str">
        <f>"370.38"</f>
        <v>370.38</v>
      </c>
      <c r="BY541" t="str">
        <f>"42.45"</f>
        <v>42.45</v>
      </c>
      <c r="BZ541" t="str">
        <f>"1.202"</f>
        <v>1.202</v>
      </c>
      <c r="CA541" t="s">
        <v>431</v>
      </c>
      <c r="CR541" t="s">
        <v>1007</v>
      </c>
      <c r="CS541">
        <v>9</v>
      </c>
      <c r="CT541" t="s">
        <v>1312</v>
      </c>
      <c r="CV541">
        <v>0</v>
      </c>
      <c r="CX541" t="s">
        <v>1980</v>
      </c>
      <c r="CY541" t="s">
        <v>1009</v>
      </c>
      <c r="DC541">
        <v>0</v>
      </c>
      <c r="DJ541" t="s">
        <v>1010</v>
      </c>
      <c r="DK541" t="s">
        <v>7622</v>
      </c>
      <c r="DM541" t="s">
        <v>669</v>
      </c>
      <c r="DX541" t="s">
        <v>1358</v>
      </c>
      <c r="EM541" t="s">
        <v>402</v>
      </c>
      <c r="EN541">
        <v>0</v>
      </c>
      <c r="FI541">
        <v>0</v>
      </c>
      <c r="FJ541" t="s">
        <v>1012</v>
      </c>
      <c r="FP541" t="s">
        <v>402</v>
      </c>
      <c r="FR541" t="s">
        <v>6954</v>
      </c>
      <c r="FT541" t="s">
        <v>3511</v>
      </c>
      <c r="FV541" t="s">
        <v>10488</v>
      </c>
      <c r="FX541" t="s">
        <v>4210</v>
      </c>
      <c r="FZ541" t="s">
        <v>953</v>
      </c>
      <c r="GA541" t="s">
        <v>402</v>
      </c>
    </row>
    <row r="542" spans="1:287" x14ac:dyDescent="0.25">
      <c r="A542" t="s">
        <v>10489</v>
      </c>
      <c r="B542" t="str">
        <f>"198394020343"</f>
        <v>198394020343</v>
      </c>
      <c r="C542" t="s">
        <v>10490</v>
      </c>
      <c r="D542" t="s">
        <v>722</v>
      </c>
      <c r="E542" t="s">
        <v>988</v>
      </c>
      <c r="G542" t="str">
        <f>"88"</f>
        <v>88</v>
      </c>
      <c r="H542" t="str">
        <f t="shared" si="120"/>
        <v>17</v>
      </c>
      <c r="I542" t="str">
        <f>"33"</f>
        <v>33</v>
      </c>
      <c r="J542" t="str">
        <f>"321.87"</f>
        <v>321.87</v>
      </c>
      <c r="K542" t="s">
        <v>10491</v>
      </c>
      <c r="L542" t="s">
        <v>10492</v>
      </c>
      <c r="N542" t="s">
        <v>1970</v>
      </c>
      <c r="O542" t="s">
        <v>775</v>
      </c>
      <c r="T542" t="s">
        <v>373</v>
      </c>
      <c r="U542" t="s">
        <v>373</v>
      </c>
      <c r="V542" t="s">
        <v>10493</v>
      </c>
      <c r="W542" t="s">
        <v>10494</v>
      </c>
      <c r="X542" t="s">
        <v>10495</v>
      </c>
      <c r="Y542" t="s">
        <v>10496</v>
      </c>
      <c r="Z542" t="s">
        <v>10497</v>
      </c>
      <c r="AA542" t="s">
        <v>10498</v>
      </c>
      <c r="AB542" t="s">
        <v>10499</v>
      </c>
      <c r="AC542" t="s">
        <v>10500</v>
      </c>
      <c r="AD542" t="s">
        <v>10501</v>
      </c>
      <c r="AE542" t="s">
        <v>10502</v>
      </c>
      <c r="AF542" t="s">
        <v>10503</v>
      </c>
      <c r="AG542" t="s">
        <v>10504</v>
      </c>
      <c r="AH542" t="s">
        <v>10505</v>
      </c>
      <c r="AI542" t="s">
        <v>10506</v>
      </c>
      <c r="AJ542" t="s">
        <v>10507</v>
      </c>
      <c r="AK542" t="s">
        <v>10508</v>
      </c>
      <c r="BA542" t="str">
        <f>"2999"</f>
        <v>2999</v>
      </c>
      <c r="BB542" t="str">
        <f>"1260"</f>
        <v>1260</v>
      </c>
      <c r="BC542" t="s">
        <v>665</v>
      </c>
      <c r="BD542" t="str">
        <f t="shared" si="121"/>
        <v>1</v>
      </c>
      <c r="BE542" t="s">
        <v>389</v>
      </c>
      <c r="BF542" t="str">
        <f>"92.52"</f>
        <v>92.52</v>
      </c>
      <c r="BG542" t="str">
        <f t="shared" si="122"/>
        <v>21.65</v>
      </c>
      <c r="BH542" t="str">
        <f>"36.61"</f>
        <v>36.61</v>
      </c>
      <c r="BI542" t="str">
        <f>"370.38"</f>
        <v>370.38</v>
      </c>
      <c r="BY542" t="str">
        <f>"42.45"</f>
        <v>42.45</v>
      </c>
      <c r="BZ542" t="str">
        <f>"1.202"</f>
        <v>1.202</v>
      </c>
      <c r="CA542" t="s">
        <v>495</v>
      </c>
      <c r="CR542" t="s">
        <v>1007</v>
      </c>
      <c r="CS542">
        <v>9</v>
      </c>
      <c r="CT542" t="s">
        <v>1312</v>
      </c>
      <c r="CV542">
        <v>0</v>
      </c>
      <c r="CX542" t="s">
        <v>1980</v>
      </c>
      <c r="CY542" t="s">
        <v>1009</v>
      </c>
      <c r="DC542">
        <v>0</v>
      </c>
      <c r="DJ542" t="s">
        <v>1010</v>
      </c>
      <c r="DK542" t="s">
        <v>7622</v>
      </c>
      <c r="DM542" t="s">
        <v>669</v>
      </c>
      <c r="DX542" t="s">
        <v>1358</v>
      </c>
      <c r="EM542" t="s">
        <v>402</v>
      </c>
      <c r="EN542">
        <v>0</v>
      </c>
      <c r="FI542">
        <v>0</v>
      </c>
      <c r="FJ542" t="s">
        <v>1012</v>
      </c>
      <c r="FP542" t="s">
        <v>402</v>
      </c>
      <c r="FR542" t="s">
        <v>6954</v>
      </c>
      <c r="FT542" t="s">
        <v>3511</v>
      </c>
      <c r="FV542" t="s">
        <v>10488</v>
      </c>
      <c r="FX542" t="s">
        <v>4210</v>
      </c>
      <c r="FZ542" t="s">
        <v>953</v>
      </c>
      <c r="GA542" t="s">
        <v>402</v>
      </c>
    </row>
    <row r="543" spans="1:287" x14ac:dyDescent="0.25">
      <c r="A543" t="s">
        <v>10509</v>
      </c>
      <c r="B543" t="str">
        <f>"801542028749"</f>
        <v>801542028749</v>
      </c>
      <c r="C543" t="s">
        <v>10510</v>
      </c>
      <c r="D543" t="s">
        <v>722</v>
      </c>
      <c r="E543" t="s">
        <v>988</v>
      </c>
      <c r="G543" t="str">
        <f>"75"</f>
        <v>75</v>
      </c>
      <c r="H543" t="str">
        <f t="shared" si="120"/>
        <v>17</v>
      </c>
      <c r="I543" t="str">
        <f>"33"</f>
        <v>33</v>
      </c>
      <c r="J543" t="str">
        <f>"260.14"</f>
        <v>260.14</v>
      </c>
      <c r="K543" t="s">
        <v>9068</v>
      </c>
      <c r="L543" t="s">
        <v>10467</v>
      </c>
      <c r="N543" t="s">
        <v>1970</v>
      </c>
      <c r="O543" t="s">
        <v>775</v>
      </c>
      <c r="T543" t="s">
        <v>373</v>
      </c>
      <c r="U543" t="s">
        <v>373</v>
      </c>
      <c r="V543" t="s">
        <v>10511</v>
      </c>
      <c r="W543" t="s">
        <v>10512</v>
      </c>
      <c r="X543" t="s">
        <v>10513</v>
      </c>
      <c r="Y543" t="s">
        <v>10514</v>
      </c>
      <c r="Z543" t="s">
        <v>10515</v>
      </c>
      <c r="AA543" t="s">
        <v>10516</v>
      </c>
      <c r="AB543" t="s">
        <v>10517</v>
      </c>
      <c r="AC543" t="s">
        <v>10518</v>
      </c>
      <c r="AD543" t="s">
        <v>10519</v>
      </c>
      <c r="AE543" t="s">
        <v>10520</v>
      </c>
      <c r="AF543" t="s">
        <v>10521</v>
      </c>
      <c r="AG543" t="s">
        <v>10522</v>
      </c>
      <c r="AH543" t="s">
        <v>10523</v>
      </c>
      <c r="AI543" t="s">
        <v>10524</v>
      </c>
      <c r="AJ543" t="s">
        <v>10525</v>
      </c>
      <c r="AK543" t="s">
        <v>10526</v>
      </c>
      <c r="AL543" t="s">
        <v>10527</v>
      </c>
      <c r="BA543" t="str">
        <f>"2399"</f>
        <v>2399</v>
      </c>
      <c r="BB543" t="str">
        <f>"1010"</f>
        <v>1010</v>
      </c>
      <c r="BC543" t="s">
        <v>665</v>
      </c>
      <c r="BD543" t="str">
        <f t="shared" si="121"/>
        <v>1</v>
      </c>
      <c r="BE543" t="s">
        <v>7677</v>
      </c>
      <c r="BF543" t="str">
        <f>"79.53"</f>
        <v>79.53</v>
      </c>
      <c r="BG543" t="str">
        <f t="shared" si="122"/>
        <v>21.65</v>
      </c>
      <c r="BH543" t="str">
        <f>"36.61"</f>
        <v>36.61</v>
      </c>
      <c r="BI543" t="str">
        <f>"308.65"</f>
        <v>308.65</v>
      </c>
      <c r="BY543" t="str">
        <f>"36.48"</f>
        <v>36.48</v>
      </c>
      <c r="BZ543" t="str">
        <f>"1.033"</f>
        <v>1.033</v>
      </c>
      <c r="CA543" t="s">
        <v>431</v>
      </c>
      <c r="CR543" t="s">
        <v>1007</v>
      </c>
      <c r="CS543">
        <v>6</v>
      </c>
      <c r="CT543" t="s">
        <v>1312</v>
      </c>
      <c r="CV543">
        <v>0</v>
      </c>
      <c r="CX543" t="s">
        <v>1980</v>
      </c>
      <c r="CY543" t="s">
        <v>1009</v>
      </c>
      <c r="DC543">
        <v>0</v>
      </c>
      <c r="DJ543" t="s">
        <v>1010</v>
      </c>
      <c r="DK543" t="s">
        <v>7622</v>
      </c>
      <c r="DM543" t="s">
        <v>669</v>
      </c>
      <c r="DX543" t="s">
        <v>1358</v>
      </c>
      <c r="EM543" t="s">
        <v>402</v>
      </c>
      <c r="EN543">
        <v>0</v>
      </c>
      <c r="FI543">
        <v>0</v>
      </c>
      <c r="FJ543" t="s">
        <v>1012</v>
      </c>
      <c r="FP543" t="s">
        <v>402</v>
      </c>
      <c r="FR543" t="s">
        <v>6954</v>
      </c>
      <c r="FT543" t="s">
        <v>3511</v>
      </c>
      <c r="FV543" t="s">
        <v>10528</v>
      </c>
      <c r="FX543" t="s">
        <v>4210</v>
      </c>
      <c r="FZ543" t="s">
        <v>953</v>
      </c>
      <c r="GA543" t="s">
        <v>402</v>
      </c>
    </row>
    <row r="544" spans="1:287" x14ac:dyDescent="0.25">
      <c r="A544" t="s">
        <v>10529</v>
      </c>
      <c r="B544" t="str">
        <f>"198394020336"</f>
        <v>198394020336</v>
      </c>
      <c r="C544" t="s">
        <v>10530</v>
      </c>
      <c r="D544" t="s">
        <v>722</v>
      </c>
      <c r="E544" t="s">
        <v>988</v>
      </c>
      <c r="G544" t="str">
        <f>"75"</f>
        <v>75</v>
      </c>
      <c r="H544" t="str">
        <f t="shared" si="120"/>
        <v>17</v>
      </c>
      <c r="I544" t="str">
        <f>"33"</f>
        <v>33</v>
      </c>
      <c r="J544" t="str">
        <f>"260.14"</f>
        <v>260.14</v>
      </c>
      <c r="K544" t="s">
        <v>10491</v>
      </c>
      <c r="L544" t="s">
        <v>10492</v>
      </c>
      <c r="N544" t="s">
        <v>1970</v>
      </c>
      <c r="O544" t="s">
        <v>775</v>
      </c>
      <c r="T544" t="s">
        <v>373</v>
      </c>
      <c r="U544" t="s">
        <v>373</v>
      </c>
      <c r="V544" t="s">
        <v>10531</v>
      </c>
      <c r="W544" t="s">
        <v>10532</v>
      </c>
      <c r="X544" t="s">
        <v>10533</v>
      </c>
      <c r="Y544" t="s">
        <v>10534</v>
      </c>
      <c r="Z544" t="s">
        <v>10535</v>
      </c>
      <c r="AA544" t="s">
        <v>10536</v>
      </c>
      <c r="AB544" t="s">
        <v>10537</v>
      </c>
      <c r="AC544" t="s">
        <v>10538</v>
      </c>
      <c r="AD544" t="s">
        <v>10539</v>
      </c>
      <c r="AE544" t="s">
        <v>10540</v>
      </c>
      <c r="AF544" t="s">
        <v>10541</v>
      </c>
      <c r="AG544" t="s">
        <v>10542</v>
      </c>
      <c r="AH544" t="s">
        <v>10543</v>
      </c>
      <c r="AI544" t="s">
        <v>10544</v>
      </c>
      <c r="AJ544" t="s">
        <v>10545</v>
      </c>
      <c r="AK544" t="s">
        <v>10546</v>
      </c>
      <c r="BA544" t="str">
        <f>"2399"</f>
        <v>2399</v>
      </c>
      <c r="BB544" t="str">
        <f>"1010"</f>
        <v>1010</v>
      </c>
      <c r="BC544" t="s">
        <v>665</v>
      </c>
      <c r="BD544" t="str">
        <f t="shared" si="121"/>
        <v>1</v>
      </c>
      <c r="BE544" t="s">
        <v>389</v>
      </c>
      <c r="BF544" t="str">
        <f>"79.53"</f>
        <v>79.53</v>
      </c>
      <c r="BG544" t="str">
        <f t="shared" si="122"/>
        <v>21.65</v>
      </c>
      <c r="BH544" t="str">
        <f>"36.61"</f>
        <v>36.61</v>
      </c>
      <c r="BI544" t="str">
        <f>"308.65"</f>
        <v>308.65</v>
      </c>
      <c r="BY544" t="str">
        <f>"36.48"</f>
        <v>36.48</v>
      </c>
      <c r="BZ544" t="str">
        <f>"1.033"</f>
        <v>1.033</v>
      </c>
      <c r="CA544" t="s">
        <v>495</v>
      </c>
      <c r="CR544" t="s">
        <v>1007</v>
      </c>
      <c r="CS544">
        <v>6</v>
      </c>
      <c r="CT544" t="s">
        <v>1312</v>
      </c>
      <c r="CV544">
        <v>0</v>
      </c>
      <c r="CX544" t="s">
        <v>1980</v>
      </c>
      <c r="CY544" t="s">
        <v>1009</v>
      </c>
      <c r="DC544">
        <v>0</v>
      </c>
      <c r="DJ544" t="s">
        <v>1010</v>
      </c>
      <c r="DK544" t="s">
        <v>7622</v>
      </c>
      <c r="DM544" t="s">
        <v>669</v>
      </c>
      <c r="DX544" t="s">
        <v>1358</v>
      </c>
      <c r="EM544" t="s">
        <v>402</v>
      </c>
      <c r="EN544">
        <v>0</v>
      </c>
      <c r="FI544">
        <v>0</v>
      </c>
      <c r="FJ544" t="s">
        <v>1012</v>
      </c>
      <c r="FP544" t="s">
        <v>402</v>
      </c>
      <c r="FR544" t="s">
        <v>6954</v>
      </c>
      <c r="FT544" t="s">
        <v>3511</v>
      </c>
      <c r="FV544" t="s">
        <v>10528</v>
      </c>
      <c r="FX544" t="s">
        <v>4210</v>
      </c>
      <c r="FZ544" t="s">
        <v>953</v>
      </c>
      <c r="GA544" t="s">
        <v>402</v>
      </c>
    </row>
    <row r="545" spans="1:293" x14ac:dyDescent="0.25">
      <c r="A545" t="s">
        <v>10547</v>
      </c>
      <c r="B545" t="str">
        <f>"801542824525"</f>
        <v>801542824525</v>
      </c>
      <c r="C545" t="s">
        <v>10548</v>
      </c>
      <c r="D545" t="s">
        <v>722</v>
      </c>
      <c r="E545" t="s">
        <v>1043</v>
      </c>
      <c r="G545" t="str">
        <f>"32"</f>
        <v>32</v>
      </c>
      <c r="H545" t="str">
        <f t="shared" si="120"/>
        <v>17</v>
      </c>
      <c r="I545" t="str">
        <f>"26.5"</f>
        <v>26.5</v>
      </c>
      <c r="J545" t="str">
        <f>"92.59"</f>
        <v>92.59</v>
      </c>
      <c r="K545" t="s">
        <v>9068</v>
      </c>
      <c r="L545" t="s">
        <v>10467</v>
      </c>
      <c r="N545" t="s">
        <v>1970</v>
      </c>
      <c r="O545" t="s">
        <v>775</v>
      </c>
      <c r="T545" t="s">
        <v>373</v>
      </c>
      <c r="U545" t="s">
        <v>373</v>
      </c>
      <c r="V545" t="s">
        <v>10549</v>
      </c>
      <c r="W545" t="s">
        <v>10550</v>
      </c>
      <c r="X545" t="s">
        <v>10551</v>
      </c>
      <c r="Y545" t="s">
        <v>10552</v>
      </c>
      <c r="Z545" t="s">
        <v>10553</v>
      </c>
      <c r="AA545" t="s">
        <v>10554</v>
      </c>
      <c r="AB545" t="s">
        <v>10555</v>
      </c>
      <c r="AC545" t="s">
        <v>10556</v>
      </c>
      <c r="AD545" t="s">
        <v>10557</v>
      </c>
      <c r="AE545" t="s">
        <v>10558</v>
      </c>
      <c r="AF545" t="s">
        <v>10559</v>
      </c>
      <c r="AG545" t="s">
        <v>10560</v>
      </c>
      <c r="AH545" t="s">
        <v>10561</v>
      </c>
      <c r="AI545" t="s">
        <v>10562</v>
      </c>
      <c r="AJ545" t="s">
        <v>10563</v>
      </c>
      <c r="AK545" t="s">
        <v>10564</v>
      </c>
      <c r="AL545" t="s">
        <v>10565</v>
      </c>
      <c r="AM545" t="s">
        <v>10566</v>
      </c>
      <c r="AN545" t="s">
        <v>10567</v>
      </c>
      <c r="AO545" t="s">
        <v>10568</v>
      </c>
      <c r="AP545" t="s">
        <v>10569</v>
      </c>
      <c r="AQ545" t="s">
        <v>10570</v>
      </c>
      <c r="AR545" t="s">
        <v>10571</v>
      </c>
      <c r="AS545" t="s">
        <v>10572</v>
      </c>
      <c r="AT545" t="s">
        <v>10573</v>
      </c>
      <c r="AU545" t="s">
        <v>10574</v>
      </c>
      <c r="AV545" t="s">
        <v>10575</v>
      </c>
      <c r="AW545" t="s">
        <v>10576</v>
      </c>
      <c r="AX545" t="s">
        <v>10577</v>
      </c>
      <c r="AY545" t="s">
        <v>10578</v>
      </c>
      <c r="AZ545" t="s">
        <v>10579</v>
      </c>
      <c r="BA545" t="str">
        <f>"1049"</f>
        <v>1049</v>
      </c>
      <c r="BB545" t="str">
        <f>"445"</f>
        <v>445</v>
      </c>
      <c r="BC545" t="s">
        <v>665</v>
      </c>
      <c r="BD545" t="str">
        <f t="shared" si="121"/>
        <v>1</v>
      </c>
      <c r="BE545" t="s">
        <v>389</v>
      </c>
      <c r="BF545" t="str">
        <f>"36.61"</f>
        <v>36.61</v>
      </c>
      <c r="BG545" t="str">
        <f t="shared" si="122"/>
        <v>21.65</v>
      </c>
      <c r="BH545" t="str">
        <f>"30.31"</f>
        <v>30.31</v>
      </c>
      <c r="BI545" t="str">
        <f>"119.05"</f>
        <v>119.05</v>
      </c>
      <c r="BY545" t="str">
        <f>"13.91"</f>
        <v>13.91</v>
      </c>
      <c r="BZ545" t="str">
        <f>"0.394"</f>
        <v>0.394</v>
      </c>
      <c r="CA545" t="s">
        <v>495</v>
      </c>
      <c r="CR545" t="s">
        <v>1007</v>
      </c>
      <c r="CS545">
        <v>2</v>
      </c>
      <c r="CT545" t="s">
        <v>400</v>
      </c>
      <c r="CV545">
        <v>0</v>
      </c>
      <c r="CX545" t="s">
        <v>1980</v>
      </c>
      <c r="CY545" t="s">
        <v>1009</v>
      </c>
      <c r="DC545">
        <v>0</v>
      </c>
      <c r="DJ545" t="s">
        <v>408</v>
      </c>
      <c r="DK545" t="s">
        <v>7622</v>
      </c>
      <c r="DM545" t="s">
        <v>473</v>
      </c>
      <c r="DX545" t="s">
        <v>1358</v>
      </c>
      <c r="EN545">
        <v>0</v>
      </c>
      <c r="FI545">
        <v>0</v>
      </c>
      <c r="FJ545" t="s">
        <v>1012</v>
      </c>
      <c r="FR545" t="s">
        <v>1340</v>
      </c>
      <c r="FT545" t="s">
        <v>5825</v>
      </c>
      <c r="FV545" t="s">
        <v>10580</v>
      </c>
      <c r="FX545" t="s">
        <v>4210</v>
      </c>
      <c r="FZ545" t="s">
        <v>6455</v>
      </c>
    </row>
    <row r="546" spans="1:293" x14ac:dyDescent="0.25">
      <c r="A546" t="s">
        <v>10581</v>
      </c>
      <c r="B546" t="str">
        <f>"198394020411"</f>
        <v>198394020411</v>
      </c>
      <c r="C546" t="s">
        <v>10582</v>
      </c>
      <c r="D546" t="s">
        <v>722</v>
      </c>
      <c r="E546" t="s">
        <v>1043</v>
      </c>
      <c r="G546" t="str">
        <f>"32"</f>
        <v>32</v>
      </c>
      <c r="H546" t="str">
        <f t="shared" si="120"/>
        <v>17</v>
      </c>
      <c r="I546" t="str">
        <f>"26.5"</f>
        <v>26.5</v>
      </c>
      <c r="J546" t="str">
        <f>"92.59"</f>
        <v>92.59</v>
      </c>
      <c r="K546" t="s">
        <v>10491</v>
      </c>
      <c r="L546" t="s">
        <v>10492</v>
      </c>
      <c r="N546" t="s">
        <v>1970</v>
      </c>
      <c r="O546" t="s">
        <v>775</v>
      </c>
      <c r="T546" t="s">
        <v>373</v>
      </c>
      <c r="U546" t="s">
        <v>373</v>
      </c>
      <c r="V546" t="s">
        <v>10583</v>
      </c>
      <c r="W546" t="s">
        <v>10584</v>
      </c>
      <c r="X546" t="s">
        <v>10585</v>
      </c>
      <c r="Y546" t="s">
        <v>10586</v>
      </c>
      <c r="Z546" t="s">
        <v>10587</v>
      </c>
      <c r="AA546" t="s">
        <v>10588</v>
      </c>
      <c r="AB546" t="s">
        <v>10589</v>
      </c>
      <c r="AC546" t="s">
        <v>10590</v>
      </c>
      <c r="AD546" t="s">
        <v>10591</v>
      </c>
      <c r="AE546" t="s">
        <v>10592</v>
      </c>
      <c r="AF546" t="s">
        <v>10593</v>
      </c>
      <c r="AG546" t="s">
        <v>10594</v>
      </c>
      <c r="AH546" t="s">
        <v>10595</v>
      </c>
      <c r="AI546" t="s">
        <v>10596</v>
      </c>
      <c r="AJ546" t="s">
        <v>10597</v>
      </c>
      <c r="BA546" t="str">
        <f>"1049"</f>
        <v>1049</v>
      </c>
      <c r="BB546" t="str">
        <f>"445"</f>
        <v>445</v>
      </c>
      <c r="BC546" t="s">
        <v>665</v>
      </c>
      <c r="BD546" t="str">
        <f t="shared" si="121"/>
        <v>1</v>
      </c>
      <c r="BE546" t="s">
        <v>389</v>
      </c>
      <c r="BF546" t="str">
        <f>"36.61"</f>
        <v>36.61</v>
      </c>
      <c r="BG546" t="str">
        <f t="shared" si="122"/>
        <v>21.65</v>
      </c>
      <c r="BH546" t="str">
        <f>"30.31"</f>
        <v>30.31</v>
      </c>
      <c r="BI546" t="str">
        <f>"119.05"</f>
        <v>119.05</v>
      </c>
      <c r="BY546" t="str">
        <f>"13.91"</f>
        <v>13.91</v>
      </c>
      <c r="BZ546" t="str">
        <f>"0.394"</f>
        <v>0.394</v>
      </c>
      <c r="CA546" t="s">
        <v>495</v>
      </c>
      <c r="CR546" t="s">
        <v>1007</v>
      </c>
      <c r="CS546">
        <v>2</v>
      </c>
      <c r="CT546" t="s">
        <v>400</v>
      </c>
      <c r="CV546">
        <v>0</v>
      </c>
      <c r="CX546" t="s">
        <v>1980</v>
      </c>
      <c r="CY546" t="s">
        <v>1009</v>
      </c>
      <c r="DC546">
        <v>0</v>
      </c>
      <c r="DJ546" t="s">
        <v>408</v>
      </c>
      <c r="DK546" t="s">
        <v>7622</v>
      </c>
      <c r="DM546" t="s">
        <v>473</v>
      </c>
      <c r="DX546" t="s">
        <v>1358</v>
      </c>
      <c r="EN546">
        <v>0</v>
      </c>
      <c r="FI546">
        <v>0</v>
      </c>
      <c r="FJ546" t="s">
        <v>1012</v>
      </c>
      <c r="FR546" t="s">
        <v>1340</v>
      </c>
      <c r="FT546" t="s">
        <v>5825</v>
      </c>
      <c r="FV546" t="s">
        <v>10580</v>
      </c>
      <c r="FX546" t="s">
        <v>4210</v>
      </c>
      <c r="FZ546" t="s">
        <v>6455</v>
      </c>
    </row>
    <row r="547" spans="1:293" x14ac:dyDescent="0.25">
      <c r="A547" t="s">
        <v>10598</v>
      </c>
      <c r="B547" t="str">
        <f>"801542091071"</f>
        <v>801542091071</v>
      </c>
      <c r="C547" t="s">
        <v>10599</v>
      </c>
      <c r="D547" t="s">
        <v>10600</v>
      </c>
      <c r="E547" t="s">
        <v>988</v>
      </c>
      <c r="G547" t="str">
        <f>"62"</f>
        <v>62</v>
      </c>
      <c r="H547" t="str">
        <f t="shared" si="120"/>
        <v>17</v>
      </c>
      <c r="I547" t="str">
        <f>"34"</f>
        <v>34</v>
      </c>
      <c r="J547" t="str">
        <f>"180.56"</f>
        <v>180.56</v>
      </c>
      <c r="K547" t="s">
        <v>10601</v>
      </c>
      <c r="L547" t="s">
        <v>10602</v>
      </c>
      <c r="M547" t="s">
        <v>10603</v>
      </c>
      <c r="N547" t="s">
        <v>9086</v>
      </c>
      <c r="O547" t="s">
        <v>6144</v>
      </c>
      <c r="P547" t="s">
        <v>555</v>
      </c>
      <c r="T547" t="s">
        <v>402</v>
      </c>
      <c r="U547" t="s">
        <v>373</v>
      </c>
      <c r="V547" t="s">
        <v>10604</v>
      </c>
      <c r="W547" t="s">
        <v>10605</v>
      </c>
      <c r="X547" t="s">
        <v>10606</v>
      </c>
      <c r="Y547" t="s">
        <v>10607</v>
      </c>
      <c r="Z547" t="s">
        <v>10608</v>
      </c>
      <c r="AA547" t="s">
        <v>10609</v>
      </c>
      <c r="AB547" t="s">
        <v>10610</v>
      </c>
      <c r="AC547" t="s">
        <v>10611</v>
      </c>
      <c r="AD547" t="s">
        <v>10612</v>
      </c>
      <c r="AE547" t="s">
        <v>10613</v>
      </c>
      <c r="AF547" t="s">
        <v>10614</v>
      </c>
      <c r="AG547" t="s">
        <v>10615</v>
      </c>
      <c r="AH547" t="s">
        <v>10616</v>
      </c>
      <c r="AI547" t="s">
        <v>10617</v>
      </c>
      <c r="AJ547" t="s">
        <v>10618</v>
      </c>
      <c r="AK547" t="s">
        <v>10619</v>
      </c>
      <c r="AL547" t="s">
        <v>10620</v>
      </c>
      <c r="AM547" t="s">
        <v>10621</v>
      </c>
      <c r="AN547" t="s">
        <v>10622</v>
      </c>
      <c r="AO547" t="s">
        <v>10623</v>
      </c>
      <c r="AP547" t="s">
        <v>10624</v>
      </c>
      <c r="BA547" t="str">
        <f>"2799"</f>
        <v>2799</v>
      </c>
      <c r="BB547" t="str">
        <f>"1180"</f>
        <v>1180</v>
      </c>
      <c r="BC547" t="s">
        <v>6158</v>
      </c>
      <c r="BD547" t="str">
        <f t="shared" si="121"/>
        <v>1</v>
      </c>
      <c r="BE547" t="s">
        <v>389</v>
      </c>
      <c r="BF547" t="str">
        <f>"67.32"</f>
        <v>67.32</v>
      </c>
      <c r="BG547" t="str">
        <f>"22.83"</f>
        <v>22.83</v>
      </c>
      <c r="BH547" t="str">
        <f>"42.91"</f>
        <v>42.91</v>
      </c>
      <c r="BI547" t="str">
        <f>"235.01"</f>
        <v>235.01</v>
      </c>
      <c r="BY547" t="str">
        <f>"38.18"</f>
        <v>38.18</v>
      </c>
      <c r="BZ547" t="str">
        <f>"1.081"</f>
        <v>1.081</v>
      </c>
      <c r="CA547" t="s">
        <v>431</v>
      </c>
      <c r="CR547" t="s">
        <v>5068</v>
      </c>
      <c r="CS547">
        <v>6</v>
      </c>
      <c r="CT547" t="s">
        <v>1312</v>
      </c>
      <c r="CV547">
        <v>0</v>
      </c>
      <c r="CX547" t="s">
        <v>1980</v>
      </c>
      <c r="CY547" t="s">
        <v>1009</v>
      </c>
      <c r="DC547">
        <v>0</v>
      </c>
      <c r="DJ547" t="s">
        <v>1010</v>
      </c>
      <c r="DK547" t="s">
        <v>10625</v>
      </c>
      <c r="DM547" t="s">
        <v>473</v>
      </c>
      <c r="DX547" t="s">
        <v>5881</v>
      </c>
      <c r="EM547" t="s">
        <v>402</v>
      </c>
      <c r="EN547">
        <v>0</v>
      </c>
      <c r="FI547">
        <v>0</v>
      </c>
      <c r="FJ547" t="s">
        <v>1012</v>
      </c>
      <c r="FP547" t="s">
        <v>402</v>
      </c>
      <c r="FR547" t="s">
        <v>748</v>
      </c>
      <c r="FS547" t="s">
        <v>748</v>
      </c>
      <c r="FT547" t="s">
        <v>10626</v>
      </c>
      <c r="FU547" t="s">
        <v>742</v>
      </c>
      <c r="FV547" t="s">
        <v>10627</v>
      </c>
      <c r="FW547" t="s">
        <v>10627</v>
      </c>
      <c r="FX547" t="s">
        <v>4210</v>
      </c>
      <c r="FZ547" t="s">
        <v>1018</v>
      </c>
      <c r="GA547" t="s">
        <v>402</v>
      </c>
    </row>
    <row r="548" spans="1:293" x14ac:dyDescent="0.25">
      <c r="A548" t="s">
        <v>10628</v>
      </c>
      <c r="B548" t="str">
        <f>"801542793081"</f>
        <v>801542793081</v>
      </c>
      <c r="C548" t="s">
        <v>10629</v>
      </c>
      <c r="D548" t="s">
        <v>7245</v>
      </c>
      <c r="E548" t="s">
        <v>8884</v>
      </c>
      <c r="F548" t="s">
        <v>8885</v>
      </c>
      <c r="G548" t="str">
        <f>"19.75"</f>
        <v>19.75</v>
      </c>
      <c r="H548" t="str">
        <f>"19.75"</f>
        <v>19.75</v>
      </c>
      <c r="I548" t="str">
        <f>"21.75"</f>
        <v>21.75</v>
      </c>
      <c r="J548" t="str">
        <f>"51.37"</f>
        <v>51.37</v>
      </c>
      <c r="K548" t="s">
        <v>10630</v>
      </c>
      <c r="N548" t="s">
        <v>7249</v>
      </c>
      <c r="T548" t="s">
        <v>373</v>
      </c>
      <c r="U548" t="s">
        <v>373</v>
      </c>
      <c r="V548" t="s">
        <v>10631</v>
      </c>
      <c r="W548" t="s">
        <v>10632</v>
      </c>
      <c r="X548" t="s">
        <v>10633</v>
      </c>
      <c r="Y548" t="s">
        <v>10634</v>
      </c>
      <c r="Z548" t="s">
        <v>10635</v>
      </c>
      <c r="AA548" t="s">
        <v>10636</v>
      </c>
      <c r="AB548" t="s">
        <v>10637</v>
      </c>
      <c r="AC548" t="s">
        <v>10638</v>
      </c>
      <c r="AD548" t="s">
        <v>10639</v>
      </c>
      <c r="BA548" t="str">
        <f>"649"</f>
        <v>649</v>
      </c>
      <c r="BB548" t="str">
        <f>"275"</f>
        <v>275</v>
      </c>
      <c r="BC548" t="s">
        <v>6158</v>
      </c>
      <c r="BD548" t="str">
        <f t="shared" si="121"/>
        <v>1</v>
      </c>
      <c r="BE548" t="s">
        <v>389</v>
      </c>
      <c r="BF548" t="str">
        <f>"22.83"</f>
        <v>22.83</v>
      </c>
      <c r="BG548" t="str">
        <f>"22.83"</f>
        <v>22.83</v>
      </c>
      <c r="BH548" t="str">
        <f>"26.38"</f>
        <v>26.38</v>
      </c>
      <c r="BI548" t="str">
        <f>"61.73"</f>
        <v>61.73</v>
      </c>
      <c r="BY548" t="str">
        <f>"7.95"</f>
        <v>7.95</v>
      </c>
      <c r="BZ548" t="str">
        <f>"0.225"</f>
        <v>0.225</v>
      </c>
      <c r="CA548" t="s">
        <v>431</v>
      </c>
      <c r="CR548" t="s">
        <v>400</v>
      </c>
      <c r="CS548">
        <v>0</v>
      </c>
      <c r="CT548" t="s">
        <v>400</v>
      </c>
      <c r="CV548">
        <v>0</v>
      </c>
      <c r="CX548" t="s">
        <v>1980</v>
      </c>
      <c r="CY548" t="s">
        <v>400</v>
      </c>
      <c r="DC548">
        <v>0</v>
      </c>
      <c r="DJ548" t="s">
        <v>1132</v>
      </c>
      <c r="DK548" t="s">
        <v>10640</v>
      </c>
      <c r="DM548" t="s">
        <v>473</v>
      </c>
      <c r="DX548" t="s">
        <v>1394</v>
      </c>
      <c r="EI548" t="s">
        <v>4901</v>
      </c>
      <c r="EJ548" t="s">
        <v>1633</v>
      </c>
      <c r="EK548" t="s">
        <v>4901</v>
      </c>
      <c r="EL548" t="s">
        <v>1348</v>
      </c>
      <c r="EM548" t="s">
        <v>402</v>
      </c>
      <c r="EN548">
        <v>0</v>
      </c>
      <c r="EO548">
        <v>0</v>
      </c>
    </row>
    <row r="549" spans="1:293" x14ac:dyDescent="0.25">
      <c r="A549" t="s">
        <v>10641</v>
      </c>
      <c r="B549" t="str">
        <f>"801542869632"</f>
        <v>801542869632</v>
      </c>
      <c r="C549" t="s">
        <v>10642</v>
      </c>
      <c r="D549" t="s">
        <v>1165</v>
      </c>
      <c r="E549" t="s">
        <v>2244</v>
      </c>
      <c r="G549" t="str">
        <f>"39"</f>
        <v>39</v>
      </c>
      <c r="H549" t="str">
        <f>"60"</f>
        <v>60</v>
      </c>
      <c r="I549" t="str">
        <f>"33.5"</f>
        <v>33.5</v>
      </c>
      <c r="J549" t="str">
        <f>"81.57"</f>
        <v>81.57</v>
      </c>
      <c r="K549" t="s">
        <v>1195</v>
      </c>
      <c r="N549" t="s">
        <v>371</v>
      </c>
      <c r="T549" t="s">
        <v>373</v>
      </c>
      <c r="U549" t="s">
        <v>402</v>
      </c>
      <c r="V549" t="s">
        <v>10643</v>
      </c>
      <c r="W549" t="s">
        <v>10644</v>
      </c>
      <c r="X549" t="s">
        <v>10645</v>
      </c>
      <c r="Y549" t="s">
        <v>10646</v>
      </c>
      <c r="Z549" t="s">
        <v>10647</v>
      </c>
      <c r="AA549" t="s">
        <v>10648</v>
      </c>
      <c r="AB549" t="s">
        <v>10649</v>
      </c>
      <c r="AC549" t="s">
        <v>10650</v>
      </c>
      <c r="AD549" t="s">
        <v>10651</v>
      </c>
      <c r="AE549" t="s">
        <v>10652</v>
      </c>
      <c r="AF549" t="s">
        <v>10653</v>
      </c>
      <c r="AG549" t="s">
        <v>10654</v>
      </c>
      <c r="AH549" t="s">
        <v>10655</v>
      </c>
      <c r="AI549" t="s">
        <v>10656</v>
      </c>
      <c r="BA549" t="str">
        <f>"1499"</f>
        <v>1499</v>
      </c>
      <c r="BB549" t="str">
        <f>"630"</f>
        <v>630</v>
      </c>
      <c r="BC549" t="s">
        <v>1149</v>
      </c>
      <c r="BD549" t="str">
        <f t="shared" si="121"/>
        <v>1</v>
      </c>
      <c r="BE549" t="s">
        <v>389</v>
      </c>
      <c r="BF549" t="str">
        <f>"43.07"</f>
        <v>43.07</v>
      </c>
      <c r="BG549" t="str">
        <f>"61.54"</f>
        <v>61.54</v>
      </c>
      <c r="BH549" t="str">
        <f>"31.97"</f>
        <v>31.97</v>
      </c>
      <c r="BI549" t="str">
        <f>"95.46"</f>
        <v>95.46</v>
      </c>
      <c r="BY549" t="str">
        <f>"49.02"</f>
        <v>49.02</v>
      </c>
      <c r="BZ549" t="str">
        <f>"1.388"</f>
        <v>1.388</v>
      </c>
      <c r="CA549" t="s">
        <v>431</v>
      </c>
      <c r="CK549" t="s">
        <v>6873</v>
      </c>
      <c r="CL549" t="s">
        <v>791</v>
      </c>
      <c r="CM549" t="s">
        <v>952</v>
      </c>
      <c r="CN549">
        <v>0</v>
      </c>
      <c r="CO549">
        <v>1</v>
      </c>
      <c r="CP549" t="s">
        <v>437</v>
      </c>
      <c r="CQ549" t="s">
        <v>1152</v>
      </c>
      <c r="CX549" t="s">
        <v>403</v>
      </c>
      <c r="CY549" t="s">
        <v>400</v>
      </c>
      <c r="CZ549">
        <v>0</v>
      </c>
      <c r="DD549">
        <v>15000</v>
      </c>
      <c r="DE549" t="s">
        <v>439</v>
      </c>
      <c r="DH549">
        <v>0</v>
      </c>
      <c r="DI549">
        <v>1</v>
      </c>
      <c r="DK549" t="s">
        <v>10657</v>
      </c>
      <c r="DL549">
        <v>0</v>
      </c>
      <c r="DM549" t="s">
        <v>538</v>
      </c>
      <c r="DN549" t="s">
        <v>638</v>
      </c>
      <c r="DO549" t="s">
        <v>450</v>
      </c>
      <c r="DP549" t="s">
        <v>609</v>
      </c>
      <c r="DT549" t="s">
        <v>2080</v>
      </c>
      <c r="DU549" t="s">
        <v>448</v>
      </c>
      <c r="DV549" t="s">
        <v>1151</v>
      </c>
      <c r="DW549" t="s">
        <v>451</v>
      </c>
      <c r="DX549" t="s">
        <v>3483</v>
      </c>
      <c r="DY549" t="s">
        <v>3514</v>
      </c>
      <c r="DZ549" t="s">
        <v>451</v>
      </c>
      <c r="EA549" t="s">
        <v>2240</v>
      </c>
      <c r="ED549" t="s">
        <v>406</v>
      </c>
      <c r="EE549" t="s">
        <v>454</v>
      </c>
      <c r="EF549" t="s">
        <v>1190</v>
      </c>
      <c r="EG549" t="s">
        <v>749</v>
      </c>
      <c r="ET549" t="s">
        <v>832</v>
      </c>
    </row>
    <row r="550" spans="1:293" x14ac:dyDescent="0.25">
      <c r="A550" t="s">
        <v>10658</v>
      </c>
      <c r="B550" t="str">
        <f>"801542157562"</f>
        <v>801542157562</v>
      </c>
      <c r="C550" t="s">
        <v>10659</v>
      </c>
      <c r="D550" t="s">
        <v>1165</v>
      </c>
      <c r="E550" t="s">
        <v>2244</v>
      </c>
      <c r="G550" t="str">
        <f>"39"</f>
        <v>39</v>
      </c>
      <c r="H550" t="str">
        <f>"58.5"</f>
        <v>58.5</v>
      </c>
      <c r="I550" t="str">
        <f>"33.5"</f>
        <v>33.5</v>
      </c>
      <c r="J550" t="str">
        <f>"81.57"</f>
        <v>81.57</v>
      </c>
      <c r="K550" t="s">
        <v>2833</v>
      </c>
      <c r="N550" t="s">
        <v>1793</v>
      </c>
      <c r="O550" t="s">
        <v>1794</v>
      </c>
      <c r="T550" t="s">
        <v>373</v>
      </c>
      <c r="U550" t="s">
        <v>373</v>
      </c>
      <c r="V550" t="s">
        <v>10660</v>
      </c>
      <c r="W550" t="s">
        <v>10661</v>
      </c>
      <c r="X550" t="s">
        <v>10662</v>
      </c>
      <c r="Y550" t="s">
        <v>10663</v>
      </c>
      <c r="Z550" t="s">
        <v>10664</v>
      </c>
      <c r="AA550" t="s">
        <v>10665</v>
      </c>
      <c r="AB550" t="s">
        <v>10666</v>
      </c>
      <c r="AC550" t="s">
        <v>10667</v>
      </c>
      <c r="AD550" t="s">
        <v>10668</v>
      </c>
      <c r="AE550" t="s">
        <v>10669</v>
      </c>
      <c r="AF550" t="s">
        <v>10670</v>
      </c>
      <c r="AG550" t="s">
        <v>10671</v>
      </c>
      <c r="AH550" t="s">
        <v>10672</v>
      </c>
      <c r="AI550" t="s">
        <v>10673</v>
      </c>
      <c r="AJ550" t="s">
        <v>10674</v>
      </c>
      <c r="BA550" t="str">
        <f>"1699"</f>
        <v>1699</v>
      </c>
      <c r="BB550" t="str">
        <f>"715"</f>
        <v>715</v>
      </c>
      <c r="BC550" t="s">
        <v>1149</v>
      </c>
      <c r="BD550" t="str">
        <f t="shared" si="121"/>
        <v>1</v>
      </c>
      <c r="BE550" t="s">
        <v>389</v>
      </c>
      <c r="BF550" t="str">
        <f>"43.07"</f>
        <v>43.07</v>
      </c>
      <c r="BG550" t="str">
        <f>"61.54"</f>
        <v>61.54</v>
      </c>
      <c r="BH550" t="str">
        <f>"31.97"</f>
        <v>31.97</v>
      </c>
      <c r="BI550" t="str">
        <f>"95.46"</f>
        <v>95.46</v>
      </c>
      <c r="BY550" t="str">
        <f>"49.02"</f>
        <v>49.02</v>
      </c>
      <c r="BZ550" t="str">
        <f>"1.388"</f>
        <v>1.388</v>
      </c>
      <c r="CA550" t="s">
        <v>431</v>
      </c>
      <c r="CK550" t="s">
        <v>6873</v>
      </c>
      <c r="CL550" t="s">
        <v>791</v>
      </c>
      <c r="CM550" t="s">
        <v>952</v>
      </c>
      <c r="CN550">
        <v>0</v>
      </c>
      <c r="CO550">
        <v>1</v>
      </c>
      <c r="CP550" t="s">
        <v>437</v>
      </c>
      <c r="CQ550" t="s">
        <v>438</v>
      </c>
      <c r="CX550" t="s">
        <v>403</v>
      </c>
      <c r="CY550" t="s">
        <v>400</v>
      </c>
      <c r="CZ550">
        <v>0</v>
      </c>
      <c r="DD550">
        <v>30000</v>
      </c>
      <c r="DE550" t="s">
        <v>439</v>
      </c>
      <c r="DH550">
        <v>0</v>
      </c>
      <c r="DI550">
        <v>1</v>
      </c>
      <c r="DK550" t="s">
        <v>10657</v>
      </c>
      <c r="DL550">
        <v>0</v>
      </c>
      <c r="DM550" t="s">
        <v>538</v>
      </c>
      <c r="DN550" t="s">
        <v>638</v>
      </c>
      <c r="DO550" t="s">
        <v>450</v>
      </c>
      <c r="DP550" t="s">
        <v>609</v>
      </c>
      <c r="DT550" t="s">
        <v>2080</v>
      </c>
      <c r="DU550" t="s">
        <v>448</v>
      </c>
      <c r="DV550" t="s">
        <v>1151</v>
      </c>
      <c r="DW550" t="s">
        <v>451</v>
      </c>
      <c r="DX550" t="s">
        <v>3483</v>
      </c>
      <c r="DY550" t="s">
        <v>3514</v>
      </c>
      <c r="DZ550" t="s">
        <v>451</v>
      </c>
      <c r="EA550" t="s">
        <v>2240</v>
      </c>
      <c r="ED550" t="s">
        <v>406</v>
      </c>
      <c r="EE550" t="s">
        <v>454</v>
      </c>
      <c r="EF550" t="s">
        <v>1190</v>
      </c>
      <c r="EG550" t="s">
        <v>749</v>
      </c>
      <c r="ET550" t="s">
        <v>832</v>
      </c>
    </row>
    <row r="551" spans="1:293" x14ac:dyDescent="0.25">
      <c r="A551" t="s">
        <v>10675</v>
      </c>
      <c r="B551" t="str">
        <f>"801542183134"</f>
        <v>801542183134</v>
      </c>
      <c r="C551" t="s">
        <v>10676</v>
      </c>
      <c r="D551" t="s">
        <v>1165</v>
      </c>
      <c r="E551" t="s">
        <v>2244</v>
      </c>
      <c r="G551" t="str">
        <f>"39"</f>
        <v>39</v>
      </c>
      <c r="H551" t="str">
        <f>"58.5"</f>
        <v>58.5</v>
      </c>
      <c r="I551" t="str">
        <f>"33.5"</f>
        <v>33.5</v>
      </c>
      <c r="J551" t="str">
        <f>"81.57"</f>
        <v>81.57</v>
      </c>
      <c r="K551" t="s">
        <v>1947</v>
      </c>
      <c r="N551" t="s">
        <v>1949</v>
      </c>
      <c r="O551" t="s">
        <v>1950</v>
      </c>
      <c r="P551" t="s">
        <v>1535</v>
      </c>
      <c r="T551" t="s">
        <v>373</v>
      </c>
      <c r="U551" t="s">
        <v>402</v>
      </c>
      <c r="W551" t="s">
        <v>10677</v>
      </c>
      <c r="X551" t="s">
        <v>10678</v>
      </c>
      <c r="Y551" t="s">
        <v>10679</v>
      </c>
      <c r="Z551" t="s">
        <v>10680</v>
      </c>
      <c r="AA551" t="s">
        <v>10681</v>
      </c>
      <c r="AB551" t="s">
        <v>10682</v>
      </c>
      <c r="AC551" t="s">
        <v>10683</v>
      </c>
      <c r="AD551" t="s">
        <v>10684</v>
      </c>
      <c r="AE551" t="s">
        <v>10685</v>
      </c>
      <c r="AF551" t="s">
        <v>10686</v>
      </c>
      <c r="AG551" t="s">
        <v>10687</v>
      </c>
      <c r="AH551" t="s">
        <v>10688</v>
      </c>
      <c r="AI551" t="s">
        <v>10689</v>
      </c>
      <c r="BA551" t="str">
        <f>"1599"</f>
        <v>1599</v>
      </c>
      <c r="BB551" t="str">
        <f>"675"</f>
        <v>675</v>
      </c>
      <c r="BC551" t="s">
        <v>1149</v>
      </c>
      <c r="BD551" t="str">
        <f t="shared" si="121"/>
        <v>1</v>
      </c>
      <c r="BE551" t="s">
        <v>389</v>
      </c>
      <c r="BF551" t="str">
        <f>"43.07"</f>
        <v>43.07</v>
      </c>
      <c r="BG551" t="str">
        <f>"61.54"</f>
        <v>61.54</v>
      </c>
      <c r="BH551" t="str">
        <f>"31.97"</f>
        <v>31.97</v>
      </c>
      <c r="BI551" t="str">
        <f>"95.46"</f>
        <v>95.46</v>
      </c>
      <c r="BY551" t="str">
        <f>"49.02"</f>
        <v>49.02</v>
      </c>
      <c r="BZ551" t="str">
        <f>"1.388"</f>
        <v>1.388</v>
      </c>
      <c r="CA551" t="s">
        <v>495</v>
      </c>
      <c r="CK551" t="s">
        <v>6873</v>
      </c>
      <c r="CL551" t="s">
        <v>791</v>
      </c>
      <c r="CM551" t="s">
        <v>952</v>
      </c>
      <c r="CN551">
        <v>0</v>
      </c>
      <c r="CO551">
        <v>1</v>
      </c>
      <c r="CP551" t="s">
        <v>437</v>
      </c>
      <c r="CQ551" t="s">
        <v>631</v>
      </c>
      <c r="CX551" t="s">
        <v>403</v>
      </c>
      <c r="CY551" t="s">
        <v>400</v>
      </c>
      <c r="CZ551">
        <v>0</v>
      </c>
      <c r="DD551">
        <v>25000</v>
      </c>
      <c r="DE551" t="s">
        <v>439</v>
      </c>
      <c r="DH551">
        <v>0</v>
      </c>
      <c r="DI551">
        <v>1</v>
      </c>
      <c r="DK551" t="s">
        <v>10657</v>
      </c>
      <c r="DL551">
        <v>0</v>
      </c>
      <c r="DM551" t="s">
        <v>538</v>
      </c>
      <c r="DN551" t="s">
        <v>638</v>
      </c>
      <c r="DO551" t="s">
        <v>450</v>
      </c>
      <c r="DP551" t="s">
        <v>609</v>
      </c>
      <c r="DT551" t="s">
        <v>2080</v>
      </c>
      <c r="DU551" t="s">
        <v>448</v>
      </c>
      <c r="DV551" t="s">
        <v>1151</v>
      </c>
      <c r="DW551" t="s">
        <v>451</v>
      </c>
      <c r="DX551" t="s">
        <v>3483</v>
      </c>
      <c r="DY551" t="s">
        <v>3514</v>
      </c>
      <c r="DZ551" t="s">
        <v>451</v>
      </c>
      <c r="EA551" t="s">
        <v>2240</v>
      </c>
      <c r="ED551" t="s">
        <v>406</v>
      </c>
      <c r="EE551" t="s">
        <v>454</v>
      </c>
      <c r="EF551" t="s">
        <v>1190</v>
      </c>
      <c r="EG551" t="s">
        <v>749</v>
      </c>
      <c r="ET551" t="s">
        <v>832</v>
      </c>
    </row>
    <row r="552" spans="1:293" x14ac:dyDescent="0.25">
      <c r="A552" t="s">
        <v>10690</v>
      </c>
      <c r="B552" t="str">
        <f>"801542996543"</f>
        <v>801542996543</v>
      </c>
      <c r="C552" t="s">
        <v>10691</v>
      </c>
      <c r="D552" t="s">
        <v>1165</v>
      </c>
      <c r="E552" t="s">
        <v>2244</v>
      </c>
      <c r="G552" t="str">
        <f>"39"</f>
        <v>39</v>
      </c>
      <c r="H552" t="str">
        <f>"58.5"</f>
        <v>58.5</v>
      </c>
      <c r="I552" t="str">
        <f>"33.5"</f>
        <v>33.5</v>
      </c>
      <c r="J552" t="str">
        <f>"81.57"</f>
        <v>81.57</v>
      </c>
      <c r="K552" t="s">
        <v>10692</v>
      </c>
      <c r="N552" t="s">
        <v>371</v>
      </c>
      <c r="T552" t="s">
        <v>373</v>
      </c>
      <c r="U552" t="s">
        <v>373</v>
      </c>
      <c r="V552" t="s">
        <v>10693</v>
      </c>
      <c r="W552" t="s">
        <v>10694</v>
      </c>
      <c r="X552" t="s">
        <v>10695</v>
      </c>
      <c r="Y552" t="s">
        <v>10696</v>
      </c>
      <c r="Z552" t="s">
        <v>10697</v>
      </c>
      <c r="AA552" t="s">
        <v>10698</v>
      </c>
      <c r="AB552" t="s">
        <v>10699</v>
      </c>
      <c r="AC552" t="s">
        <v>10700</v>
      </c>
      <c r="AD552" t="s">
        <v>10701</v>
      </c>
      <c r="AE552" t="s">
        <v>10702</v>
      </c>
      <c r="AF552" t="s">
        <v>10703</v>
      </c>
      <c r="AG552" t="s">
        <v>10704</v>
      </c>
      <c r="AH552" t="s">
        <v>10705</v>
      </c>
      <c r="AI552" t="s">
        <v>10706</v>
      </c>
      <c r="AJ552" t="s">
        <v>10707</v>
      </c>
      <c r="AK552" t="s">
        <v>10708</v>
      </c>
      <c r="AL552" t="s">
        <v>10709</v>
      </c>
      <c r="BA552" t="str">
        <f>"1599"</f>
        <v>1599</v>
      </c>
      <c r="BB552" t="str">
        <f>"675"</f>
        <v>675</v>
      </c>
      <c r="BC552" t="s">
        <v>1149</v>
      </c>
      <c r="BD552" t="str">
        <f t="shared" si="121"/>
        <v>1</v>
      </c>
      <c r="BE552" t="s">
        <v>389</v>
      </c>
      <c r="BF552" t="str">
        <f>"43.07"</f>
        <v>43.07</v>
      </c>
      <c r="BG552" t="str">
        <f>"61.54"</f>
        <v>61.54</v>
      </c>
      <c r="BH552" t="str">
        <f>"31.97"</f>
        <v>31.97</v>
      </c>
      <c r="BI552" t="str">
        <f>"93.48"</f>
        <v>93.48</v>
      </c>
      <c r="BY552" t="str">
        <f>"49.02"</f>
        <v>49.02</v>
      </c>
      <c r="BZ552" t="str">
        <f>"1.388"</f>
        <v>1.388</v>
      </c>
      <c r="CA552" t="s">
        <v>495</v>
      </c>
      <c r="CK552" t="s">
        <v>6873</v>
      </c>
      <c r="CL552" t="s">
        <v>791</v>
      </c>
      <c r="CM552" t="s">
        <v>952</v>
      </c>
      <c r="CN552">
        <v>0</v>
      </c>
      <c r="CO552">
        <v>1</v>
      </c>
      <c r="CP552" t="s">
        <v>437</v>
      </c>
      <c r="CQ552" t="s">
        <v>1152</v>
      </c>
      <c r="CX552" t="s">
        <v>403</v>
      </c>
      <c r="CY552" t="s">
        <v>400</v>
      </c>
      <c r="CZ552">
        <v>0</v>
      </c>
      <c r="DD552">
        <v>50000</v>
      </c>
      <c r="DE552" t="s">
        <v>439</v>
      </c>
      <c r="DH552">
        <v>0</v>
      </c>
      <c r="DI552">
        <v>1</v>
      </c>
      <c r="DK552" t="s">
        <v>10657</v>
      </c>
      <c r="DL552">
        <v>0</v>
      </c>
      <c r="DM552" t="s">
        <v>538</v>
      </c>
      <c r="DN552" t="s">
        <v>638</v>
      </c>
      <c r="DO552" t="s">
        <v>450</v>
      </c>
      <c r="DP552" t="s">
        <v>609</v>
      </c>
      <c r="DT552" t="s">
        <v>2080</v>
      </c>
      <c r="DU552" t="s">
        <v>448</v>
      </c>
      <c r="DV552" t="s">
        <v>1151</v>
      </c>
      <c r="DW552" t="s">
        <v>451</v>
      </c>
      <c r="DX552" t="s">
        <v>3483</v>
      </c>
      <c r="DY552" t="s">
        <v>3514</v>
      </c>
      <c r="DZ552" t="s">
        <v>451</v>
      </c>
      <c r="EA552" t="s">
        <v>2240</v>
      </c>
      <c r="ED552" t="s">
        <v>406</v>
      </c>
      <c r="EE552" t="s">
        <v>454</v>
      </c>
      <c r="EF552" t="s">
        <v>1190</v>
      </c>
      <c r="EG552" t="s">
        <v>749</v>
      </c>
      <c r="ET552" t="s">
        <v>832</v>
      </c>
    </row>
    <row r="553" spans="1:293" x14ac:dyDescent="0.25">
      <c r="A553" t="s">
        <v>10710</v>
      </c>
      <c r="B553" t="str">
        <f>"801542072650"</f>
        <v>801542072650</v>
      </c>
      <c r="C553" t="s">
        <v>10711</v>
      </c>
      <c r="D553" t="s">
        <v>8652</v>
      </c>
      <c r="E553" t="s">
        <v>4074</v>
      </c>
      <c r="G553" t="str">
        <f>"78"</f>
        <v>78</v>
      </c>
      <c r="H553" t="str">
        <f>"18"</f>
        <v>18</v>
      </c>
      <c r="I553" t="str">
        <f>"30"</f>
        <v>30</v>
      </c>
      <c r="J553" t="str">
        <f>"125.66"</f>
        <v>125.66</v>
      </c>
      <c r="K553" t="s">
        <v>10712</v>
      </c>
      <c r="L553" t="s">
        <v>10713</v>
      </c>
      <c r="N553" t="s">
        <v>10714</v>
      </c>
      <c r="T553" t="s">
        <v>373</v>
      </c>
      <c r="U553" t="s">
        <v>373</v>
      </c>
      <c r="V553" t="s">
        <v>10715</v>
      </c>
      <c r="W553" t="s">
        <v>10716</v>
      </c>
      <c r="X553" t="s">
        <v>10717</v>
      </c>
      <c r="Y553" t="s">
        <v>10718</v>
      </c>
      <c r="Z553" t="s">
        <v>10719</v>
      </c>
      <c r="AA553" t="s">
        <v>10720</v>
      </c>
      <c r="AB553" t="s">
        <v>10721</v>
      </c>
      <c r="AC553" t="s">
        <v>10722</v>
      </c>
      <c r="AD553" t="s">
        <v>10723</v>
      </c>
      <c r="AE553" t="s">
        <v>10724</v>
      </c>
      <c r="AF553" t="s">
        <v>10725</v>
      </c>
      <c r="AG553" t="s">
        <v>10726</v>
      </c>
      <c r="AH553" t="s">
        <v>10727</v>
      </c>
      <c r="AI553" t="s">
        <v>10728</v>
      </c>
      <c r="AJ553" t="s">
        <v>10729</v>
      </c>
      <c r="AK553" t="s">
        <v>10730</v>
      </c>
      <c r="AL553" t="s">
        <v>10731</v>
      </c>
      <c r="AM553" t="s">
        <v>10732</v>
      </c>
      <c r="BA553" t="str">
        <f>"2499"</f>
        <v>2499</v>
      </c>
      <c r="BB553" t="str">
        <f>"1050"</f>
        <v>1050</v>
      </c>
      <c r="BC553" t="s">
        <v>388</v>
      </c>
      <c r="BD553" t="str">
        <f>"2"</f>
        <v>2</v>
      </c>
      <c r="BE553" t="s">
        <v>1089</v>
      </c>
      <c r="BF553" t="str">
        <f>"81.1"</f>
        <v>81.1</v>
      </c>
      <c r="BG553" t="str">
        <f>"7.87"</f>
        <v>7.87</v>
      </c>
      <c r="BH553" t="str">
        <f>"21.65"</f>
        <v>21.65</v>
      </c>
      <c r="BI553" t="str">
        <f>"61.51"</f>
        <v>61.51</v>
      </c>
      <c r="BJ553" t="s">
        <v>1090</v>
      </c>
      <c r="BK553" t="str">
        <f>"27.56"</f>
        <v>27.56</v>
      </c>
      <c r="BL553" t="str">
        <f>"17.72"</f>
        <v>17.72</v>
      </c>
      <c r="BM553" t="str">
        <f>"29.13"</f>
        <v>29.13</v>
      </c>
      <c r="BN553" t="str">
        <f>"85.54"</f>
        <v>85.54</v>
      </c>
      <c r="BY553" t="str">
        <f>"16.21"</f>
        <v>16.21</v>
      </c>
      <c r="BZ553" t="str">
        <f>"0.459"</f>
        <v>0.459</v>
      </c>
      <c r="CA553" t="s">
        <v>495</v>
      </c>
      <c r="CR553" t="s">
        <v>400</v>
      </c>
      <c r="CS553">
        <v>0</v>
      </c>
      <c r="CT553" t="s">
        <v>400</v>
      </c>
      <c r="CV553">
        <v>0</v>
      </c>
      <c r="CX553" t="s">
        <v>953</v>
      </c>
      <c r="CY553" t="s">
        <v>400</v>
      </c>
      <c r="DC553">
        <v>0</v>
      </c>
      <c r="DJ553" t="s">
        <v>408</v>
      </c>
      <c r="DK553" t="s">
        <v>10733</v>
      </c>
      <c r="DM553" t="s">
        <v>669</v>
      </c>
      <c r="DX553" t="s">
        <v>2083</v>
      </c>
      <c r="DZ553" t="s">
        <v>10734</v>
      </c>
      <c r="EI553" t="s">
        <v>1013</v>
      </c>
      <c r="EJ553" t="s">
        <v>2083</v>
      </c>
      <c r="EK553" t="s">
        <v>958</v>
      </c>
      <c r="EL553" t="s">
        <v>799</v>
      </c>
      <c r="EM553" t="s">
        <v>402</v>
      </c>
      <c r="EN553">
        <v>0</v>
      </c>
      <c r="EO553">
        <v>0</v>
      </c>
      <c r="EX553" t="s">
        <v>446</v>
      </c>
      <c r="FI553">
        <v>0</v>
      </c>
      <c r="FJ553" t="s">
        <v>1012</v>
      </c>
    </row>
    <row r="554" spans="1:293" x14ac:dyDescent="0.25">
      <c r="A554" t="s">
        <v>10735</v>
      </c>
      <c r="B554" t="str">
        <f>"801542072681"</f>
        <v>801542072681</v>
      </c>
      <c r="C554" t="s">
        <v>10736</v>
      </c>
      <c r="D554" t="s">
        <v>8652</v>
      </c>
      <c r="E554" t="s">
        <v>4074</v>
      </c>
      <c r="G554" t="str">
        <f>"78"</f>
        <v>78</v>
      </c>
      <c r="H554" t="str">
        <f>"18"</f>
        <v>18</v>
      </c>
      <c r="I554" t="str">
        <f>"30"</f>
        <v>30</v>
      </c>
      <c r="J554" t="str">
        <f>"125.66"</f>
        <v>125.66</v>
      </c>
      <c r="K554" t="s">
        <v>10737</v>
      </c>
      <c r="L554" t="s">
        <v>10738</v>
      </c>
      <c r="N554" t="s">
        <v>10714</v>
      </c>
      <c r="T554" t="s">
        <v>373</v>
      </c>
      <c r="U554" t="s">
        <v>373</v>
      </c>
      <c r="W554" t="s">
        <v>10739</v>
      </c>
      <c r="X554" t="s">
        <v>10740</v>
      </c>
      <c r="Y554" t="s">
        <v>10741</v>
      </c>
      <c r="Z554" t="s">
        <v>10742</v>
      </c>
      <c r="AA554" t="s">
        <v>10743</v>
      </c>
      <c r="AB554" t="s">
        <v>10744</v>
      </c>
      <c r="AC554" t="s">
        <v>10745</v>
      </c>
      <c r="AD554" t="s">
        <v>10746</v>
      </c>
      <c r="AE554" t="s">
        <v>10747</v>
      </c>
      <c r="AF554" t="s">
        <v>10748</v>
      </c>
      <c r="AG554" t="s">
        <v>10749</v>
      </c>
      <c r="AH554" t="s">
        <v>10750</v>
      </c>
      <c r="AI554" t="s">
        <v>10751</v>
      </c>
      <c r="AJ554" t="s">
        <v>10752</v>
      </c>
      <c r="AK554" t="s">
        <v>10753</v>
      </c>
      <c r="AL554" t="s">
        <v>10754</v>
      </c>
      <c r="AM554" t="s">
        <v>10755</v>
      </c>
      <c r="AN554" t="s">
        <v>10756</v>
      </c>
      <c r="AO554" t="s">
        <v>10757</v>
      </c>
      <c r="BA554" t="str">
        <f>"2499"</f>
        <v>2499</v>
      </c>
      <c r="BB554" t="str">
        <f>"1050"</f>
        <v>1050</v>
      </c>
      <c r="BC554" t="s">
        <v>388</v>
      </c>
      <c r="BD554" t="str">
        <f>"2"</f>
        <v>2</v>
      </c>
      <c r="BE554" t="s">
        <v>1089</v>
      </c>
      <c r="BF554" t="str">
        <f>"81.1"</f>
        <v>81.1</v>
      </c>
      <c r="BG554" t="str">
        <f>"7.87"</f>
        <v>7.87</v>
      </c>
      <c r="BH554" t="str">
        <f>"21.65"</f>
        <v>21.65</v>
      </c>
      <c r="BI554" t="str">
        <f>"61.51"</f>
        <v>61.51</v>
      </c>
      <c r="BJ554" t="s">
        <v>1090</v>
      </c>
      <c r="BK554" t="str">
        <f>"27.56"</f>
        <v>27.56</v>
      </c>
      <c r="BL554" t="str">
        <f>"17.72"</f>
        <v>17.72</v>
      </c>
      <c r="BM554" t="str">
        <f>"29.13"</f>
        <v>29.13</v>
      </c>
      <c r="BN554" t="str">
        <f>"85.54"</f>
        <v>85.54</v>
      </c>
      <c r="BY554" t="str">
        <f>"16.21"</f>
        <v>16.21</v>
      </c>
      <c r="BZ554" t="str">
        <f>"0.459"</f>
        <v>0.459</v>
      </c>
      <c r="CA554" t="s">
        <v>495</v>
      </c>
      <c r="CR554" t="s">
        <v>400</v>
      </c>
      <c r="CS554">
        <v>0</v>
      </c>
      <c r="CT554" t="s">
        <v>400</v>
      </c>
      <c r="CV554">
        <v>0</v>
      </c>
      <c r="CX554" t="s">
        <v>953</v>
      </c>
      <c r="CY554" t="s">
        <v>400</v>
      </c>
      <c r="DC554">
        <v>0</v>
      </c>
      <c r="DJ554" t="s">
        <v>408</v>
      </c>
      <c r="DK554" t="s">
        <v>10733</v>
      </c>
      <c r="DM554" t="s">
        <v>669</v>
      </c>
      <c r="DX554" t="s">
        <v>2083</v>
      </c>
      <c r="DZ554" t="s">
        <v>10734</v>
      </c>
      <c r="EI554" t="s">
        <v>1013</v>
      </c>
      <c r="EJ554" t="s">
        <v>2083</v>
      </c>
      <c r="EK554" t="s">
        <v>958</v>
      </c>
      <c r="EL554" t="s">
        <v>799</v>
      </c>
      <c r="EM554" t="s">
        <v>402</v>
      </c>
      <c r="EN554">
        <v>0</v>
      </c>
      <c r="EO554">
        <v>0</v>
      </c>
      <c r="EX554" t="s">
        <v>446</v>
      </c>
      <c r="FI554">
        <v>0</v>
      </c>
      <c r="FJ554" t="s">
        <v>1012</v>
      </c>
    </row>
    <row r="555" spans="1:293" x14ac:dyDescent="0.25">
      <c r="A555" t="s">
        <v>10758</v>
      </c>
      <c r="B555" t="str">
        <f>"801542094133"</f>
        <v>801542094133</v>
      </c>
      <c r="C555" t="s">
        <v>10759</v>
      </c>
      <c r="D555" t="s">
        <v>10600</v>
      </c>
      <c r="E555" t="s">
        <v>1043</v>
      </c>
      <c r="G555" t="str">
        <f>"30"</f>
        <v>30</v>
      </c>
      <c r="H555" t="str">
        <f>"17"</f>
        <v>17</v>
      </c>
      <c r="I555" t="str">
        <f>"26.5"</f>
        <v>26.5</v>
      </c>
      <c r="J555" t="str">
        <f>"59.74"</f>
        <v>59.74</v>
      </c>
      <c r="K555" t="s">
        <v>10601</v>
      </c>
      <c r="L555" t="s">
        <v>10602</v>
      </c>
      <c r="M555" t="s">
        <v>10603</v>
      </c>
      <c r="N555" t="s">
        <v>9086</v>
      </c>
      <c r="O555" t="s">
        <v>6144</v>
      </c>
      <c r="P555" t="s">
        <v>555</v>
      </c>
      <c r="T555" t="s">
        <v>402</v>
      </c>
      <c r="U555" t="s">
        <v>373</v>
      </c>
      <c r="V555" t="s">
        <v>10760</v>
      </c>
      <c r="W555" t="s">
        <v>10761</v>
      </c>
      <c r="X555" t="s">
        <v>10762</v>
      </c>
      <c r="Y555" t="s">
        <v>10763</v>
      </c>
      <c r="Z555" t="s">
        <v>10764</v>
      </c>
      <c r="AA555" t="s">
        <v>10765</v>
      </c>
      <c r="AB555" t="s">
        <v>10766</v>
      </c>
      <c r="AC555" t="s">
        <v>10767</v>
      </c>
      <c r="AD555" t="s">
        <v>10768</v>
      </c>
      <c r="AE555" t="s">
        <v>10769</v>
      </c>
      <c r="AF555" t="s">
        <v>10770</v>
      </c>
      <c r="AG555" t="s">
        <v>10771</v>
      </c>
      <c r="AH555" t="s">
        <v>10772</v>
      </c>
      <c r="AI555" t="s">
        <v>10773</v>
      </c>
      <c r="AJ555" t="s">
        <v>10774</v>
      </c>
      <c r="AK555" t="s">
        <v>10775</v>
      </c>
      <c r="BA555" t="str">
        <f>"1149"</f>
        <v>1149</v>
      </c>
      <c r="BB555" t="str">
        <f>"485"</f>
        <v>485</v>
      </c>
      <c r="BC555" t="s">
        <v>6158</v>
      </c>
      <c r="BD555" t="str">
        <f>"1"</f>
        <v>1</v>
      </c>
      <c r="BE555" t="s">
        <v>389</v>
      </c>
      <c r="BF555" t="str">
        <f>"23.23"</f>
        <v>23.23</v>
      </c>
      <c r="BG555" t="str">
        <f>"35.63"</f>
        <v>35.63</v>
      </c>
      <c r="BH555" t="str">
        <f>"35.43"</f>
        <v>35.43</v>
      </c>
      <c r="BI555" t="str">
        <f>"88.8"</f>
        <v>88.8</v>
      </c>
      <c r="BY555" t="str">
        <f>"16.99"</f>
        <v>16.99</v>
      </c>
      <c r="BZ555" t="str">
        <f>"0.481"</f>
        <v>0.481</v>
      </c>
      <c r="CA555" t="s">
        <v>431</v>
      </c>
      <c r="CR555" t="s">
        <v>5068</v>
      </c>
      <c r="CS555">
        <v>2</v>
      </c>
      <c r="CT555" t="s">
        <v>1312</v>
      </c>
      <c r="CV555">
        <v>0</v>
      </c>
      <c r="CX555" t="s">
        <v>1980</v>
      </c>
      <c r="CY555" t="s">
        <v>1009</v>
      </c>
      <c r="DC555">
        <v>0</v>
      </c>
      <c r="DJ555" t="s">
        <v>408</v>
      </c>
      <c r="DK555" t="s">
        <v>10625</v>
      </c>
      <c r="DM555" t="s">
        <v>473</v>
      </c>
      <c r="DX555" t="s">
        <v>2080</v>
      </c>
      <c r="EM555" t="s">
        <v>402</v>
      </c>
      <c r="EN555">
        <v>0</v>
      </c>
      <c r="FI555">
        <v>0</v>
      </c>
      <c r="FJ555" t="s">
        <v>1012</v>
      </c>
      <c r="FP555" t="s">
        <v>402</v>
      </c>
      <c r="FR555" t="s">
        <v>4395</v>
      </c>
      <c r="FT555" t="s">
        <v>10776</v>
      </c>
      <c r="FV555" t="s">
        <v>611</v>
      </c>
      <c r="FX555" t="s">
        <v>4210</v>
      </c>
      <c r="FZ555" t="s">
        <v>1018</v>
      </c>
      <c r="GA555" t="s">
        <v>402</v>
      </c>
    </row>
    <row r="556" spans="1:293" x14ac:dyDescent="0.25">
      <c r="A556" t="s">
        <v>10777</v>
      </c>
      <c r="B556" t="str">
        <f>"198394088688"</f>
        <v>198394088688</v>
      </c>
      <c r="C556" t="s">
        <v>10778</v>
      </c>
      <c r="D556" t="s">
        <v>10600</v>
      </c>
      <c r="E556" t="s">
        <v>1043</v>
      </c>
      <c r="G556" t="str">
        <f>"30"</f>
        <v>30</v>
      </c>
      <c r="H556" t="str">
        <f>"17"</f>
        <v>17</v>
      </c>
      <c r="I556" t="str">
        <f>"26.5"</f>
        <v>26.5</v>
      </c>
      <c r="J556" t="str">
        <f>"59.74"</f>
        <v>59.74</v>
      </c>
      <c r="K556" t="s">
        <v>10779</v>
      </c>
      <c r="L556" t="s">
        <v>10602</v>
      </c>
      <c r="M556" t="s">
        <v>10603</v>
      </c>
      <c r="N556" t="s">
        <v>9086</v>
      </c>
      <c r="O556" t="s">
        <v>6144</v>
      </c>
      <c r="P556" t="s">
        <v>555</v>
      </c>
      <c r="T556" t="s">
        <v>373</v>
      </c>
      <c r="U556" t="s">
        <v>373</v>
      </c>
      <c r="W556" t="s">
        <v>10780</v>
      </c>
      <c r="X556" t="s">
        <v>10781</v>
      </c>
      <c r="Y556" t="s">
        <v>10782</v>
      </c>
      <c r="Z556" t="s">
        <v>10783</v>
      </c>
      <c r="AA556" t="s">
        <v>10784</v>
      </c>
      <c r="AB556" t="s">
        <v>10785</v>
      </c>
      <c r="AC556" t="s">
        <v>10786</v>
      </c>
      <c r="AD556" t="s">
        <v>10787</v>
      </c>
      <c r="AE556" t="s">
        <v>10788</v>
      </c>
      <c r="AF556" t="s">
        <v>10789</v>
      </c>
      <c r="AG556" t="s">
        <v>10790</v>
      </c>
      <c r="AH556" t="s">
        <v>10791</v>
      </c>
      <c r="AI556" t="s">
        <v>10792</v>
      </c>
      <c r="AJ556" t="s">
        <v>10793</v>
      </c>
      <c r="BA556" t="str">
        <f>"1149"</f>
        <v>1149</v>
      </c>
      <c r="BB556" t="str">
        <f>"485"</f>
        <v>485</v>
      </c>
      <c r="BC556" t="s">
        <v>6158</v>
      </c>
      <c r="BD556" t="str">
        <f>"1"</f>
        <v>1</v>
      </c>
      <c r="BE556" t="s">
        <v>389</v>
      </c>
      <c r="BF556" t="str">
        <f>"23.23"</f>
        <v>23.23</v>
      </c>
      <c r="BG556" t="str">
        <f>"35.63"</f>
        <v>35.63</v>
      </c>
      <c r="BH556" t="str">
        <f>"35.43"</f>
        <v>35.43</v>
      </c>
      <c r="BI556" t="str">
        <f>"88.8"</f>
        <v>88.8</v>
      </c>
      <c r="BY556" t="str">
        <f>"16.99"</f>
        <v>16.99</v>
      </c>
      <c r="BZ556" t="str">
        <f>"0.481"</f>
        <v>0.481</v>
      </c>
      <c r="CA556" t="s">
        <v>431</v>
      </c>
      <c r="CR556" t="s">
        <v>5068</v>
      </c>
      <c r="CS556">
        <v>2</v>
      </c>
      <c r="CT556" t="s">
        <v>1312</v>
      </c>
      <c r="CV556">
        <v>0</v>
      </c>
      <c r="CX556" t="s">
        <v>1980</v>
      </c>
      <c r="CY556" t="s">
        <v>1009</v>
      </c>
      <c r="DC556">
        <v>0</v>
      </c>
      <c r="DJ556" t="s">
        <v>408</v>
      </c>
      <c r="DK556" t="s">
        <v>10625</v>
      </c>
      <c r="DM556" t="s">
        <v>473</v>
      </c>
      <c r="DX556" t="s">
        <v>2080</v>
      </c>
      <c r="EM556" t="s">
        <v>402</v>
      </c>
      <c r="EN556">
        <v>0</v>
      </c>
      <c r="FI556">
        <v>0</v>
      </c>
      <c r="FJ556" t="s">
        <v>1012</v>
      </c>
      <c r="FP556" t="s">
        <v>402</v>
      </c>
      <c r="FR556" t="s">
        <v>4395</v>
      </c>
      <c r="FT556" t="s">
        <v>10776</v>
      </c>
      <c r="FV556" t="s">
        <v>611</v>
      </c>
      <c r="FX556" t="s">
        <v>4210</v>
      </c>
      <c r="FZ556" t="s">
        <v>1018</v>
      </c>
      <c r="GA556" t="s">
        <v>402</v>
      </c>
    </row>
    <row r="557" spans="1:293" x14ac:dyDescent="0.25">
      <c r="A557" t="s">
        <v>10794</v>
      </c>
      <c r="B557" t="str">
        <f>"801542070014"</f>
        <v>801542070014</v>
      </c>
      <c r="C557" t="s">
        <v>10795</v>
      </c>
      <c r="D557" t="s">
        <v>10600</v>
      </c>
      <c r="E557" t="s">
        <v>1319</v>
      </c>
      <c r="F557" t="s">
        <v>3836</v>
      </c>
      <c r="G557" t="str">
        <f>"55"</f>
        <v>55</v>
      </c>
      <c r="H557" t="str">
        <f>"23"</f>
        <v>23</v>
      </c>
      <c r="I557" t="str">
        <f>"30.5"</f>
        <v>30.5</v>
      </c>
      <c r="J557" t="str">
        <f>"88.62"</f>
        <v>88.62</v>
      </c>
      <c r="K557" t="s">
        <v>10601</v>
      </c>
      <c r="L557" t="s">
        <v>10602</v>
      </c>
      <c r="M557" t="s">
        <v>10603</v>
      </c>
      <c r="N557" t="s">
        <v>9086</v>
      </c>
      <c r="O557" t="s">
        <v>6144</v>
      </c>
      <c r="P557" t="s">
        <v>555</v>
      </c>
      <c r="T557" t="s">
        <v>373</v>
      </c>
      <c r="U557" t="s">
        <v>373</v>
      </c>
      <c r="V557" t="s">
        <v>10796</v>
      </c>
      <c r="W557" t="s">
        <v>10797</v>
      </c>
      <c r="X557" t="s">
        <v>10798</v>
      </c>
      <c r="Y557" t="s">
        <v>10799</v>
      </c>
      <c r="Z557" t="s">
        <v>10800</v>
      </c>
      <c r="AA557" t="s">
        <v>10801</v>
      </c>
      <c r="AB557" t="s">
        <v>10802</v>
      </c>
      <c r="AC557" t="s">
        <v>10803</v>
      </c>
      <c r="AD557" t="s">
        <v>10804</v>
      </c>
      <c r="AE557" t="s">
        <v>10805</v>
      </c>
      <c r="AF557" t="s">
        <v>10806</v>
      </c>
      <c r="AG557" t="s">
        <v>10807</v>
      </c>
      <c r="AH557" t="s">
        <v>10808</v>
      </c>
      <c r="AI557" t="s">
        <v>10809</v>
      </c>
      <c r="AJ557" t="s">
        <v>10810</v>
      </c>
      <c r="AK557" t="s">
        <v>10811</v>
      </c>
      <c r="BA557" t="str">
        <f>"1899"</f>
        <v>1899</v>
      </c>
      <c r="BB557" t="str">
        <f>"800"</f>
        <v>800</v>
      </c>
      <c r="BC557" t="s">
        <v>6158</v>
      </c>
      <c r="BD557" t="str">
        <f>"1"</f>
        <v>1</v>
      </c>
      <c r="BE557" t="s">
        <v>389</v>
      </c>
      <c r="BF557" t="str">
        <f>"60.83"</f>
        <v>60.83</v>
      </c>
      <c r="BG557" t="str">
        <f>"29.33"</f>
        <v>29.33</v>
      </c>
      <c r="BH557" t="str">
        <f>"38.98"</f>
        <v>38.98</v>
      </c>
      <c r="BI557" t="str">
        <f>"142.68"</f>
        <v>142.68</v>
      </c>
      <c r="BY557" t="str">
        <f>"40.26"</f>
        <v>40.26</v>
      </c>
      <c r="BZ557" t="str">
        <f>"1.14"</f>
        <v>1.14</v>
      </c>
      <c r="CA557" t="s">
        <v>495</v>
      </c>
      <c r="CR557" t="s">
        <v>5068</v>
      </c>
      <c r="CS557">
        <v>3</v>
      </c>
      <c r="CT557" t="s">
        <v>1312</v>
      </c>
      <c r="CV557">
        <v>0</v>
      </c>
      <c r="CX557" t="s">
        <v>1980</v>
      </c>
      <c r="CY557" t="s">
        <v>1009</v>
      </c>
      <c r="DC557">
        <v>0</v>
      </c>
      <c r="DJ557" t="s">
        <v>3853</v>
      </c>
      <c r="DK557" t="s">
        <v>10625</v>
      </c>
      <c r="DM557" t="s">
        <v>473</v>
      </c>
      <c r="DX557" t="s">
        <v>2510</v>
      </c>
      <c r="DY557" t="s">
        <v>602</v>
      </c>
      <c r="DZ557" t="s">
        <v>10812</v>
      </c>
      <c r="EI557" t="s">
        <v>1510</v>
      </c>
      <c r="EJ557" t="s">
        <v>2083</v>
      </c>
      <c r="EK557" t="s">
        <v>2807</v>
      </c>
      <c r="EL557" t="s">
        <v>446</v>
      </c>
      <c r="EM557" t="s">
        <v>402</v>
      </c>
      <c r="EN557">
        <v>0</v>
      </c>
      <c r="EW557" t="s">
        <v>10813</v>
      </c>
      <c r="FI557">
        <v>0</v>
      </c>
      <c r="FJ557" t="s">
        <v>1012</v>
      </c>
      <c r="FP557" t="s">
        <v>402</v>
      </c>
      <c r="FR557" t="s">
        <v>4395</v>
      </c>
      <c r="FT557" t="s">
        <v>827</v>
      </c>
      <c r="FV557" t="s">
        <v>1055</v>
      </c>
      <c r="FX557" t="s">
        <v>4210</v>
      </c>
      <c r="FZ557" t="s">
        <v>1018</v>
      </c>
      <c r="GE557">
        <v>0</v>
      </c>
      <c r="HH557" t="s">
        <v>402</v>
      </c>
    </row>
    <row r="558" spans="1:293" x14ac:dyDescent="0.25">
      <c r="A558" t="s">
        <v>10814</v>
      </c>
      <c r="B558" t="str">
        <f>"801542184698"</f>
        <v>801542184698</v>
      </c>
      <c r="C558" t="s">
        <v>10815</v>
      </c>
      <c r="D558" t="s">
        <v>10298</v>
      </c>
      <c r="E558" t="s">
        <v>1021</v>
      </c>
      <c r="G558" t="str">
        <f>"92"</f>
        <v>92</v>
      </c>
      <c r="H558" t="str">
        <f>"18"</f>
        <v>18</v>
      </c>
      <c r="I558" t="str">
        <f>"27"</f>
        <v>27</v>
      </c>
      <c r="J558" t="str">
        <f>"144.4"</f>
        <v>144.4</v>
      </c>
      <c r="K558" t="s">
        <v>10816</v>
      </c>
      <c r="N558" t="s">
        <v>461</v>
      </c>
      <c r="T558" t="s">
        <v>373</v>
      </c>
      <c r="U558" t="s">
        <v>373</v>
      </c>
      <c r="V558" t="s">
        <v>10817</v>
      </c>
      <c r="W558" t="s">
        <v>10818</v>
      </c>
      <c r="X558" t="s">
        <v>10819</v>
      </c>
      <c r="Y558" t="s">
        <v>10820</v>
      </c>
      <c r="Z558" t="s">
        <v>10821</v>
      </c>
      <c r="AA558" t="s">
        <v>10822</v>
      </c>
      <c r="AB558" t="s">
        <v>10823</v>
      </c>
      <c r="AC558" t="s">
        <v>10824</v>
      </c>
      <c r="AD558" t="s">
        <v>10825</v>
      </c>
      <c r="AE558" t="s">
        <v>10826</v>
      </c>
      <c r="AF558" t="s">
        <v>10827</v>
      </c>
      <c r="AG558" t="s">
        <v>10828</v>
      </c>
      <c r="AH558" t="s">
        <v>10829</v>
      </c>
      <c r="AI558" t="s">
        <v>10830</v>
      </c>
      <c r="AJ558" t="s">
        <v>10831</v>
      </c>
      <c r="AK558" t="s">
        <v>10832</v>
      </c>
      <c r="AL558" t="s">
        <v>10833</v>
      </c>
      <c r="AM558" t="s">
        <v>10834</v>
      </c>
      <c r="AN558" t="s">
        <v>10835</v>
      </c>
      <c r="BA558" t="str">
        <f>"2899"</f>
        <v>2899</v>
      </c>
      <c r="BB558" t="str">
        <f>"1220"</f>
        <v>1220</v>
      </c>
      <c r="BC558" t="s">
        <v>388</v>
      </c>
      <c r="BD558" t="str">
        <f>"1"</f>
        <v>1</v>
      </c>
      <c r="BE558" t="s">
        <v>10836</v>
      </c>
      <c r="BF558" t="str">
        <f>"95.47"</f>
        <v>95.47</v>
      </c>
      <c r="BG558" t="str">
        <f>"21.46"</f>
        <v>21.46</v>
      </c>
      <c r="BH558" t="str">
        <f>"31.89"</f>
        <v>31.89</v>
      </c>
      <c r="BI558" t="str">
        <f>"179.02"</f>
        <v>179.02</v>
      </c>
      <c r="BY558" t="str">
        <f>"37.82"</f>
        <v>37.82</v>
      </c>
      <c r="BZ558" t="str">
        <f>"1.071"</f>
        <v>1.071</v>
      </c>
      <c r="CA558" t="s">
        <v>431</v>
      </c>
      <c r="CE558" t="s">
        <v>5043</v>
      </c>
      <c r="CF558" t="s">
        <v>10837</v>
      </c>
      <c r="CG558" t="s">
        <v>1150</v>
      </c>
      <c r="CR558" t="s">
        <v>1343</v>
      </c>
      <c r="CS558">
        <v>4</v>
      </c>
      <c r="CT558" t="s">
        <v>1344</v>
      </c>
      <c r="CV558">
        <v>0</v>
      </c>
      <c r="CX558" t="s">
        <v>403</v>
      </c>
      <c r="CY558" t="s">
        <v>954</v>
      </c>
      <c r="DA558">
        <v>18.14</v>
      </c>
      <c r="DB558">
        <v>40</v>
      </c>
      <c r="DC558">
        <v>1</v>
      </c>
      <c r="DK558" t="s">
        <v>10838</v>
      </c>
      <c r="DX558" t="s">
        <v>675</v>
      </c>
      <c r="EM558" t="s">
        <v>402</v>
      </c>
      <c r="EN558">
        <v>1</v>
      </c>
      <c r="EZ558" t="s">
        <v>10839</v>
      </c>
      <c r="FA558" t="s">
        <v>1040</v>
      </c>
      <c r="FB558" t="s">
        <v>10840</v>
      </c>
      <c r="FC558" t="s">
        <v>5043</v>
      </c>
      <c r="FD558" t="s">
        <v>1040</v>
      </c>
      <c r="FE558" t="s">
        <v>1150</v>
      </c>
      <c r="FG558" t="s">
        <v>402</v>
      </c>
      <c r="FH558" t="s">
        <v>959</v>
      </c>
      <c r="FI558">
        <v>2</v>
      </c>
      <c r="FJ558" t="s">
        <v>960</v>
      </c>
      <c r="FK558" t="s">
        <v>1246</v>
      </c>
      <c r="FM558" t="s">
        <v>402</v>
      </c>
      <c r="FO558" t="s">
        <v>984</v>
      </c>
      <c r="FR558" t="s">
        <v>4395</v>
      </c>
      <c r="FT558" t="s">
        <v>1037</v>
      </c>
      <c r="FV558" t="s">
        <v>1554</v>
      </c>
      <c r="FX558" t="s">
        <v>1008</v>
      </c>
      <c r="FZ558" t="s">
        <v>1018</v>
      </c>
      <c r="GA558" t="s">
        <v>402</v>
      </c>
      <c r="GE558">
        <v>0</v>
      </c>
      <c r="GX558" t="s">
        <v>395</v>
      </c>
      <c r="HI558" t="s">
        <v>402</v>
      </c>
      <c r="KG558" t="s">
        <v>1008</v>
      </c>
    </row>
    <row r="559" spans="1:293" x14ac:dyDescent="0.25">
      <c r="A559" t="s">
        <v>10841</v>
      </c>
      <c r="B559" t="str">
        <f>"801542139025"</f>
        <v>801542139025</v>
      </c>
      <c r="C559" t="s">
        <v>10842</v>
      </c>
      <c r="D559" t="s">
        <v>5999</v>
      </c>
      <c r="E559" t="s">
        <v>647</v>
      </c>
      <c r="F559" t="s">
        <v>648</v>
      </c>
      <c r="G559" t="str">
        <f>"55"</f>
        <v>55</v>
      </c>
      <c r="H559" t="str">
        <f>"55"</f>
        <v>55</v>
      </c>
      <c r="I559" t="str">
        <f>"30"</f>
        <v>30</v>
      </c>
      <c r="J559" t="str">
        <f>"265.64"</f>
        <v>265.64</v>
      </c>
      <c r="K559" t="s">
        <v>10843</v>
      </c>
      <c r="L559" t="s">
        <v>10844</v>
      </c>
      <c r="N559" t="s">
        <v>10845</v>
      </c>
      <c r="O559" t="s">
        <v>372</v>
      </c>
      <c r="T559" t="s">
        <v>373</v>
      </c>
      <c r="U559" t="s">
        <v>373</v>
      </c>
      <c r="V559" t="s">
        <v>10846</v>
      </c>
      <c r="W559" t="s">
        <v>10847</v>
      </c>
      <c r="X559" t="s">
        <v>10848</v>
      </c>
      <c r="Y559" t="s">
        <v>10849</v>
      </c>
      <c r="Z559" t="s">
        <v>10850</v>
      </c>
      <c r="AA559" t="s">
        <v>10851</v>
      </c>
      <c r="AB559" t="s">
        <v>10852</v>
      </c>
      <c r="AC559" t="s">
        <v>10853</v>
      </c>
      <c r="AD559" t="s">
        <v>10854</v>
      </c>
      <c r="AE559" t="s">
        <v>10855</v>
      </c>
      <c r="AF559" t="s">
        <v>10856</v>
      </c>
      <c r="AG559" t="s">
        <v>10857</v>
      </c>
      <c r="AH559" t="s">
        <v>10858</v>
      </c>
      <c r="AI559" t="s">
        <v>10859</v>
      </c>
      <c r="AJ559" t="s">
        <v>10860</v>
      </c>
      <c r="BA559" t="str">
        <f>"3499"</f>
        <v>3499</v>
      </c>
      <c r="BB559" t="str">
        <f>"1470"</f>
        <v>1470</v>
      </c>
      <c r="BC559" t="s">
        <v>949</v>
      </c>
      <c r="BD559" t="str">
        <f>"2"</f>
        <v>2</v>
      </c>
      <c r="BE559" t="s">
        <v>1089</v>
      </c>
      <c r="BF559" t="str">
        <f>"63.5"</f>
        <v>63.5</v>
      </c>
      <c r="BG559" t="str">
        <f>"11"</f>
        <v>11</v>
      </c>
      <c r="BH559" t="str">
        <f>"63.5"</f>
        <v>63.5</v>
      </c>
      <c r="BI559" t="str">
        <f>"341.05"</f>
        <v>341.05</v>
      </c>
      <c r="BJ559" t="s">
        <v>1090</v>
      </c>
      <c r="BK559" t="str">
        <f>"25"</f>
        <v>25</v>
      </c>
      <c r="BL559" t="str">
        <f>"25.5"</f>
        <v>25.5</v>
      </c>
      <c r="BM559" t="str">
        <f>"32"</f>
        <v>32</v>
      </c>
      <c r="BN559" t="str">
        <f>"78.81"</f>
        <v>78.81</v>
      </c>
      <c r="BY559" t="str">
        <f>"37.47"</f>
        <v>37.47</v>
      </c>
      <c r="BZ559" t="str">
        <f>"1.061"</f>
        <v>1.061</v>
      </c>
      <c r="CA559" t="s">
        <v>495</v>
      </c>
      <c r="CR559" t="s">
        <v>400</v>
      </c>
      <c r="CS559">
        <v>0</v>
      </c>
      <c r="CT559" t="s">
        <v>400</v>
      </c>
      <c r="CV559">
        <v>0</v>
      </c>
      <c r="CY559" t="s">
        <v>400</v>
      </c>
      <c r="DA559">
        <v>0</v>
      </c>
      <c r="DB559">
        <v>0</v>
      </c>
      <c r="DC559">
        <v>0</v>
      </c>
      <c r="DI559">
        <v>6</v>
      </c>
      <c r="DJ559" t="s">
        <v>471</v>
      </c>
      <c r="DK559" t="s">
        <v>10861</v>
      </c>
      <c r="DM559" t="s">
        <v>473</v>
      </c>
      <c r="DX559" t="s">
        <v>612</v>
      </c>
      <c r="EI559" t="s">
        <v>601</v>
      </c>
      <c r="EJ559" t="s">
        <v>612</v>
      </c>
      <c r="EK559" t="s">
        <v>601</v>
      </c>
      <c r="EL559" t="s">
        <v>6662</v>
      </c>
      <c r="EM559" t="s">
        <v>402</v>
      </c>
      <c r="EN559">
        <v>0</v>
      </c>
      <c r="EO559">
        <v>0</v>
      </c>
      <c r="EW559" t="s">
        <v>612</v>
      </c>
      <c r="EX559" t="s">
        <v>435</v>
      </c>
      <c r="EY559" t="s">
        <v>1115</v>
      </c>
    </row>
    <row r="560" spans="1:293" x14ac:dyDescent="0.25">
      <c r="A560" t="s">
        <v>10862</v>
      </c>
      <c r="B560" t="str">
        <f>"801542101794"</f>
        <v>801542101794</v>
      </c>
      <c r="C560" t="s">
        <v>10863</v>
      </c>
      <c r="D560" t="s">
        <v>1420</v>
      </c>
      <c r="E560" t="s">
        <v>1319</v>
      </c>
      <c r="F560" t="s">
        <v>3836</v>
      </c>
      <c r="G560" t="str">
        <f>"65"</f>
        <v>65</v>
      </c>
      <c r="H560" t="str">
        <f>"27"</f>
        <v>27</v>
      </c>
      <c r="I560" t="str">
        <f>"31"</f>
        <v>31</v>
      </c>
      <c r="J560" t="str">
        <f>"108.03"</f>
        <v>108.03</v>
      </c>
      <c r="K560" t="s">
        <v>10864</v>
      </c>
      <c r="N560" t="s">
        <v>1970</v>
      </c>
      <c r="O560" t="s">
        <v>372</v>
      </c>
      <c r="T560" t="s">
        <v>373</v>
      </c>
      <c r="U560" t="s">
        <v>373</v>
      </c>
      <c r="V560" t="s">
        <v>10865</v>
      </c>
      <c r="W560" t="s">
        <v>10866</v>
      </c>
      <c r="X560" t="s">
        <v>10867</v>
      </c>
      <c r="Y560" t="s">
        <v>10868</v>
      </c>
      <c r="Z560" t="s">
        <v>10869</v>
      </c>
      <c r="AA560" t="s">
        <v>10870</v>
      </c>
      <c r="AB560" t="s">
        <v>10871</v>
      </c>
      <c r="AC560" t="s">
        <v>10872</v>
      </c>
      <c r="AD560" t="s">
        <v>10873</v>
      </c>
      <c r="AE560" t="s">
        <v>10874</v>
      </c>
      <c r="AF560" t="s">
        <v>10875</v>
      </c>
      <c r="AG560" t="s">
        <v>10876</v>
      </c>
      <c r="AH560" t="s">
        <v>10877</v>
      </c>
      <c r="AI560" t="s">
        <v>10878</v>
      </c>
      <c r="AJ560" t="s">
        <v>10879</v>
      </c>
      <c r="AK560" t="s">
        <v>10880</v>
      </c>
      <c r="AL560" t="s">
        <v>10881</v>
      </c>
      <c r="AM560" t="s">
        <v>10882</v>
      </c>
      <c r="BA560" t="str">
        <f>"1599"</f>
        <v>1599</v>
      </c>
      <c r="BB560" t="str">
        <f>"675"</f>
        <v>675</v>
      </c>
      <c r="BC560" t="s">
        <v>665</v>
      </c>
      <c r="BD560" t="str">
        <f t="shared" ref="BD560:BD567" si="123">"1"</f>
        <v>1</v>
      </c>
      <c r="BE560" t="s">
        <v>9942</v>
      </c>
      <c r="BF560" t="str">
        <f>"68.9"</f>
        <v>68.9</v>
      </c>
      <c r="BG560" t="str">
        <f>"31.1"</f>
        <v>31.1</v>
      </c>
      <c r="BH560" t="str">
        <f>"37.2"</f>
        <v>37.2</v>
      </c>
      <c r="BI560" t="str">
        <f>"135.58"</f>
        <v>135.58</v>
      </c>
      <c r="BY560" t="str">
        <f>"46.12"</f>
        <v>46.12</v>
      </c>
      <c r="BZ560" t="str">
        <f>"1.306"</f>
        <v>1.306</v>
      </c>
      <c r="CA560" t="s">
        <v>495</v>
      </c>
      <c r="CR560" t="s">
        <v>1007</v>
      </c>
      <c r="CS560">
        <v>2</v>
      </c>
      <c r="CT560" t="s">
        <v>400</v>
      </c>
      <c r="CV560">
        <v>0</v>
      </c>
      <c r="CX560" t="s">
        <v>953</v>
      </c>
      <c r="CY560" t="s">
        <v>1009</v>
      </c>
      <c r="DC560">
        <v>0</v>
      </c>
      <c r="DJ560" t="s">
        <v>3853</v>
      </c>
      <c r="DK560" t="s">
        <v>9282</v>
      </c>
      <c r="DM560" t="s">
        <v>473</v>
      </c>
      <c r="DX560" t="s">
        <v>10883</v>
      </c>
      <c r="DY560" t="s">
        <v>1732</v>
      </c>
      <c r="DZ560" t="s">
        <v>10884</v>
      </c>
      <c r="EL560" t="s">
        <v>9379</v>
      </c>
      <c r="EM560" t="s">
        <v>402</v>
      </c>
      <c r="EN560">
        <v>0</v>
      </c>
      <c r="EW560" t="s">
        <v>4148</v>
      </c>
      <c r="FI560">
        <v>0</v>
      </c>
      <c r="FJ560" t="s">
        <v>1012</v>
      </c>
      <c r="FR560" t="s">
        <v>3315</v>
      </c>
      <c r="FT560" t="s">
        <v>2030</v>
      </c>
      <c r="FV560" t="s">
        <v>10885</v>
      </c>
      <c r="FX560" t="s">
        <v>1017</v>
      </c>
      <c r="FZ560" t="s">
        <v>1018</v>
      </c>
      <c r="GE560">
        <v>0</v>
      </c>
      <c r="HH560" t="s">
        <v>402</v>
      </c>
    </row>
    <row r="561" spans="1:217" x14ac:dyDescent="0.25">
      <c r="A561" t="s">
        <v>10886</v>
      </c>
      <c r="B561" t="str">
        <f>"801542030490"</f>
        <v>801542030490</v>
      </c>
      <c r="C561" t="s">
        <v>10887</v>
      </c>
      <c r="D561" t="s">
        <v>7245</v>
      </c>
      <c r="E561" t="s">
        <v>8884</v>
      </c>
      <c r="F561" t="s">
        <v>10888</v>
      </c>
      <c r="G561" t="str">
        <f>"30"</f>
        <v>30</v>
      </c>
      <c r="H561" t="str">
        <f>"30"</f>
        <v>30</v>
      </c>
      <c r="I561" t="str">
        <f>"15"</f>
        <v>15</v>
      </c>
      <c r="J561" t="str">
        <f>"65.7"</f>
        <v>65.7</v>
      </c>
      <c r="K561" t="s">
        <v>10630</v>
      </c>
      <c r="N561" t="s">
        <v>7249</v>
      </c>
      <c r="T561" t="s">
        <v>373</v>
      </c>
      <c r="U561" t="s">
        <v>373</v>
      </c>
      <c r="V561" t="s">
        <v>10889</v>
      </c>
      <c r="W561" t="s">
        <v>10890</v>
      </c>
      <c r="X561" t="s">
        <v>10891</v>
      </c>
      <c r="Y561" t="s">
        <v>10892</v>
      </c>
      <c r="Z561" t="s">
        <v>10893</v>
      </c>
      <c r="AA561" t="s">
        <v>10894</v>
      </c>
      <c r="AB561" t="s">
        <v>10895</v>
      </c>
      <c r="AC561" t="s">
        <v>10896</v>
      </c>
      <c r="AD561" t="s">
        <v>10897</v>
      </c>
      <c r="AE561" t="s">
        <v>10898</v>
      </c>
      <c r="AF561" t="s">
        <v>10899</v>
      </c>
      <c r="BA561" t="str">
        <f>"799"</f>
        <v>799</v>
      </c>
      <c r="BB561" t="str">
        <f>"340"</f>
        <v>340</v>
      </c>
      <c r="BC561" t="s">
        <v>6158</v>
      </c>
      <c r="BD561" t="str">
        <f t="shared" si="123"/>
        <v>1</v>
      </c>
      <c r="BE561" t="s">
        <v>389</v>
      </c>
      <c r="BF561" t="str">
        <f>"33.07"</f>
        <v>33.07</v>
      </c>
      <c r="BG561" t="str">
        <f>"33.07"</f>
        <v>33.07</v>
      </c>
      <c r="BH561" t="str">
        <f>"19.69"</f>
        <v>19.69</v>
      </c>
      <c r="BI561" t="str">
        <f>"79.03"</f>
        <v>79.03</v>
      </c>
      <c r="BY561" t="str">
        <f>"12.47"</f>
        <v>12.47</v>
      </c>
      <c r="BZ561" t="str">
        <f>"0.353"</f>
        <v>0.353</v>
      </c>
      <c r="CA561" t="s">
        <v>431</v>
      </c>
      <c r="CR561" t="s">
        <v>400</v>
      </c>
      <c r="CS561">
        <v>0</v>
      </c>
      <c r="CT561" t="s">
        <v>400</v>
      </c>
      <c r="CV561">
        <v>0</v>
      </c>
      <c r="CX561" t="s">
        <v>1980</v>
      </c>
      <c r="CY561" t="s">
        <v>400</v>
      </c>
      <c r="DC561">
        <v>0</v>
      </c>
      <c r="DJ561" t="s">
        <v>1132</v>
      </c>
      <c r="DK561" t="s">
        <v>10640</v>
      </c>
      <c r="DM561" t="s">
        <v>473</v>
      </c>
      <c r="DX561" t="s">
        <v>1394</v>
      </c>
      <c r="EI561" t="s">
        <v>1853</v>
      </c>
      <c r="EJ561" t="s">
        <v>979</v>
      </c>
      <c r="EK561" t="s">
        <v>1853</v>
      </c>
      <c r="EL561" t="s">
        <v>1348</v>
      </c>
      <c r="EM561" t="s">
        <v>402</v>
      </c>
      <c r="EN561">
        <v>0</v>
      </c>
      <c r="EO561">
        <v>0</v>
      </c>
    </row>
    <row r="562" spans="1:217" x14ac:dyDescent="0.25">
      <c r="A562" t="s">
        <v>10900</v>
      </c>
      <c r="B562" t="str">
        <f>"801542018184"</f>
        <v>801542018184</v>
      </c>
      <c r="C562" t="s">
        <v>10901</v>
      </c>
      <c r="D562" t="s">
        <v>514</v>
      </c>
      <c r="E562" t="s">
        <v>515</v>
      </c>
      <c r="F562" t="s">
        <v>516</v>
      </c>
      <c r="G562" t="str">
        <f>"26.75"</f>
        <v>26.75</v>
      </c>
      <c r="H562" t="str">
        <f>"28.25"</f>
        <v>28.25</v>
      </c>
      <c r="I562" t="str">
        <f>"29.25"</f>
        <v>29.25</v>
      </c>
      <c r="J562" t="str">
        <f>"34.17"</f>
        <v>34.17</v>
      </c>
      <c r="K562" t="s">
        <v>10902</v>
      </c>
      <c r="L562" t="s">
        <v>518</v>
      </c>
      <c r="N562" t="s">
        <v>416</v>
      </c>
      <c r="O562" t="s">
        <v>519</v>
      </c>
      <c r="T562" t="s">
        <v>373</v>
      </c>
      <c r="U562" t="s">
        <v>373</v>
      </c>
      <c r="V562" t="s">
        <v>10903</v>
      </c>
      <c r="W562" t="s">
        <v>10904</v>
      </c>
      <c r="X562" t="s">
        <v>10905</v>
      </c>
      <c r="Y562" t="s">
        <v>10906</v>
      </c>
      <c r="Z562" t="s">
        <v>10907</v>
      </c>
      <c r="AA562" t="s">
        <v>10908</v>
      </c>
      <c r="AB562" t="s">
        <v>10909</v>
      </c>
      <c r="AC562" t="s">
        <v>10910</v>
      </c>
      <c r="AD562" t="s">
        <v>10911</v>
      </c>
      <c r="AE562" t="s">
        <v>10912</v>
      </c>
      <c r="AF562" t="s">
        <v>10913</v>
      </c>
      <c r="AG562" t="s">
        <v>10914</v>
      </c>
      <c r="AH562" t="s">
        <v>10915</v>
      </c>
      <c r="BA562" t="str">
        <f>"1749"</f>
        <v>1749</v>
      </c>
      <c r="BB562" t="str">
        <f>"735"</f>
        <v>735</v>
      </c>
      <c r="BC562" t="s">
        <v>388</v>
      </c>
      <c r="BD562" t="str">
        <f t="shared" si="123"/>
        <v>1</v>
      </c>
      <c r="BE562" t="s">
        <v>389</v>
      </c>
      <c r="BF562" t="str">
        <f>"29.92"</f>
        <v>29.92</v>
      </c>
      <c r="BG562" t="str">
        <f>"28.35"</f>
        <v>28.35</v>
      </c>
      <c r="BH562" t="str">
        <f>"31.89"</f>
        <v>31.89</v>
      </c>
      <c r="BI562" t="str">
        <f>"52.03"</f>
        <v>52.03</v>
      </c>
      <c r="BY562" t="str">
        <f>"15.64"</f>
        <v>15.64</v>
      </c>
      <c r="BZ562" t="str">
        <f>"0.443"</f>
        <v>0.443</v>
      </c>
      <c r="CA562" t="s">
        <v>431</v>
      </c>
      <c r="CH562" t="s">
        <v>10916</v>
      </c>
      <c r="CI562" t="s">
        <v>1709</v>
      </c>
      <c r="CJ562" t="s">
        <v>396</v>
      </c>
      <c r="CK562" t="s">
        <v>10916</v>
      </c>
      <c r="CL562" t="s">
        <v>5877</v>
      </c>
      <c r="CN562">
        <v>0</v>
      </c>
      <c r="CO562">
        <v>1</v>
      </c>
      <c r="CP562" t="s">
        <v>437</v>
      </c>
      <c r="CQ562" t="s">
        <v>438</v>
      </c>
      <c r="CX562" t="s">
        <v>403</v>
      </c>
      <c r="CY562" t="s">
        <v>400</v>
      </c>
      <c r="CZ562">
        <v>0</v>
      </c>
      <c r="DD562">
        <v>0</v>
      </c>
      <c r="DE562" t="s">
        <v>439</v>
      </c>
      <c r="DF562" t="s">
        <v>406</v>
      </c>
      <c r="DG562" t="s">
        <v>407</v>
      </c>
      <c r="DH562">
        <v>1</v>
      </c>
      <c r="DI562">
        <v>1</v>
      </c>
      <c r="DK562" t="s">
        <v>10917</v>
      </c>
      <c r="DL562">
        <v>0</v>
      </c>
      <c r="DM562" t="s">
        <v>538</v>
      </c>
      <c r="DN562" t="s">
        <v>534</v>
      </c>
      <c r="DO562" t="s">
        <v>575</v>
      </c>
      <c r="DP562" t="s">
        <v>1055</v>
      </c>
      <c r="DT562" t="s">
        <v>3856</v>
      </c>
      <c r="DX562" t="s">
        <v>742</v>
      </c>
      <c r="DY562" t="s">
        <v>391</v>
      </c>
      <c r="DZ562" t="s">
        <v>568</v>
      </c>
      <c r="EA562" t="s">
        <v>3252</v>
      </c>
      <c r="ED562" t="s">
        <v>632</v>
      </c>
      <c r="EG562" t="s">
        <v>10918</v>
      </c>
      <c r="EP562" t="s">
        <v>4303</v>
      </c>
      <c r="EQ562" t="s">
        <v>396</v>
      </c>
      <c r="ER562">
        <v>0</v>
      </c>
      <c r="ES562">
        <v>0</v>
      </c>
      <c r="EU562">
        <v>0</v>
      </c>
    </row>
    <row r="563" spans="1:217" x14ac:dyDescent="0.25">
      <c r="A563" t="s">
        <v>10919</v>
      </c>
      <c r="B563" t="str">
        <f>"801542018177"</f>
        <v>801542018177</v>
      </c>
      <c r="C563" t="s">
        <v>10920</v>
      </c>
      <c r="D563" t="s">
        <v>514</v>
      </c>
      <c r="E563" t="s">
        <v>515</v>
      </c>
      <c r="F563" t="s">
        <v>516</v>
      </c>
      <c r="G563" t="str">
        <f>"26.75"</f>
        <v>26.75</v>
      </c>
      <c r="H563" t="str">
        <f>"28.25"</f>
        <v>28.25</v>
      </c>
      <c r="I563" t="str">
        <f>"29.25"</f>
        <v>29.25</v>
      </c>
      <c r="J563" t="str">
        <f>"34.17"</f>
        <v>34.17</v>
      </c>
      <c r="K563" t="s">
        <v>10921</v>
      </c>
      <c r="L563" t="s">
        <v>518</v>
      </c>
      <c r="N563" t="s">
        <v>371</v>
      </c>
      <c r="O563" t="s">
        <v>519</v>
      </c>
      <c r="T563" t="s">
        <v>373</v>
      </c>
      <c r="U563" t="s">
        <v>373</v>
      </c>
      <c r="V563" t="s">
        <v>10922</v>
      </c>
      <c r="W563" t="s">
        <v>10923</v>
      </c>
      <c r="X563" t="s">
        <v>10924</v>
      </c>
      <c r="Y563" t="s">
        <v>10925</v>
      </c>
      <c r="Z563" t="s">
        <v>10926</v>
      </c>
      <c r="AA563" t="s">
        <v>10927</v>
      </c>
      <c r="AB563" t="s">
        <v>10928</v>
      </c>
      <c r="AC563" t="s">
        <v>10929</v>
      </c>
      <c r="AD563" t="s">
        <v>10930</v>
      </c>
      <c r="AE563" t="s">
        <v>10931</v>
      </c>
      <c r="AF563" t="s">
        <v>10932</v>
      </c>
      <c r="AG563" t="s">
        <v>10933</v>
      </c>
      <c r="AH563" t="s">
        <v>10934</v>
      </c>
      <c r="BA563" t="str">
        <f>"1249"</f>
        <v>1249</v>
      </c>
      <c r="BB563" t="str">
        <f>"525"</f>
        <v>525</v>
      </c>
      <c r="BC563" t="s">
        <v>388</v>
      </c>
      <c r="BD563" t="str">
        <f t="shared" si="123"/>
        <v>1</v>
      </c>
      <c r="BE563" t="s">
        <v>389</v>
      </c>
      <c r="BF563" t="str">
        <f>"29.92"</f>
        <v>29.92</v>
      </c>
      <c r="BG563" t="str">
        <f>"28.35"</f>
        <v>28.35</v>
      </c>
      <c r="BH563" t="str">
        <f>"31.89"</f>
        <v>31.89</v>
      </c>
      <c r="BI563" t="str">
        <f>"52.03"</f>
        <v>52.03</v>
      </c>
      <c r="BY563" t="str">
        <f>"15.64"</f>
        <v>15.64</v>
      </c>
      <c r="BZ563" t="str">
        <f>"0.443"</f>
        <v>0.443</v>
      </c>
      <c r="CA563" t="s">
        <v>390</v>
      </c>
      <c r="CH563" t="s">
        <v>10916</v>
      </c>
      <c r="CI563" t="s">
        <v>1709</v>
      </c>
      <c r="CJ563" t="s">
        <v>396</v>
      </c>
      <c r="CK563" t="s">
        <v>10916</v>
      </c>
      <c r="CL563" t="s">
        <v>5877</v>
      </c>
      <c r="CN563">
        <v>0</v>
      </c>
      <c r="CO563">
        <v>1</v>
      </c>
      <c r="CP563" t="s">
        <v>437</v>
      </c>
      <c r="CQ563" t="s">
        <v>2743</v>
      </c>
      <c r="CX563" t="s">
        <v>403</v>
      </c>
      <c r="CY563" t="s">
        <v>400</v>
      </c>
      <c r="CZ563">
        <v>0</v>
      </c>
      <c r="DD563">
        <v>15000</v>
      </c>
      <c r="DE563" t="s">
        <v>439</v>
      </c>
      <c r="DF563" t="s">
        <v>406</v>
      </c>
      <c r="DG563" t="s">
        <v>407</v>
      </c>
      <c r="DH563">
        <v>1</v>
      </c>
      <c r="DI563">
        <v>1</v>
      </c>
      <c r="DK563" t="s">
        <v>10917</v>
      </c>
      <c r="DL563">
        <v>0</v>
      </c>
      <c r="DM563" t="s">
        <v>538</v>
      </c>
      <c r="DN563" t="s">
        <v>534</v>
      </c>
      <c r="DO563" t="s">
        <v>575</v>
      </c>
      <c r="DP563" t="s">
        <v>1055</v>
      </c>
      <c r="DT563" t="s">
        <v>3856</v>
      </c>
      <c r="DX563" t="s">
        <v>742</v>
      </c>
      <c r="DY563" t="s">
        <v>391</v>
      </c>
      <c r="DZ563" t="s">
        <v>568</v>
      </c>
      <c r="EA563" t="s">
        <v>3252</v>
      </c>
      <c r="ED563" t="s">
        <v>632</v>
      </c>
      <c r="EG563" t="s">
        <v>10918</v>
      </c>
      <c r="EP563" t="s">
        <v>4303</v>
      </c>
      <c r="EQ563" t="s">
        <v>396</v>
      </c>
      <c r="ER563">
        <v>0</v>
      </c>
      <c r="ES563">
        <v>0</v>
      </c>
      <c r="EU563">
        <v>0</v>
      </c>
    </row>
    <row r="564" spans="1:217" x14ac:dyDescent="0.25">
      <c r="A564" t="s">
        <v>10935</v>
      </c>
      <c r="B564" t="str">
        <f>"198394059053"</f>
        <v>198394059053</v>
      </c>
      <c r="C564" t="s">
        <v>10936</v>
      </c>
      <c r="D564" t="s">
        <v>3784</v>
      </c>
      <c r="E564" t="s">
        <v>930</v>
      </c>
      <c r="G564" t="str">
        <f>"78"</f>
        <v>78</v>
      </c>
      <c r="H564" t="str">
        <f>"18"</f>
        <v>18</v>
      </c>
      <c r="I564" t="str">
        <f>"31"</f>
        <v>31</v>
      </c>
      <c r="J564" t="str">
        <f>"134.48"</f>
        <v>134.48</v>
      </c>
      <c r="K564" t="s">
        <v>10937</v>
      </c>
      <c r="L564" t="s">
        <v>10938</v>
      </c>
      <c r="N564" t="s">
        <v>461</v>
      </c>
      <c r="O564" t="s">
        <v>416</v>
      </c>
      <c r="T564" t="s">
        <v>373</v>
      </c>
      <c r="U564" t="s">
        <v>373</v>
      </c>
      <c r="V564" t="s">
        <v>10939</v>
      </c>
      <c r="W564" t="s">
        <v>10940</v>
      </c>
      <c r="X564" t="s">
        <v>10941</v>
      </c>
      <c r="Y564" t="s">
        <v>10942</v>
      </c>
      <c r="Z564" t="s">
        <v>10943</v>
      </c>
      <c r="AA564" t="s">
        <v>10944</v>
      </c>
      <c r="AB564" t="s">
        <v>10945</v>
      </c>
      <c r="AC564" t="s">
        <v>10946</v>
      </c>
      <c r="AD564" t="s">
        <v>10947</v>
      </c>
      <c r="AE564" t="s">
        <v>10948</v>
      </c>
      <c r="AF564" t="s">
        <v>10949</v>
      </c>
      <c r="AG564" t="s">
        <v>10950</v>
      </c>
      <c r="AH564" t="s">
        <v>10951</v>
      </c>
      <c r="AI564" t="s">
        <v>10952</v>
      </c>
      <c r="BA564" t="str">
        <f>"1749"</f>
        <v>1749</v>
      </c>
      <c r="BB564" t="str">
        <f>"735"</f>
        <v>735</v>
      </c>
      <c r="BC564" t="s">
        <v>1149</v>
      </c>
      <c r="BD564" t="str">
        <f t="shared" si="123"/>
        <v>1</v>
      </c>
      <c r="BE564" t="s">
        <v>389</v>
      </c>
      <c r="BF564" t="str">
        <f>"81.89"</f>
        <v>81.89</v>
      </c>
      <c r="BG564" t="str">
        <f>"21.65"</f>
        <v>21.65</v>
      </c>
      <c r="BH564" t="str">
        <f>"34.65"</f>
        <v>34.65</v>
      </c>
      <c r="BI564" t="str">
        <f>"154.32"</f>
        <v>154.32</v>
      </c>
      <c r="BY564" t="str">
        <f>"35.56"</f>
        <v>35.56</v>
      </c>
      <c r="BZ564" t="str">
        <f>"1.007"</f>
        <v>1.007</v>
      </c>
      <c r="CA564" t="s">
        <v>495</v>
      </c>
      <c r="CE564" t="s">
        <v>3833</v>
      </c>
      <c r="CF564" t="s">
        <v>9037</v>
      </c>
      <c r="CG564" t="s">
        <v>3320</v>
      </c>
      <c r="CR564" t="s">
        <v>400</v>
      </c>
      <c r="CS564">
        <v>0</v>
      </c>
      <c r="CT564" t="s">
        <v>400</v>
      </c>
      <c r="CV564">
        <v>0</v>
      </c>
      <c r="CX564" t="s">
        <v>4903</v>
      </c>
      <c r="CY564" t="s">
        <v>954</v>
      </c>
      <c r="DA564">
        <v>18.14</v>
      </c>
      <c r="DB564">
        <v>40</v>
      </c>
      <c r="DC564">
        <v>2</v>
      </c>
      <c r="DK564" t="s">
        <v>10953</v>
      </c>
      <c r="DM564" t="s">
        <v>669</v>
      </c>
      <c r="DX564" t="s">
        <v>2510</v>
      </c>
      <c r="EM564" t="s">
        <v>402</v>
      </c>
      <c r="EN564">
        <v>2</v>
      </c>
      <c r="EZ564" t="s">
        <v>9037</v>
      </c>
      <c r="FA564" t="s">
        <v>5144</v>
      </c>
      <c r="FB564" t="s">
        <v>791</v>
      </c>
      <c r="FC564" t="s">
        <v>958</v>
      </c>
      <c r="FD564" t="s">
        <v>5144</v>
      </c>
      <c r="FE564" t="s">
        <v>3320</v>
      </c>
      <c r="FF564">
        <v>0</v>
      </c>
      <c r="FG564" t="s">
        <v>402</v>
      </c>
      <c r="FH564" t="s">
        <v>959</v>
      </c>
      <c r="FI564">
        <v>4</v>
      </c>
      <c r="FJ564" t="s">
        <v>960</v>
      </c>
      <c r="FK564" t="s">
        <v>1246</v>
      </c>
      <c r="FL564">
        <v>0</v>
      </c>
      <c r="FM564" t="s">
        <v>402</v>
      </c>
      <c r="FO564" t="s">
        <v>984</v>
      </c>
      <c r="GX564" t="s">
        <v>566</v>
      </c>
      <c r="HI564" t="s">
        <v>402</v>
      </c>
    </row>
    <row r="565" spans="1:217" x14ac:dyDescent="0.25">
      <c r="A565" t="s">
        <v>10954</v>
      </c>
      <c r="B565" t="str">
        <f>"801542110406"</f>
        <v>801542110406</v>
      </c>
      <c r="C565" t="s">
        <v>10955</v>
      </c>
      <c r="D565" t="s">
        <v>1224</v>
      </c>
      <c r="E565" t="s">
        <v>647</v>
      </c>
      <c r="F565" t="s">
        <v>648</v>
      </c>
      <c r="G565" t="str">
        <f>"108"</f>
        <v>108</v>
      </c>
      <c r="H565" t="str">
        <f>"43"</f>
        <v>43</v>
      </c>
      <c r="I565" t="str">
        <f>"30"</f>
        <v>30</v>
      </c>
      <c r="J565" t="str">
        <f>"235.89"</f>
        <v>235.89</v>
      </c>
      <c r="K565" t="s">
        <v>8690</v>
      </c>
      <c r="N565" t="s">
        <v>1463</v>
      </c>
      <c r="T565" t="s">
        <v>402</v>
      </c>
      <c r="U565" t="s">
        <v>373</v>
      </c>
      <c r="V565" t="s">
        <v>10956</v>
      </c>
      <c r="W565" t="s">
        <v>10957</v>
      </c>
      <c r="X565" t="s">
        <v>10958</v>
      </c>
      <c r="Y565" t="s">
        <v>10959</v>
      </c>
      <c r="Z565" t="s">
        <v>10960</v>
      </c>
      <c r="AA565" t="s">
        <v>10961</v>
      </c>
      <c r="AB565" t="s">
        <v>10962</v>
      </c>
      <c r="AC565" t="s">
        <v>10963</v>
      </c>
      <c r="AD565" t="s">
        <v>10964</v>
      </c>
      <c r="AE565" t="s">
        <v>10965</v>
      </c>
      <c r="AF565" t="s">
        <v>10966</v>
      </c>
      <c r="BA565" t="str">
        <f>"4599"</f>
        <v>4599</v>
      </c>
      <c r="BB565" t="str">
        <f>"1935"</f>
        <v>1935</v>
      </c>
      <c r="BC565" t="s">
        <v>1149</v>
      </c>
      <c r="BD565" t="str">
        <f t="shared" si="123"/>
        <v>1</v>
      </c>
      <c r="BE565" t="s">
        <v>389</v>
      </c>
      <c r="BF565" t="str">
        <f>"100"</f>
        <v>100</v>
      </c>
      <c r="BG565" t="str">
        <f>"18.9"</f>
        <v>18.9</v>
      </c>
      <c r="BH565" t="str">
        <f>"51.18"</f>
        <v>51.18</v>
      </c>
      <c r="BI565" t="str">
        <f>"322.97"</f>
        <v>322.97</v>
      </c>
      <c r="BY565" t="str">
        <f>"55.97"</f>
        <v>55.97</v>
      </c>
      <c r="BZ565" t="str">
        <f>"1.585"</f>
        <v>1.585</v>
      </c>
      <c r="CA565" t="s">
        <v>431</v>
      </c>
      <c r="CR565" t="s">
        <v>400</v>
      </c>
      <c r="CS565">
        <v>0</v>
      </c>
      <c r="CT565" t="s">
        <v>400</v>
      </c>
      <c r="CV565">
        <v>0</v>
      </c>
      <c r="CX565" t="s">
        <v>953</v>
      </c>
      <c r="CY565" t="s">
        <v>400</v>
      </c>
      <c r="DA565">
        <v>0</v>
      </c>
      <c r="DB565">
        <v>0</v>
      </c>
      <c r="DC565">
        <v>0</v>
      </c>
      <c r="DI565">
        <v>10</v>
      </c>
      <c r="DJ565" t="s">
        <v>408</v>
      </c>
      <c r="DK565" t="s">
        <v>8337</v>
      </c>
      <c r="DM565" t="s">
        <v>669</v>
      </c>
      <c r="DX565" t="s">
        <v>638</v>
      </c>
      <c r="DY565" t="s">
        <v>10967</v>
      </c>
      <c r="DZ565" t="s">
        <v>10968</v>
      </c>
      <c r="EI565" t="s">
        <v>8705</v>
      </c>
      <c r="EJ565" t="s">
        <v>1853</v>
      </c>
      <c r="EK565" t="s">
        <v>8706</v>
      </c>
      <c r="EL565" t="s">
        <v>446</v>
      </c>
      <c r="EM565" t="s">
        <v>402</v>
      </c>
      <c r="EN565">
        <v>0</v>
      </c>
      <c r="EO565">
        <v>0</v>
      </c>
      <c r="EW565" t="s">
        <v>638</v>
      </c>
      <c r="EY565" t="s">
        <v>5485</v>
      </c>
    </row>
    <row r="566" spans="1:217" x14ac:dyDescent="0.25">
      <c r="A566" t="s">
        <v>10969</v>
      </c>
      <c r="B566" t="str">
        <f>"801542203122"</f>
        <v>801542203122</v>
      </c>
      <c r="C566" t="s">
        <v>10970</v>
      </c>
      <c r="D566" t="s">
        <v>1224</v>
      </c>
      <c r="E566" t="s">
        <v>647</v>
      </c>
      <c r="F566" t="s">
        <v>648</v>
      </c>
      <c r="G566" t="str">
        <f>"108"</f>
        <v>108</v>
      </c>
      <c r="H566" t="str">
        <f>"43"</f>
        <v>43</v>
      </c>
      <c r="I566" t="str">
        <f>"30"</f>
        <v>30</v>
      </c>
      <c r="J566" t="str">
        <f>"235.89"</f>
        <v>235.89</v>
      </c>
      <c r="K566" t="s">
        <v>8322</v>
      </c>
      <c r="N566" t="s">
        <v>1463</v>
      </c>
      <c r="T566" t="s">
        <v>402</v>
      </c>
      <c r="U566" t="s">
        <v>373</v>
      </c>
      <c r="V566" t="s">
        <v>10971</v>
      </c>
      <c r="W566" t="s">
        <v>10972</v>
      </c>
      <c r="X566" t="s">
        <v>10973</v>
      </c>
      <c r="Y566" t="s">
        <v>10974</v>
      </c>
      <c r="Z566" t="s">
        <v>10975</v>
      </c>
      <c r="AA566" t="s">
        <v>10976</v>
      </c>
      <c r="AB566" t="s">
        <v>10977</v>
      </c>
      <c r="AC566" t="s">
        <v>8330</v>
      </c>
      <c r="AD566" t="s">
        <v>10978</v>
      </c>
      <c r="AE566" t="s">
        <v>10979</v>
      </c>
      <c r="AF566" t="s">
        <v>10980</v>
      </c>
      <c r="AG566" t="s">
        <v>10981</v>
      </c>
      <c r="BA566" t="str">
        <f>"4599"</f>
        <v>4599</v>
      </c>
      <c r="BB566" t="str">
        <f>"1935"</f>
        <v>1935</v>
      </c>
      <c r="BC566" t="s">
        <v>1149</v>
      </c>
      <c r="BD566" t="str">
        <f t="shared" si="123"/>
        <v>1</v>
      </c>
      <c r="BE566" t="s">
        <v>389</v>
      </c>
      <c r="BF566" t="str">
        <f>"100"</f>
        <v>100</v>
      </c>
      <c r="BG566" t="str">
        <f>"18.9"</f>
        <v>18.9</v>
      </c>
      <c r="BH566" t="str">
        <f>"51.18"</f>
        <v>51.18</v>
      </c>
      <c r="BI566" t="str">
        <f>"322.97"</f>
        <v>322.97</v>
      </c>
      <c r="BY566" t="str">
        <f>"55.97"</f>
        <v>55.97</v>
      </c>
      <c r="BZ566" t="str">
        <f>"1.585"</f>
        <v>1.585</v>
      </c>
      <c r="CA566" t="s">
        <v>495</v>
      </c>
      <c r="CR566" t="s">
        <v>400</v>
      </c>
      <c r="CS566">
        <v>0</v>
      </c>
      <c r="CT566" t="s">
        <v>400</v>
      </c>
      <c r="CV566">
        <v>0</v>
      </c>
      <c r="CX566" t="s">
        <v>953</v>
      </c>
      <c r="CY566" t="s">
        <v>400</v>
      </c>
      <c r="DA566">
        <v>0</v>
      </c>
      <c r="DB566">
        <v>0</v>
      </c>
      <c r="DC566">
        <v>0</v>
      </c>
      <c r="DI566">
        <v>10</v>
      </c>
      <c r="DJ566" t="s">
        <v>408</v>
      </c>
      <c r="DK566" t="s">
        <v>8337</v>
      </c>
      <c r="DM566" t="s">
        <v>669</v>
      </c>
      <c r="DX566" t="s">
        <v>638</v>
      </c>
      <c r="DY566" t="s">
        <v>10967</v>
      </c>
      <c r="DZ566" t="s">
        <v>10968</v>
      </c>
      <c r="EI566" t="s">
        <v>8705</v>
      </c>
      <c r="EJ566" t="s">
        <v>1853</v>
      </c>
      <c r="EK566" t="s">
        <v>8706</v>
      </c>
      <c r="EL566" t="s">
        <v>446</v>
      </c>
      <c r="EM566" t="s">
        <v>402</v>
      </c>
      <c r="EN566">
        <v>0</v>
      </c>
      <c r="EO566">
        <v>0</v>
      </c>
      <c r="EW566" t="s">
        <v>638</v>
      </c>
      <c r="EY566" t="s">
        <v>5485</v>
      </c>
    </row>
    <row r="567" spans="1:217" x14ac:dyDescent="0.25">
      <c r="A567" t="s">
        <v>10982</v>
      </c>
      <c r="B567" t="str">
        <f>"801542099169"</f>
        <v>801542099169</v>
      </c>
      <c r="C567" t="s">
        <v>10983</v>
      </c>
      <c r="D567" t="s">
        <v>8652</v>
      </c>
      <c r="E567" t="s">
        <v>930</v>
      </c>
      <c r="G567" t="str">
        <f>"72"</f>
        <v>72</v>
      </c>
      <c r="H567" t="str">
        <f>"17"</f>
        <v>17</v>
      </c>
      <c r="I567" t="str">
        <f>"32"</f>
        <v>32</v>
      </c>
      <c r="J567" t="str">
        <f>"117.73"</f>
        <v>117.73</v>
      </c>
      <c r="K567" t="s">
        <v>10984</v>
      </c>
      <c r="L567" t="s">
        <v>10985</v>
      </c>
      <c r="N567" t="s">
        <v>372</v>
      </c>
      <c r="O567" t="s">
        <v>1970</v>
      </c>
      <c r="T567" t="s">
        <v>373</v>
      </c>
      <c r="U567" t="s">
        <v>373</v>
      </c>
      <c r="V567" t="s">
        <v>10986</v>
      </c>
      <c r="W567" t="s">
        <v>10987</v>
      </c>
      <c r="X567" t="s">
        <v>10988</v>
      </c>
      <c r="Y567" t="s">
        <v>10989</v>
      </c>
      <c r="Z567" t="s">
        <v>10990</v>
      </c>
      <c r="AA567" t="s">
        <v>10991</v>
      </c>
      <c r="AB567" t="s">
        <v>10992</v>
      </c>
      <c r="AC567" t="s">
        <v>10993</v>
      </c>
      <c r="AD567" t="s">
        <v>10994</v>
      </c>
      <c r="AE567" t="s">
        <v>10995</v>
      </c>
      <c r="AF567" t="s">
        <v>10996</v>
      </c>
      <c r="AG567" t="s">
        <v>10997</v>
      </c>
      <c r="AH567" t="s">
        <v>10998</v>
      </c>
      <c r="AI567" t="s">
        <v>10999</v>
      </c>
      <c r="AJ567" t="s">
        <v>11000</v>
      </c>
      <c r="AK567" t="s">
        <v>11001</v>
      </c>
      <c r="BA567" t="str">
        <f>"2399"</f>
        <v>2399</v>
      </c>
      <c r="BB567" t="str">
        <f>"1010"</f>
        <v>1010</v>
      </c>
      <c r="BC567" t="s">
        <v>388</v>
      </c>
      <c r="BD567" t="str">
        <f t="shared" si="123"/>
        <v>1</v>
      </c>
      <c r="BE567" t="s">
        <v>389</v>
      </c>
      <c r="BF567" t="str">
        <f>"75.59"</f>
        <v>75.59</v>
      </c>
      <c r="BG567" t="str">
        <f>"21.06"</f>
        <v>21.06</v>
      </c>
      <c r="BH567" t="str">
        <f>"37.01"</f>
        <v>37.01</v>
      </c>
      <c r="BI567" t="str">
        <f>"141.76"</f>
        <v>141.76</v>
      </c>
      <c r="BY567" t="str">
        <f>"34.08"</f>
        <v>34.08</v>
      </c>
      <c r="BZ567" t="str">
        <f>"0.965"</f>
        <v>0.965</v>
      </c>
      <c r="CA567" t="s">
        <v>495</v>
      </c>
      <c r="CE567" t="s">
        <v>11002</v>
      </c>
      <c r="CF567" t="s">
        <v>740</v>
      </c>
      <c r="CG567" t="s">
        <v>11003</v>
      </c>
      <c r="CR567" t="s">
        <v>400</v>
      </c>
      <c r="CS567">
        <v>0</v>
      </c>
      <c r="CT567" t="s">
        <v>400</v>
      </c>
      <c r="CV567">
        <v>0</v>
      </c>
      <c r="CX567" t="s">
        <v>1241</v>
      </c>
      <c r="CY567" t="s">
        <v>954</v>
      </c>
      <c r="DA567">
        <v>18.14</v>
      </c>
      <c r="DB567">
        <v>40</v>
      </c>
      <c r="DC567">
        <v>2</v>
      </c>
      <c r="DK567" t="s">
        <v>11004</v>
      </c>
      <c r="DM567" t="s">
        <v>669</v>
      </c>
      <c r="DX567" t="s">
        <v>635</v>
      </c>
      <c r="EM567" t="s">
        <v>402</v>
      </c>
      <c r="EN567">
        <v>2</v>
      </c>
      <c r="EZ567" t="s">
        <v>6637</v>
      </c>
      <c r="FA567" t="s">
        <v>956</v>
      </c>
      <c r="FB567" t="s">
        <v>3600</v>
      </c>
      <c r="FC567" t="s">
        <v>11002</v>
      </c>
      <c r="FD567" t="s">
        <v>956</v>
      </c>
      <c r="FE567" t="s">
        <v>11003</v>
      </c>
      <c r="FF567">
        <v>0</v>
      </c>
      <c r="FG567" t="s">
        <v>402</v>
      </c>
      <c r="FH567" t="s">
        <v>959</v>
      </c>
      <c r="FI567">
        <v>4</v>
      </c>
      <c r="FJ567" t="s">
        <v>960</v>
      </c>
      <c r="FK567" t="s">
        <v>1246</v>
      </c>
      <c r="FL567">
        <v>0</v>
      </c>
      <c r="FM567" t="s">
        <v>402</v>
      </c>
      <c r="FO567" t="s">
        <v>984</v>
      </c>
    </row>
    <row r="568" spans="1:217" x14ac:dyDescent="0.25">
      <c r="A568" t="s">
        <v>11005</v>
      </c>
      <c r="B568" t="str">
        <f>"801542004491"</f>
        <v>801542004491</v>
      </c>
      <c r="C568" t="s">
        <v>11006</v>
      </c>
      <c r="D568" t="s">
        <v>11007</v>
      </c>
      <c r="E568" t="s">
        <v>1166</v>
      </c>
      <c r="F568" t="s">
        <v>3759</v>
      </c>
      <c r="G568" t="str">
        <f>"105.5"</f>
        <v>105.5</v>
      </c>
      <c r="H568" t="str">
        <f>"71"</f>
        <v>71</v>
      </c>
      <c r="I568" t="str">
        <f>"28.75"</f>
        <v>28.75</v>
      </c>
      <c r="J568" t="str">
        <f>"178.57"</f>
        <v>178.57</v>
      </c>
      <c r="K568" t="s">
        <v>11008</v>
      </c>
      <c r="N568" t="s">
        <v>1916</v>
      </c>
      <c r="O568" t="s">
        <v>1917</v>
      </c>
      <c r="T568" t="s">
        <v>373</v>
      </c>
      <c r="U568" t="s">
        <v>402</v>
      </c>
      <c r="V568" t="s">
        <v>11009</v>
      </c>
      <c r="W568" t="s">
        <v>11010</v>
      </c>
      <c r="X568" t="s">
        <v>11011</v>
      </c>
      <c r="Y568" t="s">
        <v>11012</v>
      </c>
      <c r="Z568" t="s">
        <v>11013</v>
      </c>
      <c r="AA568" t="s">
        <v>11014</v>
      </c>
      <c r="AB568" t="s">
        <v>11015</v>
      </c>
      <c r="AC568" t="s">
        <v>11016</v>
      </c>
      <c r="AD568" t="s">
        <v>11017</v>
      </c>
      <c r="AE568" t="s">
        <v>11018</v>
      </c>
      <c r="AF568" t="s">
        <v>11019</v>
      </c>
      <c r="AG568" t="s">
        <v>11020</v>
      </c>
      <c r="AH568" t="s">
        <v>11021</v>
      </c>
      <c r="AI568" t="s">
        <v>11022</v>
      </c>
      <c r="AJ568" t="s">
        <v>11023</v>
      </c>
      <c r="AK568" t="s">
        <v>11024</v>
      </c>
      <c r="AL568" t="s">
        <v>11025</v>
      </c>
      <c r="BA568" t="str">
        <f>"3899"</f>
        <v>3899</v>
      </c>
      <c r="BB568" t="str">
        <f>"1640"</f>
        <v>1640</v>
      </c>
      <c r="BC568" t="s">
        <v>665</v>
      </c>
      <c r="BD568" t="str">
        <f>"2"</f>
        <v>2</v>
      </c>
      <c r="BE568" t="s">
        <v>7853</v>
      </c>
      <c r="BF568" t="str">
        <f>"94.29"</f>
        <v>94.29</v>
      </c>
      <c r="BG568" t="str">
        <f>"44.69"</f>
        <v>44.69</v>
      </c>
      <c r="BH568" t="str">
        <f>"31.89"</f>
        <v>31.89</v>
      </c>
      <c r="BI568" t="str">
        <f>"123.46"</f>
        <v>123.46</v>
      </c>
      <c r="BJ568" t="s">
        <v>7853</v>
      </c>
      <c r="BK568" t="str">
        <f>"73.23"</f>
        <v>73.23</v>
      </c>
      <c r="BL568" t="str">
        <f>"39.96"</f>
        <v>39.96</v>
      </c>
      <c r="BM568" t="str">
        <f>"31.89"</f>
        <v>31.89</v>
      </c>
      <c r="BN568" t="str">
        <f>"105.82"</f>
        <v>105.82</v>
      </c>
      <c r="BY568" t="str">
        <f>"131.76"</f>
        <v>131.76</v>
      </c>
      <c r="BZ568" t="str">
        <f>"3.731"</f>
        <v>3.731</v>
      </c>
      <c r="CA568" t="s">
        <v>431</v>
      </c>
      <c r="CN568">
        <v>0</v>
      </c>
      <c r="CO568">
        <v>0</v>
      </c>
      <c r="CP568" t="s">
        <v>437</v>
      </c>
      <c r="CQ568" t="s">
        <v>631</v>
      </c>
      <c r="CU568" t="s">
        <v>11026</v>
      </c>
      <c r="CX568" t="s">
        <v>403</v>
      </c>
      <c r="CY568" t="s">
        <v>400</v>
      </c>
      <c r="CZ568">
        <v>0</v>
      </c>
      <c r="DD568">
        <v>25000</v>
      </c>
      <c r="DE568" t="s">
        <v>570</v>
      </c>
      <c r="DH568">
        <v>0</v>
      </c>
      <c r="DI568">
        <v>3</v>
      </c>
      <c r="DJ568" t="s">
        <v>1188</v>
      </c>
      <c r="DK568" t="s">
        <v>11027</v>
      </c>
      <c r="DL568">
        <v>0</v>
      </c>
      <c r="DM568" t="s">
        <v>410</v>
      </c>
      <c r="EF568" t="s">
        <v>11026</v>
      </c>
      <c r="EG568" t="s">
        <v>11026</v>
      </c>
      <c r="EM568" t="s">
        <v>402</v>
      </c>
      <c r="ER568">
        <v>0</v>
      </c>
      <c r="ES568">
        <v>0</v>
      </c>
      <c r="EU568">
        <v>0</v>
      </c>
      <c r="GP568" t="s">
        <v>1191</v>
      </c>
      <c r="GQ568" t="s">
        <v>3767</v>
      </c>
    </row>
    <row r="569" spans="1:217" x14ac:dyDescent="0.25">
      <c r="A569" t="s">
        <v>11028</v>
      </c>
      <c r="B569" t="str">
        <f>"801542250355"</f>
        <v>801542250355</v>
      </c>
      <c r="C569" t="s">
        <v>11029</v>
      </c>
      <c r="D569" t="s">
        <v>987</v>
      </c>
      <c r="E569" t="s">
        <v>930</v>
      </c>
      <c r="G569" t="str">
        <f>"94"</f>
        <v>94</v>
      </c>
      <c r="H569" t="str">
        <f>"19"</f>
        <v>19</v>
      </c>
      <c r="I569" t="str">
        <f>"33"</f>
        <v>33</v>
      </c>
      <c r="J569" t="str">
        <f>"218.25"</f>
        <v>218.25</v>
      </c>
      <c r="K569" t="s">
        <v>11030</v>
      </c>
      <c r="L569" t="s">
        <v>11031</v>
      </c>
      <c r="N569" t="s">
        <v>372</v>
      </c>
      <c r="O569" t="s">
        <v>1970</v>
      </c>
      <c r="T569" t="s">
        <v>373</v>
      </c>
      <c r="U569" t="s">
        <v>373</v>
      </c>
      <c r="V569" t="s">
        <v>11032</v>
      </c>
      <c r="W569" t="s">
        <v>11033</v>
      </c>
      <c r="X569" t="s">
        <v>11034</v>
      </c>
      <c r="Y569" t="s">
        <v>11035</v>
      </c>
      <c r="Z569" t="s">
        <v>11036</v>
      </c>
      <c r="AA569" t="s">
        <v>11037</v>
      </c>
      <c r="AB569" t="s">
        <v>11038</v>
      </c>
      <c r="AC569" t="s">
        <v>11039</v>
      </c>
      <c r="AD569" t="s">
        <v>11040</v>
      </c>
      <c r="AE569" t="s">
        <v>11041</v>
      </c>
      <c r="AF569" t="s">
        <v>11042</v>
      </c>
      <c r="AG569" t="s">
        <v>11043</v>
      </c>
      <c r="AH569" t="s">
        <v>11044</v>
      </c>
      <c r="AI569" t="s">
        <v>11045</v>
      </c>
      <c r="AJ569" t="s">
        <v>11046</v>
      </c>
      <c r="AK569" t="s">
        <v>11047</v>
      </c>
      <c r="BA569" t="str">
        <f>"2999"</f>
        <v>2999</v>
      </c>
      <c r="BB569" t="str">
        <f>"1260"</f>
        <v>1260</v>
      </c>
      <c r="BC569" t="s">
        <v>949</v>
      </c>
      <c r="BD569" t="str">
        <f>"1"</f>
        <v>1</v>
      </c>
      <c r="BE569" t="s">
        <v>389</v>
      </c>
      <c r="BF569" t="str">
        <f>"97"</f>
        <v>97</v>
      </c>
      <c r="BG569" t="str">
        <f>"23.75"</f>
        <v>23.75</v>
      </c>
      <c r="BH569" t="str">
        <f>"37"</f>
        <v>37</v>
      </c>
      <c r="BI569" t="str">
        <f>"253.53"</f>
        <v>253.53</v>
      </c>
      <c r="BY569" t="str">
        <f>"49.33"</f>
        <v>49.33</v>
      </c>
      <c r="BZ569" t="str">
        <f>"1.397"</f>
        <v>1.397</v>
      </c>
      <c r="CA569" t="s">
        <v>390</v>
      </c>
      <c r="CE569" t="s">
        <v>449</v>
      </c>
      <c r="CF569" t="s">
        <v>856</v>
      </c>
      <c r="CG569" t="s">
        <v>980</v>
      </c>
      <c r="CR569" t="s">
        <v>400</v>
      </c>
      <c r="CS569">
        <v>0</v>
      </c>
      <c r="CT569" t="s">
        <v>400</v>
      </c>
      <c r="CV569">
        <v>0</v>
      </c>
      <c r="CX569" t="s">
        <v>667</v>
      </c>
      <c r="CY569" t="s">
        <v>954</v>
      </c>
      <c r="DA569">
        <v>18.14</v>
      </c>
      <c r="DB569">
        <v>40</v>
      </c>
      <c r="DC569">
        <v>2</v>
      </c>
      <c r="DK569" t="s">
        <v>11048</v>
      </c>
      <c r="DM569" t="s">
        <v>669</v>
      </c>
      <c r="DX569" t="s">
        <v>1852</v>
      </c>
      <c r="EM569" t="s">
        <v>402</v>
      </c>
      <c r="EN569">
        <v>2</v>
      </c>
      <c r="EZ569" t="s">
        <v>856</v>
      </c>
      <c r="FA569" t="s">
        <v>956</v>
      </c>
      <c r="FB569" t="s">
        <v>1510</v>
      </c>
      <c r="FC569" t="s">
        <v>510</v>
      </c>
      <c r="FD569" t="s">
        <v>956</v>
      </c>
      <c r="FE569" t="s">
        <v>980</v>
      </c>
      <c r="FF569">
        <v>0</v>
      </c>
      <c r="FG569" t="s">
        <v>402</v>
      </c>
      <c r="FI569">
        <v>4</v>
      </c>
      <c r="FJ569" t="s">
        <v>960</v>
      </c>
      <c r="FK569" t="s">
        <v>1246</v>
      </c>
      <c r="FL569">
        <v>0</v>
      </c>
      <c r="FM569" t="s">
        <v>402</v>
      </c>
      <c r="FO569" t="s">
        <v>984</v>
      </c>
    </row>
    <row r="570" spans="1:217" x14ac:dyDescent="0.25">
      <c r="A570" t="s">
        <v>11049</v>
      </c>
      <c r="B570" t="str">
        <f>"801542017057"</f>
        <v>801542017057</v>
      </c>
      <c r="C570" t="s">
        <v>11050</v>
      </c>
      <c r="D570" t="s">
        <v>583</v>
      </c>
      <c r="E570" t="s">
        <v>1166</v>
      </c>
      <c r="F570" t="s">
        <v>3731</v>
      </c>
      <c r="G570" t="str">
        <f t="shared" ref="G570:H575" si="124">"105.5"</f>
        <v>105.5</v>
      </c>
      <c r="H570" t="str">
        <f t="shared" si="124"/>
        <v>105.5</v>
      </c>
      <c r="I570" t="str">
        <f t="shared" ref="I570:I575" si="125">"26.5"</f>
        <v>26.5</v>
      </c>
      <c r="J570" t="str">
        <f t="shared" ref="J570:J575" si="126">"249.13"</f>
        <v>249.13</v>
      </c>
      <c r="K570" t="s">
        <v>1744</v>
      </c>
      <c r="N570" t="s">
        <v>371</v>
      </c>
      <c r="T570" t="s">
        <v>402</v>
      </c>
      <c r="U570" t="s">
        <v>373</v>
      </c>
      <c r="V570" t="s">
        <v>11051</v>
      </c>
      <c r="W570" t="s">
        <v>11052</v>
      </c>
      <c r="X570" t="s">
        <v>11053</v>
      </c>
      <c r="Y570" t="s">
        <v>11054</v>
      </c>
      <c r="Z570" t="s">
        <v>11055</v>
      </c>
      <c r="AA570" t="s">
        <v>11056</v>
      </c>
      <c r="AB570" t="s">
        <v>11057</v>
      </c>
      <c r="AC570" t="s">
        <v>11058</v>
      </c>
      <c r="BA570" t="str">
        <f>"4599"</f>
        <v>4599</v>
      </c>
      <c r="BB570" t="str">
        <f>"1935"</f>
        <v>1935</v>
      </c>
      <c r="BC570" t="s">
        <v>388</v>
      </c>
      <c r="BD570" t="str">
        <f t="shared" ref="BD570:BD575" si="127">"3"</f>
        <v>3</v>
      </c>
      <c r="BE570" t="s">
        <v>389</v>
      </c>
      <c r="BF570" t="str">
        <f t="shared" ref="BF570:BF575" si="128">"72.05"</f>
        <v>72.05</v>
      </c>
      <c r="BG570" t="str">
        <f t="shared" ref="BG570:BG575" si="129">"35.04"</f>
        <v>35.04</v>
      </c>
      <c r="BH570" t="str">
        <f t="shared" ref="BH570:BH575" si="130">"27.17"</f>
        <v>27.17</v>
      </c>
      <c r="BI570" t="str">
        <f t="shared" ref="BI570:BI575" si="131">"116.84"</f>
        <v>116.84</v>
      </c>
      <c r="BJ570" t="s">
        <v>389</v>
      </c>
      <c r="BK570" t="str">
        <f t="shared" ref="BK570:BK575" si="132">"72.05"</f>
        <v>72.05</v>
      </c>
      <c r="BL570" t="str">
        <f t="shared" ref="BL570:BL575" si="133">"35.04"</f>
        <v>35.04</v>
      </c>
      <c r="BM570" t="str">
        <f t="shared" ref="BM570:BM575" si="134">"27.17"</f>
        <v>27.17</v>
      </c>
      <c r="BN570" t="str">
        <f t="shared" ref="BN570:BN575" si="135">"116.84"</f>
        <v>116.84</v>
      </c>
      <c r="BO570" t="s">
        <v>389</v>
      </c>
      <c r="BP570" t="str">
        <f t="shared" ref="BP570:BQ575" si="136">"35.04"</f>
        <v>35.04</v>
      </c>
      <c r="BQ570" t="str">
        <f t="shared" si="136"/>
        <v>35.04</v>
      </c>
      <c r="BR570" t="str">
        <f t="shared" ref="BR570:BR575" si="137">"27.17"</f>
        <v>27.17</v>
      </c>
      <c r="BS570" t="str">
        <f t="shared" ref="BS570:BS575" si="138">"66.14"</f>
        <v>66.14</v>
      </c>
      <c r="BY570" t="str">
        <f t="shared" ref="BY570:BY575" si="139">"98.7"</f>
        <v>98.7</v>
      </c>
      <c r="BZ570" t="str">
        <f t="shared" ref="BZ570:BZ575" si="140">"2.795"</f>
        <v>2.795</v>
      </c>
      <c r="CA570" t="s">
        <v>495</v>
      </c>
      <c r="CP570" t="s">
        <v>437</v>
      </c>
      <c r="CQ570" t="s">
        <v>631</v>
      </c>
      <c r="CX570" t="s">
        <v>403</v>
      </c>
      <c r="CY570" t="s">
        <v>400</v>
      </c>
      <c r="DD570">
        <v>25000</v>
      </c>
      <c r="DE570" t="s">
        <v>439</v>
      </c>
      <c r="DF570" t="s">
        <v>632</v>
      </c>
      <c r="DI570">
        <v>5</v>
      </c>
      <c r="DJ570" t="s">
        <v>3738</v>
      </c>
      <c r="DK570" t="s">
        <v>633</v>
      </c>
      <c r="DM570" t="s">
        <v>3739</v>
      </c>
      <c r="ED570" t="s">
        <v>632</v>
      </c>
      <c r="EG570" t="s">
        <v>641</v>
      </c>
      <c r="ET570" t="s">
        <v>643</v>
      </c>
      <c r="GO570" t="s">
        <v>402</v>
      </c>
      <c r="GP570" t="s">
        <v>11059</v>
      </c>
      <c r="GQ570" t="s">
        <v>3740</v>
      </c>
    </row>
    <row r="571" spans="1:217" x14ac:dyDescent="0.25">
      <c r="A571" t="s">
        <v>11060</v>
      </c>
      <c r="B571" t="str">
        <f>"801542017019"</f>
        <v>801542017019</v>
      </c>
      <c r="C571" t="s">
        <v>11061</v>
      </c>
      <c r="D571" t="s">
        <v>583</v>
      </c>
      <c r="E571" t="s">
        <v>1166</v>
      </c>
      <c r="F571" t="s">
        <v>3731</v>
      </c>
      <c r="G571" t="str">
        <f t="shared" si="124"/>
        <v>105.5</v>
      </c>
      <c r="H571" t="str">
        <f t="shared" si="124"/>
        <v>105.5</v>
      </c>
      <c r="I571" t="str">
        <f t="shared" si="125"/>
        <v>26.5</v>
      </c>
      <c r="J571" t="str">
        <f t="shared" si="126"/>
        <v>249.13</v>
      </c>
      <c r="K571" t="s">
        <v>618</v>
      </c>
      <c r="N571" t="s">
        <v>619</v>
      </c>
      <c r="O571" t="s">
        <v>620</v>
      </c>
      <c r="P571" t="s">
        <v>621</v>
      </c>
      <c r="T571" t="s">
        <v>402</v>
      </c>
      <c r="U571" t="s">
        <v>402</v>
      </c>
      <c r="V571" t="s">
        <v>11062</v>
      </c>
      <c r="W571" t="s">
        <v>11063</v>
      </c>
      <c r="X571" t="s">
        <v>11064</v>
      </c>
      <c r="Y571" t="s">
        <v>11065</v>
      </c>
      <c r="Z571" t="s">
        <v>11066</v>
      </c>
      <c r="AA571" t="s">
        <v>11067</v>
      </c>
      <c r="AB571" t="s">
        <v>11068</v>
      </c>
      <c r="AC571" t="s">
        <v>11069</v>
      </c>
      <c r="AD571" t="s">
        <v>11070</v>
      </c>
      <c r="BA571" t="str">
        <f>"4599"</f>
        <v>4599</v>
      </c>
      <c r="BB571" t="str">
        <f>"1935"</f>
        <v>1935</v>
      </c>
      <c r="BC571" t="s">
        <v>388</v>
      </c>
      <c r="BD571" t="str">
        <f t="shared" si="127"/>
        <v>3</v>
      </c>
      <c r="BE571" t="s">
        <v>389</v>
      </c>
      <c r="BF571" t="str">
        <f t="shared" si="128"/>
        <v>72.05</v>
      </c>
      <c r="BG571" t="str">
        <f t="shared" si="129"/>
        <v>35.04</v>
      </c>
      <c r="BH571" t="str">
        <f t="shared" si="130"/>
        <v>27.17</v>
      </c>
      <c r="BI571" t="str">
        <f t="shared" si="131"/>
        <v>116.84</v>
      </c>
      <c r="BJ571" t="s">
        <v>389</v>
      </c>
      <c r="BK571" t="str">
        <f t="shared" si="132"/>
        <v>72.05</v>
      </c>
      <c r="BL571" t="str">
        <f t="shared" si="133"/>
        <v>35.04</v>
      </c>
      <c r="BM571" t="str">
        <f t="shared" si="134"/>
        <v>27.17</v>
      </c>
      <c r="BN571" t="str">
        <f t="shared" si="135"/>
        <v>116.84</v>
      </c>
      <c r="BO571" t="s">
        <v>389</v>
      </c>
      <c r="BP571" t="str">
        <f t="shared" si="136"/>
        <v>35.04</v>
      </c>
      <c r="BQ571" t="str">
        <f t="shared" si="136"/>
        <v>35.04</v>
      </c>
      <c r="BR571" t="str">
        <f t="shared" si="137"/>
        <v>27.17</v>
      </c>
      <c r="BS571" t="str">
        <f t="shared" si="138"/>
        <v>66.14</v>
      </c>
      <c r="BY571" t="str">
        <f t="shared" si="139"/>
        <v>98.7</v>
      </c>
      <c r="BZ571" t="str">
        <f t="shared" si="140"/>
        <v>2.795</v>
      </c>
      <c r="CA571" t="s">
        <v>495</v>
      </c>
      <c r="CP571" t="s">
        <v>437</v>
      </c>
      <c r="CQ571" t="s">
        <v>631</v>
      </c>
      <c r="CX571" t="s">
        <v>403</v>
      </c>
      <c r="CY571" t="s">
        <v>400</v>
      </c>
      <c r="DD571">
        <v>25000</v>
      </c>
      <c r="DE571" t="s">
        <v>439</v>
      </c>
      <c r="DF571" t="s">
        <v>632</v>
      </c>
      <c r="DI571">
        <v>5</v>
      </c>
      <c r="DJ571" t="s">
        <v>3738</v>
      </c>
      <c r="DK571" t="s">
        <v>633</v>
      </c>
      <c r="DM571" t="s">
        <v>3739</v>
      </c>
      <c r="ED571" t="s">
        <v>632</v>
      </c>
      <c r="EG571" t="s">
        <v>641</v>
      </c>
      <c r="ET571" t="s">
        <v>643</v>
      </c>
      <c r="GO571" t="s">
        <v>402</v>
      </c>
      <c r="GP571" t="s">
        <v>11059</v>
      </c>
      <c r="GQ571" t="s">
        <v>3740</v>
      </c>
    </row>
    <row r="572" spans="1:217" x14ac:dyDescent="0.25">
      <c r="A572" t="s">
        <v>11071</v>
      </c>
      <c r="B572" t="str">
        <f>"801542051518"</f>
        <v>801542051518</v>
      </c>
      <c r="C572" t="s">
        <v>11072</v>
      </c>
      <c r="D572" t="s">
        <v>583</v>
      </c>
      <c r="E572" t="s">
        <v>1166</v>
      </c>
      <c r="F572" t="s">
        <v>3731</v>
      </c>
      <c r="G572" t="str">
        <f t="shared" si="124"/>
        <v>105.5</v>
      </c>
      <c r="H572" t="str">
        <f t="shared" si="124"/>
        <v>105.5</v>
      </c>
      <c r="I572" t="str">
        <f t="shared" si="125"/>
        <v>26.5</v>
      </c>
      <c r="J572" t="str">
        <f t="shared" si="126"/>
        <v>249.13</v>
      </c>
      <c r="K572" t="s">
        <v>1768</v>
      </c>
      <c r="N572" t="s">
        <v>416</v>
      </c>
      <c r="T572" t="s">
        <v>402</v>
      </c>
      <c r="U572" t="s">
        <v>373</v>
      </c>
      <c r="V572" t="s">
        <v>11073</v>
      </c>
      <c r="W572" t="s">
        <v>11074</v>
      </c>
      <c r="X572" t="s">
        <v>11075</v>
      </c>
      <c r="Y572" t="s">
        <v>11076</v>
      </c>
      <c r="Z572" t="s">
        <v>11077</v>
      </c>
      <c r="AA572" t="s">
        <v>11078</v>
      </c>
      <c r="AB572" t="s">
        <v>11079</v>
      </c>
      <c r="AC572" t="s">
        <v>11080</v>
      </c>
      <c r="BA572" t="str">
        <f>"8999"</f>
        <v>8999</v>
      </c>
      <c r="BB572" t="str">
        <f>"3780"</f>
        <v>3780</v>
      </c>
      <c r="BC572" t="s">
        <v>388</v>
      </c>
      <c r="BD572" t="str">
        <f t="shared" si="127"/>
        <v>3</v>
      </c>
      <c r="BE572" t="s">
        <v>389</v>
      </c>
      <c r="BF572" t="str">
        <f t="shared" si="128"/>
        <v>72.05</v>
      </c>
      <c r="BG572" t="str">
        <f t="shared" si="129"/>
        <v>35.04</v>
      </c>
      <c r="BH572" t="str">
        <f t="shared" si="130"/>
        <v>27.17</v>
      </c>
      <c r="BI572" t="str">
        <f t="shared" si="131"/>
        <v>116.84</v>
      </c>
      <c r="BJ572" t="s">
        <v>389</v>
      </c>
      <c r="BK572" t="str">
        <f t="shared" si="132"/>
        <v>72.05</v>
      </c>
      <c r="BL572" t="str">
        <f t="shared" si="133"/>
        <v>35.04</v>
      </c>
      <c r="BM572" t="str">
        <f t="shared" si="134"/>
        <v>27.17</v>
      </c>
      <c r="BN572" t="str">
        <f t="shared" si="135"/>
        <v>116.84</v>
      </c>
      <c r="BO572" t="s">
        <v>389</v>
      </c>
      <c r="BP572" t="str">
        <f t="shared" si="136"/>
        <v>35.04</v>
      </c>
      <c r="BQ572" t="str">
        <f t="shared" si="136"/>
        <v>35.04</v>
      </c>
      <c r="BR572" t="str">
        <f t="shared" si="137"/>
        <v>27.17</v>
      </c>
      <c r="BS572" t="str">
        <f t="shared" si="138"/>
        <v>66.14</v>
      </c>
      <c r="BY572" t="str">
        <f t="shared" si="139"/>
        <v>98.7</v>
      </c>
      <c r="BZ572" t="str">
        <f t="shared" si="140"/>
        <v>2.795</v>
      </c>
      <c r="CA572" t="s">
        <v>431</v>
      </c>
      <c r="CP572" t="s">
        <v>437</v>
      </c>
      <c r="CQ572" t="s">
        <v>438</v>
      </c>
      <c r="CX572" t="s">
        <v>403</v>
      </c>
      <c r="CY572" t="s">
        <v>400</v>
      </c>
      <c r="DD572">
        <v>0</v>
      </c>
      <c r="DE572" t="s">
        <v>439</v>
      </c>
      <c r="DF572" t="s">
        <v>632</v>
      </c>
      <c r="DI572">
        <v>5</v>
      </c>
      <c r="DJ572" t="s">
        <v>3738</v>
      </c>
      <c r="DK572" t="s">
        <v>633</v>
      </c>
      <c r="DM572" t="s">
        <v>3739</v>
      </c>
      <c r="ED572" t="s">
        <v>632</v>
      </c>
      <c r="EG572" t="s">
        <v>641</v>
      </c>
      <c r="ET572" t="s">
        <v>643</v>
      </c>
      <c r="GO572" t="s">
        <v>402</v>
      </c>
      <c r="GP572" t="s">
        <v>11059</v>
      </c>
      <c r="GQ572" t="s">
        <v>3740</v>
      </c>
    </row>
    <row r="573" spans="1:217" x14ac:dyDescent="0.25">
      <c r="A573" t="s">
        <v>11081</v>
      </c>
      <c r="B573" t="str">
        <f>"801542051532"</f>
        <v>801542051532</v>
      </c>
      <c r="C573" t="s">
        <v>11082</v>
      </c>
      <c r="D573" t="s">
        <v>583</v>
      </c>
      <c r="E573" t="s">
        <v>1166</v>
      </c>
      <c r="F573" t="s">
        <v>3731</v>
      </c>
      <c r="G573" t="str">
        <f t="shared" si="124"/>
        <v>105.5</v>
      </c>
      <c r="H573" t="str">
        <f t="shared" si="124"/>
        <v>105.5</v>
      </c>
      <c r="I573" t="str">
        <f t="shared" si="125"/>
        <v>26.5</v>
      </c>
      <c r="J573" t="str">
        <f t="shared" si="126"/>
        <v>249.13</v>
      </c>
      <c r="K573" t="s">
        <v>3083</v>
      </c>
      <c r="N573" t="s">
        <v>1170</v>
      </c>
      <c r="O573" t="s">
        <v>3084</v>
      </c>
      <c r="T573" t="s">
        <v>402</v>
      </c>
      <c r="U573" t="s">
        <v>373</v>
      </c>
      <c r="V573" t="s">
        <v>11083</v>
      </c>
      <c r="W573" t="s">
        <v>11084</v>
      </c>
      <c r="X573" t="s">
        <v>11085</v>
      </c>
      <c r="Y573" t="s">
        <v>11086</v>
      </c>
      <c r="Z573" t="s">
        <v>11087</v>
      </c>
      <c r="AA573" t="s">
        <v>11088</v>
      </c>
      <c r="AB573" t="s">
        <v>11089</v>
      </c>
      <c r="AC573" t="s">
        <v>11090</v>
      </c>
      <c r="AD573" t="s">
        <v>11091</v>
      </c>
      <c r="AE573" t="s">
        <v>11092</v>
      </c>
      <c r="AF573" t="s">
        <v>11093</v>
      </c>
      <c r="AG573" t="s">
        <v>11094</v>
      </c>
      <c r="AH573" t="s">
        <v>11095</v>
      </c>
      <c r="BA573" t="str">
        <f>"4799"</f>
        <v>4799</v>
      </c>
      <c r="BB573" t="str">
        <f>"2020"</f>
        <v>2020</v>
      </c>
      <c r="BC573" t="s">
        <v>388</v>
      </c>
      <c r="BD573" t="str">
        <f t="shared" si="127"/>
        <v>3</v>
      </c>
      <c r="BE573" t="s">
        <v>389</v>
      </c>
      <c r="BF573" t="str">
        <f t="shared" si="128"/>
        <v>72.05</v>
      </c>
      <c r="BG573" t="str">
        <f t="shared" si="129"/>
        <v>35.04</v>
      </c>
      <c r="BH573" t="str">
        <f t="shared" si="130"/>
        <v>27.17</v>
      </c>
      <c r="BI573" t="str">
        <f t="shared" si="131"/>
        <v>116.84</v>
      </c>
      <c r="BJ573" t="s">
        <v>389</v>
      </c>
      <c r="BK573" t="str">
        <f t="shared" si="132"/>
        <v>72.05</v>
      </c>
      <c r="BL573" t="str">
        <f t="shared" si="133"/>
        <v>35.04</v>
      </c>
      <c r="BM573" t="str">
        <f t="shared" si="134"/>
        <v>27.17</v>
      </c>
      <c r="BN573" t="str">
        <f t="shared" si="135"/>
        <v>116.84</v>
      </c>
      <c r="BO573" t="s">
        <v>389</v>
      </c>
      <c r="BP573" t="str">
        <f t="shared" si="136"/>
        <v>35.04</v>
      </c>
      <c r="BQ573" t="str">
        <f t="shared" si="136"/>
        <v>35.04</v>
      </c>
      <c r="BR573" t="str">
        <f t="shared" si="137"/>
        <v>27.17</v>
      </c>
      <c r="BS573" t="str">
        <f t="shared" si="138"/>
        <v>66.14</v>
      </c>
      <c r="BY573" t="str">
        <f t="shared" si="139"/>
        <v>98.7</v>
      </c>
      <c r="BZ573" t="str">
        <f t="shared" si="140"/>
        <v>2.795</v>
      </c>
      <c r="CA573" t="s">
        <v>431</v>
      </c>
      <c r="CP573" t="s">
        <v>437</v>
      </c>
      <c r="CQ573" t="s">
        <v>399</v>
      </c>
      <c r="CX573" t="s">
        <v>403</v>
      </c>
      <c r="CY573" t="s">
        <v>400</v>
      </c>
      <c r="DD573">
        <v>100000</v>
      </c>
      <c r="DE573" t="s">
        <v>439</v>
      </c>
      <c r="DF573" t="s">
        <v>632</v>
      </c>
      <c r="DI573">
        <v>5</v>
      </c>
      <c r="DJ573" t="s">
        <v>3738</v>
      </c>
      <c r="DK573" t="s">
        <v>633</v>
      </c>
      <c r="DM573" t="s">
        <v>3739</v>
      </c>
      <c r="ED573" t="s">
        <v>632</v>
      </c>
      <c r="EG573" t="s">
        <v>641</v>
      </c>
      <c r="ET573" t="s">
        <v>643</v>
      </c>
      <c r="GO573" t="s">
        <v>402</v>
      </c>
      <c r="GP573" t="s">
        <v>11059</v>
      </c>
      <c r="GQ573" t="s">
        <v>3740</v>
      </c>
    </row>
    <row r="574" spans="1:217" x14ac:dyDescent="0.25">
      <c r="A574" t="s">
        <v>11096</v>
      </c>
      <c r="B574" t="str">
        <f>"801542051525"</f>
        <v>801542051525</v>
      </c>
      <c r="C574" t="s">
        <v>11097</v>
      </c>
      <c r="D574" t="s">
        <v>583</v>
      </c>
      <c r="E574" t="s">
        <v>1166</v>
      </c>
      <c r="F574" t="s">
        <v>3731</v>
      </c>
      <c r="G574" t="str">
        <f t="shared" si="124"/>
        <v>105.5</v>
      </c>
      <c r="H574" t="str">
        <f t="shared" si="124"/>
        <v>105.5</v>
      </c>
      <c r="I574" t="str">
        <f t="shared" si="125"/>
        <v>26.5</v>
      </c>
      <c r="J574" t="str">
        <f t="shared" si="126"/>
        <v>249.13</v>
      </c>
      <c r="K574" t="s">
        <v>584</v>
      </c>
      <c r="N574" t="s">
        <v>416</v>
      </c>
      <c r="T574" t="s">
        <v>373</v>
      </c>
      <c r="U574" t="s">
        <v>373</v>
      </c>
      <c r="V574" t="s">
        <v>11098</v>
      </c>
      <c r="W574" t="s">
        <v>11099</v>
      </c>
      <c r="X574" t="s">
        <v>11100</v>
      </c>
      <c r="Y574" t="s">
        <v>11101</v>
      </c>
      <c r="Z574" t="s">
        <v>11102</v>
      </c>
      <c r="AA574" t="s">
        <v>11103</v>
      </c>
      <c r="AB574" t="s">
        <v>11104</v>
      </c>
      <c r="AC574" t="s">
        <v>11105</v>
      </c>
      <c r="BA574" t="str">
        <f>"8999"</f>
        <v>8999</v>
      </c>
      <c r="BB574" t="str">
        <f>"3780"</f>
        <v>3780</v>
      </c>
      <c r="BC574" t="s">
        <v>388</v>
      </c>
      <c r="BD574" t="str">
        <f t="shared" si="127"/>
        <v>3</v>
      </c>
      <c r="BE574" t="s">
        <v>389</v>
      </c>
      <c r="BF574" t="str">
        <f t="shared" si="128"/>
        <v>72.05</v>
      </c>
      <c r="BG574" t="str">
        <f t="shared" si="129"/>
        <v>35.04</v>
      </c>
      <c r="BH574" t="str">
        <f t="shared" si="130"/>
        <v>27.17</v>
      </c>
      <c r="BI574" t="str">
        <f t="shared" si="131"/>
        <v>116.84</v>
      </c>
      <c r="BJ574" t="s">
        <v>389</v>
      </c>
      <c r="BK574" t="str">
        <f t="shared" si="132"/>
        <v>72.05</v>
      </c>
      <c r="BL574" t="str">
        <f t="shared" si="133"/>
        <v>35.04</v>
      </c>
      <c r="BM574" t="str">
        <f t="shared" si="134"/>
        <v>27.17</v>
      </c>
      <c r="BN574" t="str">
        <f t="shared" si="135"/>
        <v>116.84</v>
      </c>
      <c r="BO574" t="s">
        <v>389</v>
      </c>
      <c r="BP574" t="str">
        <f t="shared" si="136"/>
        <v>35.04</v>
      </c>
      <c r="BQ574" t="str">
        <f t="shared" si="136"/>
        <v>35.04</v>
      </c>
      <c r="BR574" t="str">
        <f t="shared" si="137"/>
        <v>27.17</v>
      </c>
      <c r="BS574" t="str">
        <f t="shared" si="138"/>
        <v>66.14</v>
      </c>
      <c r="BY574" t="str">
        <f t="shared" si="139"/>
        <v>98.7</v>
      </c>
      <c r="BZ574" t="str">
        <f t="shared" si="140"/>
        <v>2.795</v>
      </c>
      <c r="CA574" t="s">
        <v>495</v>
      </c>
      <c r="CP574" t="s">
        <v>437</v>
      </c>
      <c r="CQ574" t="s">
        <v>438</v>
      </c>
      <c r="CX574" t="s">
        <v>403</v>
      </c>
      <c r="CY574" t="s">
        <v>400</v>
      </c>
      <c r="DD574">
        <v>0</v>
      </c>
      <c r="DE574" t="s">
        <v>439</v>
      </c>
      <c r="DF574" t="s">
        <v>632</v>
      </c>
      <c r="DI574">
        <v>5</v>
      </c>
      <c r="DJ574" t="s">
        <v>3738</v>
      </c>
      <c r="DK574" t="s">
        <v>633</v>
      </c>
      <c r="DM574" t="s">
        <v>3739</v>
      </c>
      <c r="ED574" t="s">
        <v>632</v>
      </c>
      <c r="EG574" t="s">
        <v>641</v>
      </c>
      <c r="ET574" t="s">
        <v>643</v>
      </c>
      <c r="GO574" t="s">
        <v>402</v>
      </c>
      <c r="GP574" t="s">
        <v>11059</v>
      </c>
      <c r="GQ574" t="s">
        <v>3740</v>
      </c>
    </row>
    <row r="575" spans="1:217" x14ac:dyDescent="0.25">
      <c r="A575" t="s">
        <v>11106</v>
      </c>
      <c r="B575" t="str">
        <f>"198394086578"</f>
        <v>198394086578</v>
      </c>
      <c r="C575" t="s">
        <v>11107</v>
      </c>
      <c r="D575" t="s">
        <v>583</v>
      </c>
      <c r="E575" t="s">
        <v>1166</v>
      </c>
      <c r="F575" t="s">
        <v>3731</v>
      </c>
      <c r="G575" t="str">
        <f t="shared" si="124"/>
        <v>105.5</v>
      </c>
      <c r="H575" t="str">
        <f t="shared" si="124"/>
        <v>105.5</v>
      </c>
      <c r="I575" t="str">
        <f t="shared" si="125"/>
        <v>26.5</v>
      </c>
      <c r="J575" t="str">
        <f t="shared" si="126"/>
        <v>249.13</v>
      </c>
      <c r="K575" t="s">
        <v>911</v>
      </c>
      <c r="N575" t="s">
        <v>912</v>
      </c>
      <c r="O575" t="s">
        <v>913</v>
      </c>
      <c r="T575" t="s">
        <v>402</v>
      </c>
      <c r="U575" t="s">
        <v>402</v>
      </c>
      <c r="V575" t="s">
        <v>1823</v>
      </c>
      <c r="W575" t="s">
        <v>11108</v>
      </c>
      <c r="X575" t="s">
        <v>11109</v>
      </c>
      <c r="Y575" t="s">
        <v>11110</v>
      </c>
      <c r="Z575" t="s">
        <v>11111</v>
      </c>
      <c r="AA575" t="s">
        <v>11112</v>
      </c>
      <c r="AB575" t="s">
        <v>11113</v>
      </c>
      <c r="BA575" t="str">
        <f>"4699"</f>
        <v>4699</v>
      </c>
      <c r="BB575" t="str">
        <f>"1975"</f>
        <v>1975</v>
      </c>
      <c r="BC575" t="s">
        <v>388</v>
      </c>
      <c r="BD575" t="str">
        <f t="shared" si="127"/>
        <v>3</v>
      </c>
      <c r="BE575" t="s">
        <v>389</v>
      </c>
      <c r="BF575" t="str">
        <f t="shared" si="128"/>
        <v>72.05</v>
      </c>
      <c r="BG575" t="str">
        <f t="shared" si="129"/>
        <v>35.04</v>
      </c>
      <c r="BH575" t="str">
        <f t="shared" si="130"/>
        <v>27.17</v>
      </c>
      <c r="BI575" t="str">
        <f t="shared" si="131"/>
        <v>116.84</v>
      </c>
      <c r="BJ575" t="s">
        <v>389</v>
      </c>
      <c r="BK575" t="str">
        <f t="shared" si="132"/>
        <v>72.05</v>
      </c>
      <c r="BL575" t="str">
        <f t="shared" si="133"/>
        <v>35.04</v>
      </c>
      <c r="BM575" t="str">
        <f t="shared" si="134"/>
        <v>27.17</v>
      </c>
      <c r="BN575" t="str">
        <f t="shared" si="135"/>
        <v>116.84</v>
      </c>
      <c r="BO575" t="s">
        <v>389</v>
      </c>
      <c r="BP575" t="str">
        <f t="shared" si="136"/>
        <v>35.04</v>
      </c>
      <c r="BQ575" t="str">
        <f t="shared" si="136"/>
        <v>35.04</v>
      </c>
      <c r="BR575" t="str">
        <f t="shared" si="137"/>
        <v>27.17</v>
      </c>
      <c r="BS575" t="str">
        <f t="shared" si="138"/>
        <v>66.14</v>
      </c>
      <c r="BY575" t="str">
        <f t="shared" si="139"/>
        <v>98.7</v>
      </c>
      <c r="BZ575" t="str">
        <f t="shared" si="140"/>
        <v>2.795</v>
      </c>
      <c r="CA575" t="s">
        <v>431</v>
      </c>
      <c r="CP575" t="s">
        <v>437</v>
      </c>
      <c r="CQ575" t="s">
        <v>399</v>
      </c>
      <c r="CX575" t="s">
        <v>403</v>
      </c>
      <c r="CY575" t="s">
        <v>400</v>
      </c>
      <c r="DD575">
        <v>50000</v>
      </c>
      <c r="DE575" t="s">
        <v>439</v>
      </c>
      <c r="DF575" t="s">
        <v>632</v>
      </c>
      <c r="DI575">
        <v>5</v>
      </c>
      <c r="DJ575" t="s">
        <v>3738</v>
      </c>
      <c r="DK575" t="s">
        <v>633</v>
      </c>
      <c r="DM575" t="s">
        <v>3739</v>
      </c>
      <c r="ED575" t="s">
        <v>632</v>
      </c>
      <c r="EG575" t="s">
        <v>641</v>
      </c>
      <c r="ET575" t="s">
        <v>643</v>
      </c>
      <c r="GO575" t="s">
        <v>402</v>
      </c>
      <c r="GP575" t="s">
        <v>11059</v>
      </c>
      <c r="GQ575" t="s">
        <v>3740</v>
      </c>
    </row>
    <row r="576" spans="1:217" x14ac:dyDescent="0.25">
      <c r="A576" t="s">
        <v>11114</v>
      </c>
      <c r="B576" t="str">
        <f>"801542090760"</f>
        <v>801542090760</v>
      </c>
      <c r="C576" t="s">
        <v>11115</v>
      </c>
      <c r="D576" t="s">
        <v>7204</v>
      </c>
      <c r="E576" t="s">
        <v>930</v>
      </c>
      <c r="G576" t="str">
        <f>"82"</f>
        <v>82</v>
      </c>
      <c r="H576" t="str">
        <f>"18"</f>
        <v>18</v>
      </c>
      <c r="I576" t="str">
        <f>"30"</f>
        <v>30</v>
      </c>
      <c r="J576" t="str">
        <f>"200.18"</f>
        <v>200.18</v>
      </c>
      <c r="K576" t="s">
        <v>10100</v>
      </c>
      <c r="L576" t="s">
        <v>10098</v>
      </c>
      <c r="N576" t="s">
        <v>6143</v>
      </c>
      <c r="O576" t="s">
        <v>7902</v>
      </c>
      <c r="P576" t="s">
        <v>6144</v>
      </c>
      <c r="T576" t="s">
        <v>373</v>
      </c>
      <c r="U576" t="s">
        <v>373</v>
      </c>
      <c r="V576" t="s">
        <v>10101</v>
      </c>
      <c r="W576" t="s">
        <v>11116</v>
      </c>
      <c r="X576" t="s">
        <v>11117</v>
      </c>
      <c r="Y576" t="s">
        <v>11118</v>
      </c>
      <c r="Z576" t="s">
        <v>11119</v>
      </c>
      <c r="AA576" t="s">
        <v>11120</v>
      </c>
      <c r="AB576" t="s">
        <v>11121</v>
      </c>
      <c r="AC576" t="s">
        <v>11122</v>
      </c>
      <c r="AD576" t="s">
        <v>11123</v>
      </c>
      <c r="AE576" t="s">
        <v>11124</v>
      </c>
      <c r="AF576" t="s">
        <v>11125</v>
      </c>
      <c r="AG576" t="s">
        <v>11126</v>
      </c>
      <c r="AH576" t="s">
        <v>11127</v>
      </c>
      <c r="AI576" t="s">
        <v>11128</v>
      </c>
      <c r="AJ576" t="s">
        <v>11129</v>
      </c>
      <c r="AK576" t="s">
        <v>11130</v>
      </c>
      <c r="AL576" t="s">
        <v>11131</v>
      </c>
      <c r="BA576" t="str">
        <f>"3299"</f>
        <v>3299</v>
      </c>
      <c r="BB576" t="str">
        <f>"1390"</f>
        <v>1390</v>
      </c>
      <c r="BC576" t="s">
        <v>6158</v>
      </c>
      <c r="BD576" t="str">
        <f t="shared" ref="BD576:BD584" si="141">"1"</f>
        <v>1</v>
      </c>
      <c r="BE576" t="s">
        <v>389</v>
      </c>
      <c r="BF576" t="str">
        <f>"86.22"</f>
        <v>86.22</v>
      </c>
      <c r="BG576" t="str">
        <f>"22.64"</f>
        <v>22.64</v>
      </c>
      <c r="BH576" t="str">
        <f>"35.43"</f>
        <v>35.43</v>
      </c>
      <c r="BI576" t="str">
        <f>"246.92"</f>
        <v>246.92</v>
      </c>
      <c r="BY576" t="str">
        <f>"40.01"</f>
        <v>40.01</v>
      </c>
      <c r="BZ576" t="str">
        <f>"1.133"</f>
        <v>1.133</v>
      </c>
      <c r="CA576" t="s">
        <v>495</v>
      </c>
      <c r="CE576" t="s">
        <v>474</v>
      </c>
      <c r="CF576" t="s">
        <v>577</v>
      </c>
      <c r="CG576" t="s">
        <v>10580</v>
      </c>
      <c r="CR576" t="s">
        <v>400</v>
      </c>
      <c r="CS576">
        <v>0</v>
      </c>
      <c r="CT576" t="s">
        <v>400</v>
      </c>
      <c r="CV576">
        <v>0</v>
      </c>
      <c r="CX576" t="s">
        <v>1980</v>
      </c>
      <c r="CY576" t="s">
        <v>954</v>
      </c>
      <c r="DA576">
        <v>18.14</v>
      </c>
      <c r="DB576">
        <v>40</v>
      </c>
      <c r="DC576">
        <v>3</v>
      </c>
      <c r="DK576" t="s">
        <v>10116</v>
      </c>
      <c r="DM576" t="s">
        <v>669</v>
      </c>
      <c r="EM576" t="s">
        <v>402</v>
      </c>
      <c r="EN576">
        <v>3</v>
      </c>
      <c r="EZ576" t="s">
        <v>796</v>
      </c>
      <c r="FA576" t="s">
        <v>956</v>
      </c>
      <c r="FB576" t="s">
        <v>4395</v>
      </c>
      <c r="FC576" t="s">
        <v>1055</v>
      </c>
      <c r="FD576" t="s">
        <v>956</v>
      </c>
      <c r="FE576" t="s">
        <v>11132</v>
      </c>
      <c r="FF576">
        <v>0</v>
      </c>
      <c r="FG576" t="s">
        <v>402</v>
      </c>
      <c r="FH576" t="s">
        <v>959</v>
      </c>
      <c r="FI576">
        <v>6</v>
      </c>
      <c r="FJ576" t="s">
        <v>960</v>
      </c>
      <c r="FK576" t="s">
        <v>11133</v>
      </c>
      <c r="FL576">
        <v>0</v>
      </c>
      <c r="FM576" t="s">
        <v>402</v>
      </c>
      <c r="FO576" t="s">
        <v>984</v>
      </c>
      <c r="GX576" t="s">
        <v>475</v>
      </c>
      <c r="HI576" t="s">
        <v>402</v>
      </c>
    </row>
    <row r="577" spans="1:283" x14ac:dyDescent="0.25">
      <c r="A577" t="s">
        <v>11134</v>
      </c>
      <c r="B577" t="str">
        <f>"801542062590"</f>
        <v>801542062590</v>
      </c>
      <c r="C577" t="s">
        <v>11135</v>
      </c>
      <c r="D577" t="s">
        <v>9040</v>
      </c>
      <c r="E577" t="s">
        <v>1021</v>
      </c>
      <c r="G577" t="str">
        <f>"77.75"</f>
        <v>77.75</v>
      </c>
      <c r="H577" t="str">
        <f>"18"</f>
        <v>18</v>
      </c>
      <c r="I577" t="str">
        <f>"27"</f>
        <v>27</v>
      </c>
      <c r="J577" t="str">
        <f>"187.39"</f>
        <v>187.39</v>
      </c>
      <c r="K577" t="s">
        <v>9041</v>
      </c>
      <c r="N577" t="s">
        <v>9042</v>
      </c>
      <c r="T577" t="s">
        <v>373</v>
      </c>
      <c r="U577" t="s">
        <v>373</v>
      </c>
      <c r="V577" t="s">
        <v>11136</v>
      </c>
      <c r="W577" t="s">
        <v>11137</v>
      </c>
      <c r="X577" t="s">
        <v>11138</v>
      </c>
      <c r="Y577" t="s">
        <v>11139</v>
      </c>
      <c r="Z577" t="s">
        <v>11140</v>
      </c>
      <c r="AA577" t="s">
        <v>11141</v>
      </c>
      <c r="AB577" t="s">
        <v>11142</v>
      </c>
      <c r="AC577" t="s">
        <v>11143</v>
      </c>
      <c r="AD577" t="s">
        <v>11144</v>
      </c>
      <c r="AE577" t="s">
        <v>11145</v>
      </c>
      <c r="AF577" t="s">
        <v>11146</v>
      </c>
      <c r="AG577" t="s">
        <v>11147</v>
      </c>
      <c r="AH577" t="s">
        <v>11148</v>
      </c>
      <c r="AI577" t="s">
        <v>11149</v>
      </c>
      <c r="AJ577" t="s">
        <v>11150</v>
      </c>
      <c r="BA577" t="str">
        <f>"1849"</f>
        <v>1849</v>
      </c>
      <c r="BB577" t="str">
        <f>"780"</f>
        <v>780</v>
      </c>
      <c r="BC577" t="s">
        <v>665</v>
      </c>
      <c r="BD577" t="str">
        <f t="shared" si="141"/>
        <v>1</v>
      </c>
      <c r="BE577" t="s">
        <v>10090</v>
      </c>
      <c r="BF577" t="str">
        <f>"81.5"</f>
        <v>81.5</v>
      </c>
      <c r="BG577" t="str">
        <f>"25.2"</f>
        <v>25.2</v>
      </c>
      <c r="BH577" t="str">
        <f>"22.24"</f>
        <v>22.24</v>
      </c>
      <c r="BI577" t="str">
        <f>"224.87"</f>
        <v>224.87</v>
      </c>
      <c r="BY577" t="str">
        <f>"26.45"</f>
        <v>26.45</v>
      </c>
      <c r="BZ577" t="str">
        <f>"0.749"</f>
        <v>0.749</v>
      </c>
      <c r="CA577" t="s">
        <v>390</v>
      </c>
      <c r="CE577" t="s">
        <v>4303</v>
      </c>
      <c r="CF577" t="s">
        <v>9111</v>
      </c>
      <c r="CG577" t="s">
        <v>11151</v>
      </c>
      <c r="CR577" t="s">
        <v>1007</v>
      </c>
      <c r="CS577">
        <v>4</v>
      </c>
      <c r="CT577" t="s">
        <v>400</v>
      </c>
      <c r="CV577">
        <v>0</v>
      </c>
      <c r="CX577" t="s">
        <v>1018</v>
      </c>
      <c r="CY577" t="s">
        <v>954</v>
      </c>
      <c r="DA577">
        <v>18.14</v>
      </c>
      <c r="DB577">
        <v>40</v>
      </c>
      <c r="DC577">
        <v>1</v>
      </c>
      <c r="DK577" t="s">
        <v>9062</v>
      </c>
      <c r="DX577" t="s">
        <v>1341</v>
      </c>
      <c r="EM577" t="s">
        <v>402</v>
      </c>
      <c r="EN577">
        <v>1</v>
      </c>
      <c r="EZ577" t="s">
        <v>6910</v>
      </c>
      <c r="FA577" t="s">
        <v>4614</v>
      </c>
      <c r="FB577" t="s">
        <v>2286</v>
      </c>
      <c r="FC577" t="s">
        <v>4303</v>
      </c>
      <c r="FD577" t="s">
        <v>4614</v>
      </c>
      <c r="FE577" t="s">
        <v>11151</v>
      </c>
      <c r="FG577" t="s">
        <v>402</v>
      </c>
      <c r="FH577" t="s">
        <v>959</v>
      </c>
      <c r="FI577">
        <v>2</v>
      </c>
      <c r="FJ577" t="s">
        <v>960</v>
      </c>
      <c r="FK577" t="s">
        <v>1246</v>
      </c>
      <c r="FM577" t="s">
        <v>402</v>
      </c>
      <c r="FO577" t="s">
        <v>984</v>
      </c>
      <c r="FR577" t="s">
        <v>3983</v>
      </c>
      <c r="FT577" t="s">
        <v>11152</v>
      </c>
      <c r="FV577" t="s">
        <v>11153</v>
      </c>
      <c r="FX577" t="s">
        <v>1017</v>
      </c>
      <c r="FZ577" t="s">
        <v>1018</v>
      </c>
      <c r="GE577">
        <v>0</v>
      </c>
      <c r="GX577" t="s">
        <v>1357</v>
      </c>
      <c r="HI577" t="s">
        <v>402</v>
      </c>
    </row>
    <row r="578" spans="1:283" x14ac:dyDescent="0.25">
      <c r="A578" t="s">
        <v>11154</v>
      </c>
      <c r="B578" t="str">
        <f>"801542049850"</f>
        <v>801542049850</v>
      </c>
      <c r="C578" t="s">
        <v>11155</v>
      </c>
      <c r="D578" t="s">
        <v>5513</v>
      </c>
      <c r="E578" t="s">
        <v>2388</v>
      </c>
      <c r="G578" t="str">
        <f>"65.75"</f>
        <v>65.75</v>
      </c>
      <c r="H578" t="str">
        <f>"35.5"</f>
        <v>35.5</v>
      </c>
      <c r="I578" t="str">
        <f>"18"</f>
        <v>18</v>
      </c>
      <c r="J578" t="str">
        <f>"76.5"</f>
        <v>76.5</v>
      </c>
      <c r="K578" t="s">
        <v>11156</v>
      </c>
      <c r="L578" t="s">
        <v>5531</v>
      </c>
      <c r="N578" t="s">
        <v>11157</v>
      </c>
      <c r="O578" t="s">
        <v>11158</v>
      </c>
      <c r="P578" t="s">
        <v>417</v>
      </c>
      <c r="T578" t="s">
        <v>373</v>
      </c>
      <c r="U578" t="s">
        <v>402</v>
      </c>
      <c r="V578" t="s">
        <v>11159</v>
      </c>
      <c r="W578" t="s">
        <v>11160</v>
      </c>
      <c r="X578" t="s">
        <v>11161</v>
      </c>
      <c r="Y578" t="s">
        <v>11162</v>
      </c>
      <c r="Z578" t="s">
        <v>11163</v>
      </c>
      <c r="AA578" t="s">
        <v>11164</v>
      </c>
      <c r="AB578" t="s">
        <v>11165</v>
      </c>
      <c r="AC578" t="s">
        <v>11166</v>
      </c>
      <c r="AD578" t="s">
        <v>11167</v>
      </c>
      <c r="AE578" t="s">
        <v>11168</v>
      </c>
      <c r="AF578" t="s">
        <v>11169</v>
      </c>
      <c r="BA578" t="str">
        <f>"1199"</f>
        <v>1199</v>
      </c>
      <c r="BB578" t="str">
        <f>"505"</f>
        <v>505</v>
      </c>
      <c r="BC578" t="s">
        <v>388</v>
      </c>
      <c r="BD578" t="str">
        <f t="shared" si="141"/>
        <v>1</v>
      </c>
      <c r="BE578" t="s">
        <v>389</v>
      </c>
      <c r="BF578" t="str">
        <f>"67.13"</f>
        <v>67.13</v>
      </c>
      <c r="BG578" t="str">
        <f>"37.01"</f>
        <v>37.01</v>
      </c>
      <c r="BH578" t="str">
        <f>"18.31"</f>
        <v>18.31</v>
      </c>
      <c r="BI578" t="str">
        <f>"100.09"</f>
        <v>100.09</v>
      </c>
      <c r="BY578" t="str">
        <f>"26.31"</f>
        <v>26.31</v>
      </c>
      <c r="BZ578" t="str">
        <f>"0.745"</f>
        <v>0.745</v>
      </c>
      <c r="CA578" t="s">
        <v>495</v>
      </c>
      <c r="CK578" t="s">
        <v>2130</v>
      </c>
      <c r="CL578" t="s">
        <v>11170</v>
      </c>
      <c r="CM578" t="s">
        <v>9962</v>
      </c>
      <c r="CO578">
        <v>0</v>
      </c>
      <c r="CQ578" t="s">
        <v>631</v>
      </c>
      <c r="CU578" t="s">
        <v>749</v>
      </c>
      <c r="CX578" t="s">
        <v>667</v>
      </c>
      <c r="CY578" t="s">
        <v>400</v>
      </c>
      <c r="CZ578">
        <v>0</v>
      </c>
      <c r="DD578">
        <v>50000</v>
      </c>
      <c r="DE578" t="s">
        <v>405</v>
      </c>
      <c r="DF578" t="s">
        <v>632</v>
      </c>
      <c r="DH578">
        <v>1</v>
      </c>
      <c r="DI578">
        <v>3</v>
      </c>
      <c r="DJ578" t="s">
        <v>408</v>
      </c>
      <c r="DK578" t="s">
        <v>5527</v>
      </c>
      <c r="DL578">
        <v>0</v>
      </c>
      <c r="DM578" t="s">
        <v>410</v>
      </c>
      <c r="DX578" t="s">
        <v>1015</v>
      </c>
      <c r="DY578" t="s">
        <v>11171</v>
      </c>
      <c r="DZ578" t="s">
        <v>11172</v>
      </c>
      <c r="JU578" t="s">
        <v>11173</v>
      </c>
      <c r="JV578" t="s">
        <v>1739</v>
      </c>
      <c r="JW578" t="s">
        <v>391</v>
      </c>
    </row>
    <row r="579" spans="1:283" x14ac:dyDescent="0.25">
      <c r="A579" t="s">
        <v>11174</v>
      </c>
      <c r="B579" t="str">
        <f>"801542223885"</f>
        <v>801542223885</v>
      </c>
      <c r="C579" t="s">
        <v>11175</v>
      </c>
      <c r="D579" t="s">
        <v>722</v>
      </c>
      <c r="E579" t="s">
        <v>1077</v>
      </c>
      <c r="G579" t="str">
        <f>"48"</f>
        <v>48</v>
      </c>
      <c r="H579" t="str">
        <f>"48"</f>
        <v>48</v>
      </c>
      <c r="I579" t="str">
        <f>"13"</f>
        <v>13</v>
      </c>
      <c r="J579" t="str">
        <f>"94.8"</f>
        <v>94.8</v>
      </c>
      <c r="K579" t="s">
        <v>1364</v>
      </c>
      <c r="N579" t="s">
        <v>1970</v>
      </c>
      <c r="T579" t="s">
        <v>373</v>
      </c>
      <c r="U579" t="s">
        <v>373</v>
      </c>
      <c r="V579" t="s">
        <v>11176</v>
      </c>
      <c r="W579" t="s">
        <v>11177</v>
      </c>
      <c r="X579" t="s">
        <v>11178</v>
      </c>
      <c r="Y579" t="s">
        <v>11179</v>
      </c>
      <c r="Z579" t="s">
        <v>11180</v>
      </c>
      <c r="AA579" t="s">
        <v>11181</v>
      </c>
      <c r="AB579" t="s">
        <v>11182</v>
      </c>
      <c r="AC579" t="s">
        <v>11183</v>
      </c>
      <c r="AD579" t="s">
        <v>11184</v>
      </c>
      <c r="AE579" t="s">
        <v>11185</v>
      </c>
      <c r="AF579" t="s">
        <v>11186</v>
      </c>
      <c r="AG579" t="s">
        <v>11187</v>
      </c>
      <c r="BA579" t="str">
        <f>"1599"</f>
        <v>1599</v>
      </c>
      <c r="BB579" t="str">
        <f>"675"</f>
        <v>675</v>
      </c>
      <c r="BC579" t="s">
        <v>665</v>
      </c>
      <c r="BD579" t="str">
        <f t="shared" si="141"/>
        <v>1</v>
      </c>
      <c r="BE579" t="s">
        <v>389</v>
      </c>
      <c r="BF579" t="str">
        <f>"51.77"</f>
        <v>51.77</v>
      </c>
      <c r="BG579" t="str">
        <f>"51.77"</f>
        <v>51.77</v>
      </c>
      <c r="BH579" t="str">
        <f>"16.93"</f>
        <v>16.93</v>
      </c>
      <c r="BI579" t="str">
        <f>"132.28"</f>
        <v>132.28</v>
      </c>
      <c r="BY579" t="str">
        <f>"26.27"</f>
        <v>26.27</v>
      </c>
      <c r="BZ579" t="str">
        <f>"0.744"</f>
        <v>0.744</v>
      </c>
      <c r="CA579" t="s">
        <v>495</v>
      </c>
      <c r="CR579" t="s">
        <v>400</v>
      </c>
      <c r="CS579">
        <v>0</v>
      </c>
      <c r="CT579" t="s">
        <v>400</v>
      </c>
      <c r="CV579">
        <v>0</v>
      </c>
      <c r="CX579" t="s">
        <v>403</v>
      </c>
      <c r="CY579" t="s">
        <v>400</v>
      </c>
      <c r="DC579">
        <v>0</v>
      </c>
      <c r="DJ579" t="s">
        <v>471</v>
      </c>
      <c r="DK579" t="s">
        <v>11188</v>
      </c>
      <c r="DM579" t="s">
        <v>473</v>
      </c>
      <c r="DX579" t="s">
        <v>4673</v>
      </c>
      <c r="DY579" t="s">
        <v>3516</v>
      </c>
      <c r="DZ579" t="s">
        <v>11189</v>
      </c>
      <c r="EI579" t="s">
        <v>1290</v>
      </c>
      <c r="EJ579" t="s">
        <v>546</v>
      </c>
      <c r="EK579" t="s">
        <v>11190</v>
      </c>
      <c r="EL579" t="s">
        <v>1290</v>
      </c>
      <c r="EM579" t="s">
        <v>402</v>
      </c>
      <c r="EN579">
        <v>0</v>
      </c>
      <c r="EO579">
        <v>0</v>
      </c>
    </row>
    <row r="580" spans="1:283" x14ac:dyDescent="0.25">
      <c r="A580" t="s">
        <v>11191</v>
      </c>
      <c r="B580" t="str">
        <f>"801542223892"</f>
        <v>801542223892</v>
      </c>
      <c r="C580" t="s">
        <v>11192</v>
      </c>
      <c r="D580" t="s">
        <v>722</v>
      </c>
      <c r="E580" t="s">
        <v>1077</v>
      </c>
      <c r="G580" t="str">
        <f>"48"</f>
        <v>48</v>
      </c>
      <c r="H580" t="str">
        <f>"48"</f>
        <v>48</v>
      </c>
      <c r="I580" t="str">
        <f>"13"</f>
        <v>13</v>
      </c>
      <c r="J580" t="str">
        <f>"94.8"</f>
        <v>94.8</v>
      </c>
      <c r="K580" t="s">
        <v>11193</v>
      </c>
      <c r="N580" t="s">
        <v>1970</v>
      </c>
      <c r="T580" t="s">
        <v>373</v>
      </c>
      <c r="U580" t="s">
        <v>373</v>
      </c>
      <c r="V580" t="s">
        <v>11194</v>
      </c>
      <c r="W580" t="s">
        <v>11195</v>
      </c>
      <c r="X580" t="s">
        <v>11196</v>
      </c>
      <c r="Y580" t="s">
        <v>11197</v>
      </c>
      <c r="Z580" t="s">
        <v>11198</v>
      </c>
      <c r="AA580" t="s">
        <v>11199</v>
      </c>
      <c r="AB580" t="s">
        <v>11200</v>
      </c>
      <c r="AC580" t="s">
        <v>11201</v>
      </c>
      <c r="AD580" t="s">
        <v>11202</v>
      </c>
      <c r="AE580" t="s">
        <v>11203</v>
      </c>
      <c r="AF580" t="s">
        <v>11204</v>
      </c>
      <c r="AG580" t="s">
        <v>11205</v>
      </c>
      <c r="BA580" t="str">
        <f>"1599"</f>
        <v>1599</v>
      </c>
      <c r="BB580" t="str">
        <f>"675"</f>
        <v>675</v>
      </c>
      <c r="BC580" t="s">
        <v>665</v>
      </c>
      <c r="BD580" t="str">
        <f t="shared" si="141"/>
        <v>1</v>
      </c>
      <c r="BE580" t="s">
        <v>389</v>
      </c>
      <c r="BF580" t="str">
        <f>"51.77"</f>
        <v>51.77</v>
      </c>
      <c r="BG580" t="str">
        <f>"51.77"</f>
        <v>51.77</v>
      </c>
      <c r="BH580" t="str">
        <f>"16.93"</f>
        <v>16.93</v>
      </c>
      <c r="BI580" t="str">
        <f>"132.28"</f>
        <v>132.28</v>
      </c>
      <c r="BY580" t="str">
        <f>"26.27"</f>
        <v>26.27</v>
      </c>
      <c r="BZ580" t="str">
        <f>"0.744"</f>
        <v>0.744</v>
      </c>
      <c r="CA580" t="s">
        <v>431</v>
      </c>
      <c r="CR580" t="s">
        <v>400</v>
      </c>
      <c r="CS580">
        <v>0</v>
      </c>
      <c r="CT580" t="s">
        <v>400</v>
      </c>
      <c r="CV580">
        <v>0</v>
      </c>
      <c r="CX580" t="s">
        <v>403</v>
      </c>
      <c r="CY580" t="s">
        <v>400</v>
      </c>
      <c r="DC580">
        <v>0</v>
      </c>
      <c r="DJ580" t="s">
        <v>471</v>
      </c>
      <c r="DK580" t="s">
        <v>11188</v>
      </c>
      <c r="DM580" t="s">
        <v>473</v>
      </c>
      <c r="DX580" t="s">
        <v>4673</v>
      </c>
      <c r="DY580" t="s">
        <v>3516</v>
      </c>
      <c r="DZ580" t="s">
        <v>11189</v>
      </c>
      <c r="EI580" t="s">
        <v>1290</v>
      </c>
      <c r="EJ580" t="s">
        <v>546</v>
      </c>
      <c r="EK580" t="s">
        <v>11190</v>
      </c>
      <c r="EL580" t="s">
        <v>1290</v>
      </c>
      <c r="EM580" t="s">
        <v>402</v>
      </c>
      <c r="EN580">
        <v>0</v>
      </c>
      <c r="EO580">
        <v>0</v>
      </c>
    </row>
    <row r="581" spans="1:283" x14ac:dyDescent="0.25">
      <c r="A581" t="s">
        <v>11206</v>
      </c>
      <c r="B581" t="str">
        <f>"801542091422"</f>
        <v>801542091422</v>
      </c>
      <c r="C581" t="s">
        <v>11207</v>
      </c>
      <c r="D581" t="s">
        <v>9040</v>
      </c>
      <c r="E581" t="s">
        <v>988</v>
      </c>
      <c r="G581" t="str">
        <f>"70.5"</f>
        <v>70.5</v>
      </c>
      <c r="H581" t="str">
        <f>"18.5"</f>
        <v>18.5</v>
      </c>
      <c r="I581" t="str">
        <f>"34"</f>
        <v>34</v>
      </c>
      <c r="J581" t="str">
        <f>"231.48"</f>
        <v>231.48</v>
      </c>
      <c r="K581" t="s">
        <v>9041</v>
      </c>
      <c r="N581" t="s">
        <v>9042</v>
      </c>
      <c r="O581" t="s">
        <v>9043</v>
      </c>
      <c r="T581" t="s">
        <v>373</v>
      </c>
      <c r="U581" t="s">
        <v>373</v>
      </c>
      <c r="V581" t="s">
        <v>11208</v>
      </c>
      <c r="W581" t="s">
        <v>11209</v>
      </c>
      <c r="X581" t="s">
        <v>11210</v>
      </c>
      <c r="Y581" t="s">
        <v>11211</v>
      </c>
      <c r="Z581" t="s">
        <v>11212</v>
      </c>
      <c r="AA581" t="s">
        <v>11213</v>
      </c>
      <c r="AB581" t="s">
        <v>11214</v>
      </c>
      <c r="AC581" t="s">
        <v>11215</v>
      </c>
      <c r="AD581" t="s">
        <v>11216</v>
      </c>
      <c r="AE581" t="s">
        <v>11217</v>
      </c>
      <c r="AF581" t="s">
        <v>11218</v>
      </c>
      <c r="AG581" t="s">
        <v>11219</v>
      </c>
      <c r="AH581" t="s">
        <v>11220</v>
      </c>
      <c r="AI581" t="s">
        <v>11221</v>
      </c>
      <c r="AJ581" t="s">
        <v>11222</v>
      </c>
      <c r="AK581" t="s">
        <v>11223</v>
      </c>
      <c r="AL581" t="s">
        <v>11224</v>
      </c>
      <c r="AM581" t="s">
        <v>11225</v>
      </c>
      <c r="BA581" t="str">
        <f>"1999"</f>
        <v>1999</v>
      </c>
      <c r="BB581" t="str">
        <f>"840"</f>
        <v>840</v>
      </c>
      <c r="BC581" t="s">
        <v>665</v>
      </c>
      <c r="BD581" t="str">
        <f t="shared" si="141"/>
        <v>1</v>
      </c>
      <c r="BE581" t="s">
        <v>11226</v>
      </c>
      <c r="BF581" t="str">
        <f>"73.43"</f>
        <v>73.43</v>
      </c>
      <c r="BG581" t="str">
        <f>"21.26"</f>
        <v>21.26</v>
      </c>
      <c r="BH581" t="str">
        <f>"30.71"</f>
        <v>30.71</v>
      </c>
      <c r="BI581" t="str">
        <f>"262.35"</f>
        <v>262.35</v>
      </c>
      <c r="BY581" t="str">
        <f>"27.76"</f>
        <v>27.76</v>
      </c>
      <c r="BZ581" t="str">
        <f>"0.786"</f>
        <v>0.786</v>
      </c>
      <c r="CA581" t="s">
        <v>495</v>
      </c>
      <c r="CR581" t="s">
        <v>1007</v>
      </c>
      <c r="CS581">
        <v>6</v>
      </c>
      <c r="CT581" t="s">
        <v>400</v>
      </c>
      <c r="CV581">
        <v>0</v>
      </c>
      <c r="CX581" t="s">
        <v>953</v>
      </c>
      <c r="CY581" t="s">
        <v>1009</v>
      </c>
      <c r="DC581">
        <v>0</v>
      </c>
      <c r="DJ581" t="s">
        <v>1010</v>
      </c>
      <c r="DK581" t="s">
        <v>9062</v>
      </c>
      <c r="DM581" t="s">
        <v>669</v>
      </c>
      <c r="DX581" t="s">
        <v>9063</v>
      </c>
      <c r="EM581" t="s">
        <v>402</v>
      </c>
      <c r="EN581">
        <v>0</v>
      </c>
      <c r="FI581">
        <v>0</v>
      </c>
      <c r="FJ581" t="s">
        <v>1012</v>
      </c>
      <c r="FR581" t="s">
        <v>748</v>
      </c>
      <c r="FT581" t="s">
        <v>2072</v>
      </c>
      <c r="FV581" t="s">
        <v>4674</v>
      </c>
      <c r="FX581" t="s">
        <v>1017</v>
      </c>
      <c r="FZ581" t="s">
        <v>1018</v>
      </c>
    </row>
    <row r="582" spans="1:283" x14ac:dyDescent="0.25">
      <c r="A582" t="s">
        <v>11227</v>
      </c>
      <c r="B582" t="str">
        <f>"801542091439"</f>
        <v>801542091439</v>
      </c>
      <c r="C582" t="s">
        <v>11228</v>
      </c>
      <c r="D582" t="s">
        <v>9040</v>
      </c>
      <c r="E582" t="s">
        <v>988</v>
      </c>
      <c r="G582" t="str">
        <f>"85"</f>
        <v>85</v>
      </c>
      <c r="H582" t="str">
        <f>"18"</f>
        <v>18</v>
      </c>
      <c r="I582" t="str">
        <f>"34"</f>
        <v>34</v>
      </c>
      <c r="J582" t="str">
        <f>"291.01"</f>
        <v>291.01</v>
      </c>
      <c r="K582" t="s">
        <v>9041</v>
      </c>
      <c r="N582" t="s">
        <v>9042</v>
      </c>
      <c r="O582" t="s">
        <v>9043</v>
      </c>
      <c r="T582" t="s">
        <v>373</v>
      </c>
      <c r="U582" t="s">
        <v>373</v>
      </c>
      <c r="V582" t="s">
        <v>11208</v>
      </c>
      <c r="W582" t="s">
        <v>11229</v>
      </c>
      <c r="X582" t="s">
        <v>11230</v>
      </c>
      <c r="Y582" t="s">
        <v>11231</v>
      </c>
      <c r="Z582" t="s">
        <v>11232</v>
      </c>
      <c r="AA582" t="s">
        <v>11233</v>
      </c>
      <c r="AB582" t="s">
        <v>11234</v>
      </c>
      <c r="AC582" t="s">
        <v>11235</v>
      </c>
      <c r="AD582" t="s">
        <v>11236</v>
      </c>
      <c r="AE582" t="s">
        <v>11237</v>
      </c>
      <c r="AF582" t="s">
        <v>11238</v>
      </c>
      <c r="AG582" t="s">
        <v>11239</v>
      </c>
      <c r="AH582" t="s">
        <v>11240</v>
      </c>
      <c r="AI582" t="s">
        <v>11241</v>
      </c>
      <c r="AJ582" t="s">
        <v>11242</v>
      </c>
      <c r="BA582" t="str">
        <f>"2499"</f>
        <v>2499</v>
      </c>
      <c r="BB582" t="str">
        <f>"1050"</f>
        <v>1050</v>
      </c>
      <c r="BC582" t="s">
        <v>665</v>
      </c>
      <c r="BD582" t="str">
        <f t="shared" si="141"/>
        <v>1</v>
      </c>
      <c r="BE582" t="s">
        <v>11243</v>
      </c>
      <c r="BF582" t="str">
        <f>"88.39"</f>
        <v>88.39</v>
      </c>
      <c r="BG582" t="str">
        <f>"21.46"</f>
        <v>21.46</v>
      </c>
      <c r="BH582" t="str">
        <f>"31.1"</f>
        <v>31.1</v>
      </c>
      <c r="BI582" t="str">
        <f>"326.28"</f>
        <v>326.28</v>
      </c>
      <c r="BY582" t="str">
        <f>"34.15"</f>
        <v>34.15</v>
      </c>
      <c r="BZ582" t="str">
        <f>"0.967"</f>
        <v>0.967</v>
      </c>
      <c r="CA582" t="s">
        <v>495</v>
      </c>
      <c r="CR582" t="s">
        <v>1007</v>
      </c>
      <c r="CS582">
        <v>9</v>
      </c>
      <c r="CT582" t="s">
        <v>400</v>
      </c>
      <c r="CV582">
        <v>0</v>
      </c>
      <c r="CX582" t="s">
        <v>1241</v>
      </c>
      <c r="CY582" t="s">
        <v>1009</v>
      </c>
      <c r="DC582">
        <v>0</v>
      </c>
      <c r="DJ582" t="s">
        <v>1010</v>
      </c>
      <c r="DK582" t="s">
        <v>9062</v>
      </c>
      <c r="DM582" t="s">
        <v>669</v>
      </c>
      <c r="DX582" t="s">
        <v>11244</v>
      </c>
      <c r="EM582" t="s">
        <v>402</v>
      </c>
      <c r="EN582">
        <v>0</v>
      </c>
      <c r="FI582">
        <v>0</v>
      </c>
      <c r="FJ582" t="s">
        <v>1012</v>
      </c>
      <c r="FR582" t="s">
        <v>5878</v>
      </c>
      <c r="FS582" t="s">
        <v>5878</v>
      </c>
      <c r="FT582" t="s">
        <v>11245</v>
      </c>
      <c r="FU582" t="s">
        <v>11245</v>
      </c>
      <c r="FV582" t="s">
        <v>11246</v>
      </c>
      <c r="FW582" t="s">
        <v>11247</v>
      </c>
      <c r="FX582" t="s">
        <v>1017</v>
      </c>
      <c r="FZ582" t="s">
        <v>1018</v>
      </c>
    </row>
    <row r="583" spans="1:283" x14ac:dyDescent="0.25">
      <c r="A583" t="s">
        <v>11248</v>
      </c>
      <c r="B583" t="str">
        <f>"801542091453"</f>
        <v>801542091453</v>
      </c>
      <c r="C583" t="s">
        <v>11249</v>
      </c>
      <c r="D583" t="s">
        <v>9040</v>
      </c>
      <c r="E583" t="s">
        <v>1043</v>
      </c>
      <c r="G583" t="str">
        <f>"32"</f>
        <v>32</v>
      </c>
      <c r="H583" t="str">
        <f>"18.5"</f>
        <v>18.5</v>
      </c>
      <c r="I583" t="str">
        <f>"26"</f>
        <v>26</v>
      </c>
      <c r="J583" t="str">
        <f>"63.93"</f>
        <v>63.93</v>
      </c>
      <c r="K583" t="s">
        <v>9041</v>
      </c>
      <c r="N583" t="s">
        <v>9042</v>
      </c>
      <c r="O583" t="s">
        <v>9043</v>
      </c>
      <c r="T583" t="s">
        <v>373</v>
      </c>
      <c r="U583" t="s">
        <v>373</v>
      </c>
      <c r="V583" t="s">
        <v>11250</v>
      </c>
      <c r="W583" t="s">
        <v>11251</v>
      </c>
      <c r="X583" t="s">
        <v>11252</v>
      </c>
      <c r="Y583" t="s">
        <v>11253</v>
      </c>
      <c r="Z583" t="s">
        <v>11254</v>
      </c>
      <c r="AA583" t="s">
        <v>11255</v>
      </c>
      <c r="AB583" t="s">
        <v>11256</v>
      </c>
      <c r="AC583" t="s">
        <v>11257</v>
      </c>
      <c r="AD583" t="s">
        <v>11258</v>
      </c>
      <c r="AE583" t="s">
        <v>11259</v>
      </c>
      <c r="AF583" t="s">
        <v>11260</v>
      </c>
      <c r="AG583" t="s">
        <v>11261</v>
      </c>
      <c r="AH583" t="s">
        <v>11262</v>
      </c>
      <c r="AI583" t="s">
        <v>11263</v>
      </c>
      <c r="AJ583" t="s">
        <v>11264</v>
      </c>
      <c r="AK583" t="s">
        <v>11265</v>
      </c>
      <c r="AL583" t="s">
        <v>11266</v>
      </c>
      <c r="AM583" t="s">
        <v>11267</v>
      </c>
      <c r="BA583" t="str">
        <f>"849"</f>
        <v>849</v>
      </c>
      <c r="BB583" t="str">
        <f>"360"</f>
        <v>360</v>
      </c>
      <c r="BC583" t="s">
        <v>665</v>
      </c>
      <c r="BD583" t="str">
        <f t="shared" si="141"/>
        <v>1</v>
      </c>
      <c r="BE583" t="s">
        <v>4975</v>
      </c>
      <c r="BF583" t="str">
        <f>"35.43"</f>
        <v>35.43</v>
      </c>
      <c r="BG583" t="str">
        <f>"21.46"</f>
        <v>21.46</v>
      </c>
      <c r="BH583" t="str">
        <f>"19.09"</f>
        <v>19.09</v>
      </c>
      <c r="BI583" t="str">
        <f>"79.37"</f>
        <v>79.37</v>
      </c>
      <c r="BY583" t="str">
        <f>"8.4"</f>
        <v>8.4</v>
      </c>
      <c r="BZ583" t="str">
        <f>"0.238"</f>
        <v>0.238</v>
      </c>
      <c r="CA583" t="s">
        <v>495</v>
      </c>
      <c r="CR583" t="s">
        <v>5068</v>
      </c>
      <c r="CS583">
        <v>2</v>
      </c>
      <c r="CT583" t="s">
        <v>400</v>
      </c>
      <c r="CV583">
        <v>0</v>
      </c>
      <c r="CX583" t="s">
        <v>953</v>
      </c>
      <c r="CY583" t="s">
        <v>1009</v>
      </c>
      <c r="DC583">
        <v>0</v>
      </c>
      <c r="DJ583" t="s">
        <v>408</v>
      </c>
      <c r="DK583" t="s">
        <v>9062</v>
      </c>
      <c r="DM583" t="s">
        <v>473</v>
      </c>
      <c r="DX583" t="s">
        <v>7702</v>
      </c>
      <c r="EN583">
        <v>0</v>
      </c>
      <c r="FI583">
        <v>0</v>
      </c>
      <c r="FJ583" t="s">
        <v>1012</v>
      </c>
      <c r="FP583" t="s">
        <v>402</v>
      </c>
      <c r="FR583" t="s">
        <v>11268</v>
      </c>
      <c r="FT583" t="s">
        <v>1292</v>
      </c>
      <c r="FV583" t="s">
        <v>539</v>
      </c>
      <c r="FX583" t="s">
        <v>1017</v>
      </c>
      <c r="FZ583" t="s">
        <v>1018</v>
      </c>
    </row>
    <row r="584" spans="1:283" x14ac:dyDescent="0.25">
      <c r="A584" t="s">
        <v>11269</v>
      </c>
      <c r="B584" t="str">
        <f>"801542066840"</f>
        <v>801542066840</v>
      </c>
      <c r="C584" t="s">
        <v>11270</v>
      </c>
      <c r="D584" t="s">
        <v>5390</v>
      </c>
      <c r="E584" t="s">
        <v>2244</v>
      </c>
      <c r="G584" t="str">
        <f>"36"</f>
        <v>36</v>
      </c>
      <c r="H584" t="str">
        <f>"59"</f>
        <v>59</v>
      </c>
      <c r="I584" t="str">
        <f>"32.75"</f>
        <v>32.75</v>
      </c>
      <c r="J584" t="str">
        <f>"82.45"</f>
        <v>82.45</v>
      </c>
      <c r="K584" t="s">
        <v>4763</v>
      </c>
      <c r="L584" t="s">
        <v>1518</v>
      </c>
      <c r="N584" t="s">
        <v>371</v>
      </c>
      <c r="O584" t="s">
        <v>775</v>
      </c>
      <c r="T584" t="s">
        <v>402</v>
      </c>
      <c r="U584" t="s">
        <v>373</v>
      </c>
      <c r="V584" t="s">
        <v>11271</v>
      </c>
      <c r="W584" t="s">
        <v>11272</v>
      </c>
      <c r="X584" t="s">
        <v>11273</v>
      </c>
      <c r="Y584" t="s">
        <v>11274</v>
      </c>
      <c r="Z584" t="s">
        <v>11275</v>
      </c>
      <c r="AA584" t="s">
        <v>11276</v>
      </c>
      <c r="AB584" t="s">
        <v>11277</v>
      </c>
      <c r="AC584" t="s">
        <v>11278</v>
      </c>
      <c r="AD584" t="s">
        <v>11279</v>
      </c>
      <c r="AE584" t="s">
        <v>11280</v>
      </c>
      <c r="AF584" t="s">
        <v>11281</v>
      </c>
      <c r="AG584" t="s">
        <v>11282</v>
      </c>
      <c r="AH584" t="s">
        <v>11283</v>
      </c>
      <c r="BA584" t="str">
        <f>"1749"</f>
        <v>1749</v>
      </c>
      <c r="BB584" t="str">
        <f>"735"</f>
        <v>735</v>
      </c>
      <c r="BC584" t="s">
        <v>388</v>
      </c>
      <c r="BD584" t="str">
        <f t="shared" si="141"/>
        <v>1</v>
      </c>
      <c r="BE584" t="s">
        <v>739</v>
      </c>
      <c r="BF584" t="str">
        <f>"35.83"</f>
        <v>35.83</v>
      </c>
      <c r="BG584" t="str">
        <f>"60.24"</f>
        <v>60.24</v>
      </c>
      <c r="BH584" t="str">
        <f>"31.5"</f>
        <v>31.5</v>
      </c>
      <c r="BI584" t="str">
        <f>"105.38"</f>
        <v>105.38</v>
      </c>
      <c r="BY584" t="str">
        <f>"32.45"</f>
        <v>32.45</v>
      </c>
      <c r="BZ584" t="str">
        <f>"0.919"</f>
        <v>0.919</v>
      </c>
      <c r="CA584" t="s">
        <v>431</v>
      </c>
      <c r="CK584" t="s">
        <v>1158</v>
      </c>
      <c r="CL584" t="s">
        <v>981</v>
      </c>
      <c r="CN584">
        <v>0</v>
      </c>
      <c r="CO584">
        <v>0</v>
      </c>
      <c r="CP584" t="s">
        <v>437</v>
      </c>
      <c r="CQ584" t="s">
        <v>399</v>
      </c>
      <c r="CX584" t="s">
        <v>403</v>
      </c>
      <c r="CY584" t="s">
        <v>400</v>
      </c>
      <c r="CZ584">
        <v>0</v>
      </c>
      <c r="DD584">
        <v>100000</v>
      </c>
      <c r="DE584" t="s">
        <v>439</v>
      </c>
      <c r="DH584">
        <v>0</v>
      </c>
      <c r="DI584">
        <v>1</v>
      </c>
      <c r="DK584" t="s">
        <v>11284</v>
      </c>
      <c r="DL584">
        <v>0</v>
      </c>
      <c r="DM584" t="s">
        <v>538</v>
      </c>
      <c r="DN584" t="s">
        <v>1557</v>
      </c>
      <c r="DO584" t="s">
        <v>1634</v>
      </c>
      <c r="DP584" t="s">
        <v>1055</v>
      </c>
      <c r="DT584" t="s">
        <v>797</v>
      </c>
      <c r="DX584" t="s">
        <v>827</v>
      </c>
      <c r="DY584" t="s">
        <v>636</v>
      </c>
      <c r="DZ584" t="s">
        <v>602</v>
      </c>
      <c r="EA584" t="s">
        <v>6161</v>
      </c>
      <c r="EG584" t="s">
        <v>2029</v>
      </c>
      <c r="EP584" t="s">
        <v>791</v>
      </c>
      <c r="EQ584" t="s">
        <v>859</v>
      </c>
    </row>
    <row r="585" spans="1:283" x14ac:dyDescent="0.25">
      <c r="A585" t="s">
        <v>11285</v>
      </c>
      <c r="B585" t="str">
        <f>"801542125486"</f>
        <v>801542125486</v>
      </c>
      <c r="C585" t="s">
        <v>11286</v>
      </c>
      <c r="D585" t="s">
        <v>769</v>
      </c>
      <c r="E585" t="s">
        <v>2006</v>
      </c>
      <c r="F585" t="s">
        <v>2040</v>
      </c>
      <c r="G585" t="str">
        <f>"84.25"</f>
        <v>84.25</v>
      </c>
      <c r="H585" t="str">
        <f>"93.75"</f>
        <v>93.75</v>
      </c>
      <c r="I585" t="str">
        <f>"35.5"</f>
        <v>35.5</v>
      </c>
      <c r="J585" t="str">
        <f>"154.32"</f>
        <v>154.32</v>
      </c>
      <c r="K585" t="s">
        <v>11287</v>
      </c>
      <c r="N585" t="s">
        <v>2448</v>
      </c>
      <c r="T585" t="s">
        <v>373</v>
      </c>
      <c r="U585" t="s">
        <v>373</v>
      </c>
      <c r="V585" t="s">
        <v>11288</v>
      </c>
      <c r="W585" t="s">
        <v>11289</v>
      </c>
      <c r="X585" t="s">
        <v>11290</v>
      </c>
      <c r="Y585" t="s">
        <v>11291</v>
      </c>
      <c r="Z585" t="s">
        <v>11292</v>
      </c>
      <c r="AA585" t="s">
        <v>11293</v>
      </c>
      <c r="AB585" t="s">
        <v>11294</v>
      </c>
      <c r="AC585" t="s">
        <v>11295</v>
      </c>
      <c r="AD585" t="s">
        <v>11296</v>
      </c>
      <c r="AE585" t="s">
        <v>11297</v>
      </c>
      <c r="AF585" t="s">
        <v>11298</v>
      </c>
      <c r="AG585" t="s">
        <v>11299</v>
      </c>
      <c r="AH585" t="s">
        <v>11300</v>
      </c>
      <c r="AI585" t="s">
        <v>11301</v>
      </c>
      <c r="BA585" t="str">
        <f>"2699"</f>
        <v>2699</v>
      </c>
      <c r="BB585" t="str">
        <f>"1135"</f>
        <v>1135</v>
      </c>
      <c r="BC585" t="s">
        <v>388</v>
      </c>
      <c r="BD585" t="str">
        <f>"4"</f>
        <v>4</v>
      </c>
      <c r="BE585" t="s">
        <v>2902</v>
      </c>
      <c r="BF585" t="str">
        <f>"81.73"</f>
        <v>81.73</v>
      </c>
      <c r="BG585" t="str">
        <f>"5.39"</f>
        <v>5.39</v>
      </c>
      <c r="BH585" t="str">
        <f>"40.35"</f>
        <v>40.35</v>
      </c>
      <c r="BI585" t="str">
        <f>"52.91"</f>
        <v>52.91</v>
      </c>
      <c r="BJ585" t="s">
        <v>11302</v>
      </c>
      <c r="BK585" t="str">
        <f t="shared" ref="BK585:BL588" si="142">"7.87"</f>
        <v>7.87</v>
      </c>
      <c r="BL585" t="str">
        <f t="shared" si="142"/>
        <v>7.87</v>
      </c>
      <c r="BM585" t="str">
        <f>"28.35"</f>
        <v>28.35</v>
      </c>
      <c r="BN585" t="str">
        <f>"12.79"</f>
        <v>12.79</v>
      </c>
      <c r="BO585" t="s">
        <v>2025</v>
      </c>
      <c r="BP585" t="str">
        <f>"84.65"</f>
        <v>84.65</v>
      </c>
      <c r="BQ585" t="str">
        <f>"38.98"</f>
        <v>38.98</v>
      </c>
      <c r="BR585" t="str">
        <f>"12.6"</f>
        <v>12.6</v>
      </c>
      <c r="BS585" t="str">
        <f>"85.98"</f>
        <v>85.98</v>
      </c>
      <c r="BT585" t="s">
        <v>11303</v>
      </c>
      <c r="BU585" t="str">
        <f>"83.07"</f>
        <v>83.07</v>
      </c>
      <c r="BV585" t="str">
        <f>"10.63"</f>
        <v>10.63</v>
      </c>
      <c r="BW585" t="str">
        <f>"11.02"</f>
        <v>11.02</v>
      </c>
      <c r="BX585" t="str">
        <f>"41.89"</f>
        <v>41.89</v>
      </c>
      <c r="BY585" t="str">
        <f>"41.04"</f>
        <v>41.04</v>
      </c>
      <c r="BZ585" t="str">
        <f>"1.162"</f>
        <v>1.162</v>
      </c>
      <c r="CA585" t="s">
        <v>431</v>
      </c>
      <c r="CQ585" t="s">
        <v>1152</v>
      </c>
      <c r="CR585" t="s">
        <v>400</v>
      </c>
      <c r="CS585">
        <v>0</v>
      </c>
      <c r="CT585" t="s">
        <v>400</v>
      </c>
      <c r="CV585">
        <v>0</v>
      </c>
      <c r="CX585" t="s">
        <v>403</v>
      </c>
      <c r="CY585" t="s">
        <v>11304</v>
      </c>
      <c r="DA585">
        <v>0</v>
      </c>
      <c r="DB585">
        <v>0</v>
      </c>
      <c r="DC585">
        <v>0</v>
      </c>
      <c r="DD585">
        <v>25000</v>
      </c>
      <c r="DK585" t="s">
        <v>3247</v>
      </c>
      <c r="DM585" t="s">
        <v>2028</v>
      </c>
      <c r="EG585" t="s">
        <v>2361</v>
      </c>
      <c r="EN585">
        <v>0</v>
      </c>
      <c r="ET585" t="s">
        <v>3196</v>
      </c>
      <c r="HQ585" t="s">
        <v>1240</v>
      </c>
      <c r="HR585" t="s">
        <v>7985</v>
      </c>
      <c r="HS585" t="s">
        <v>11305</v>
      </c>
      <c r="HT585" t="s">
        <v>608</v>
      </c>
      <c r="HU585" t="s">
        <v>1512</v>
      </c>
      <c r="HV585" t="s">
        <v>11306</v>
      </c>
      <c r="HW585" t="s">
        <v>5406</v>
      </c>
      <c r="HX585" t="s">
        <v>637</v>
      </c>
      <c r="HY585" t="s">
        <v>11307</v>
      </c>
      <c r="HZ585" t="s">
        <v>1240</v>
      </c>
      <c r="IA585" t="s">
        <v>5406</v>
      </c>
      <c r="IB585" t="s">
        <v>7985</v>
      </c>
      <c r="IC585" t="s">
        <v>402</v>
      </c>
      <c r="ID585" t="s">
        <v>5252</v>
      </c>
      <c r="IE585" t="s">
        <v>2037</v>
      </c>
      <c r="IF585" t="s">
        <v>2177</v>
      </c>
      <c r="IG585" t="s">
        <v>2040</v>
      </c>
      <c r="IM585" t="s">
        <v>1156</v>
      </c>
      <c r="IN585" t="s">
        <v>635</v>
      </c>
      <c r="IP585" t="s">
        <v>402</v>
      </c>
      <c r="IQ585" t="s">
        <v>2179</v>
      </c>
    </row>
    <row r="586" spans="1:283" x14ac:dyDescent="0.25">
      <c r="A586" t="s">
        <v>11308</v>
      </c>
      <c r="B586" t="str">
        <f>"801542125493"</f>
        <v>801542125493</v>
      </c>
      <c r="C586" t="s">
        <v>11286</v>
      </c>
      <c r="D586" t="s">
        <v>769</v>
      </c>
      <c r="E586" t="s">
        <v>2006</v>
      </c>
      <c r="F586" t="s">
        <v>2007</v>
      </c>
      <c r="G586" t="str">
        <f>"68"</f>
        <v>68</v>
      </c>
      <c r="H586" t="str">
        <f>"93.75"</f>
        <v>93.75</v>
      </c>
      <c r="I586" t="str">
        <f>"35.5"</f>
        <v>35.5</v>
      </c>
      <c r="J586" t="str">
        <f>"127.43"</f>
        <v>127.43</v>
      </c>
      <c r="K586" t="s">
        <v>11287</v>
      </c>
      <c r="N586" t="s">
        <v>2448</v>
      </c>
      <c r="T586" t="s">
        <v>373</v>
      </c>
      <c r="U586" t="s">
        <v>373</v>
      </c>
      <c r="V586" t="s">
        <v>11288</v>
      </c>
      <c r="W586" t="s">
        <v>11309</v>
      </c>
      <c r="X586" t="s">
        <v>11310</v>
      </c>
      <c r="Y586" t="s">
        <v>11311</v>
      </c>
      <c r="Z586" t="s">
        <v>11312</v>
      </c>
      <c r="AA586" t="s">
        <v>11293</v>
      </c>
      <c r="AB586" t="s">
        <v>11313</v>
      </c>
      <c r="AC586" t="s">
        <v>11314</v>
      </c>
      <c r="AD586" t="s">
        <v>11315</v>
      </c>
      <c r="AE586" t="s">
        <v>11316</v>
      </c>
      <c r="AF586" t="s">
        <v>11317</v>
      </c>
      <c r="AG586" t="s">
        <v>11318</v>
      </c>
      <c r="AH586" t="s">
        <v>11319</v>
      </c>
      <c r="BA586" t="str">
        <f>"2399"</f>
        <v>2399</v>
      </c>
      <c r="BB586" t="str">
        <f>"1010"</f>
        <v>1010</v>
      </c>
      <c r="BC586" t="s">
        <v>388</v>
      </c>
      <c r="BD586" t="str">
        <f>"4"</f>
        <v>4</v>
      </c>
      <c r="BE586" t="s">
        <v>2902</v>
      </c>
      <c r="BF586" t="str">
        <f>"81.73"</f>
        <v>81.73</v>
      </c>
      <c r="BG586" t="str">
        <f>"5.39"</f>
        <v>5.39</v>
      </c>
      <c r="BH586" t="str">
        <f>"32.28"</f>
        <v>32.28</v>
      </c>
      <c r="BI586" t="str">
        <f>"43.87"</f>
        <v>43.87</v>
      </c>
      <c r="BJ586" t="s">
        <v>11302</v>
      </c>
      <c r="BK586" t="str">
        <f t="shared" si="142"/>
        <v>7.87</v>
      </c>
      <c r="BL586" t="str">
        <f t="shared" si="142"/>
        <v>7.87</v>
      </c>
      <c r="BM586" t="str">
        <f>"28.35"</f>
        <v>28.35</v>
      </c>
      <c r="BN586" t="str">
        <f>"10.05"</f>
        <v>10.05</v>
      </c>
      <c r="BO586" t="s">
        <v>2025</v>
      </c>
      <c r="BP586" t="str">
        <f>"70.08"</f>
        <v>70.08</v>
      </c>
      <c r="BQ586" t="str">
        <f>"38.98"</f>
        <v>38.98</v>
      </c>
      <c r="BR586" t="str">
        <f>"12.6"</f>
        <v>12.6</v>
      </c>
      <c r="BS586" t="str">
        <f>"66.14"</f>
        <v>66.14</v>
      </c>
      <c r="BT586" t="s">
        <v>11303</v>
      </c>
      <c r="BU586" t="str">
        <f>"83.07"</f>
        <v>83.07</v>
      </c>
      <c r="BV586" t="str">
        <f>"10.63"</f>
        <v>10.63</v>
      </c>
      <c r="BW586" t="str">
        <f>"11.02"</f>
        <v>11.02</v>
      </c>
      <c r="BX586" t="str">
        <f>"41.89"</f>
        <v>41.89</v>
      </c>
      <c r="BY586" t="str">
        <f>"34.82"</f>
        <v>34.82</v>
      </c>
      <c r="BZ586" t="str">
        <f>"0.986"</f>
        <v>0.986</v>
      </c>
      <c r="CA586" t="s">
        <v>495</v>
      </c>
      <c r="CQ586" t="s">
        <v>1152</v>
      </c>
      <c r="CR586" t="s">
        <v>400</v>
      </c>
      <c r="CS586">
        <v>0</v>
      </c>
      <c r="CT586" t="s">
        <v>400</v>
      </c>
      <c r="CV586">
        <v>0</v>
      </c>
      <c r="CX586" t="s">
        <v>403</v>
      </c>
      <c r="CY586" t="s">
        <v>11304</v>
      </c>
      <c r="DA586">
        <v>0</v>
      </c>
      <c r="DB586">
        <v>0</v>
      </c>
      <c r="DC586">
        <v>0</v>
      </c>
      <c r="DD586">
        <v>25000</v>
      </c>
      <c r="DK586" t="s">
        <v>3247</v>
      </c>
      <c r="DM586" t="s">
        <v>2028</v>
      </c>
      <c r="EG586" t="s">
        <v>2361</v>
      </c>
      <c r="EN586">
        <v>0</v>
      </c>
      <c r="ET586" t="s">
        <v>3196</v>
      </c>
      <c r="HQ586" t="s">
        <v>1240</v>
      </c>
      <c r="HR586" t="s">
        <v>7985</v>
      </c>
      <c r="HS586" t="s">
        <v>11320</v>
      </c>
      <c r="HT586" t="s">
        <v>608</v>
      </c>
      <c r="HU586" t="s">
        <v>1512</v>
      </c>
      <c r="HV586" t="s">
        <v>452</v>
      </c>
      <c r="HW586" t="s">
        <v>5406</v>
      </c>
      <c r="HX586" t="s">
        <v>637</v>
      </c>
      <c r="HY586" t="s">
        <v>11321</v>
      </c>
      <c r="HZ586" t="s">
        <v>1240</v>
      </c>
      <c r="IA586" t="s">
        <v>5406</v>
      </c>
      <c r="IB586" t="s">
        <v>7985</v>
      </c>
      <c r="IC586" t="s">
        <v>402</v>
      </c>
      <c r="ID586" t="s">
        <v>5252</v>
      </c>
      <c r="IE586" t="s">
        <v>2037</v>
      </c>
      <c r="IF586" t="s">
        <v>2177</v>
      </c>
      <c r="IG586" t="s">
        <v>2007</v>
      </c>
      <c r="IM586" t="s">
        <v>1156</v>
      </c>
      <c r="IN586" t="s">
        <v>635</v>
      </c>
      <c r="IP586" t="s">
        <v>402</v>
      </c>
      <c r="IQ586" t="s">
        <v>2179</v>
      </c>
    </row>
    <row r="587" spans="1:283" x14ac:dyDescent="0.25">
      <c r="A587" t="s">
        <v>11322</v>
      </c>
      <c r="B587" t="str">
        <f>"801542125448"</f>
        <v>801542125448</v>
      </c>
      <c r="C587" t="s">
        <v>11323</v>
      </c>
      <c r="D587" t="s">
        <v>769</v>
      </c>
      <c r="E587" t="s">
        <v>2006</v>
      </c>
      <c r="F587" t="s">
        <v>2040</v>
      </c>
      <c r="G587" t="str">
        <f>"84.25"</f>
        <v>84.25</v>
      </c>
      <c r="H587" t="str">
        <f>"93.75"</f>
        <v>93.75</v>
      </c>
      <c r="I587" t="str">
        <f>"35.5"</f>
        <v>35.5</v>
      </c>
      <c r="J587" t="str">
        <f>"154.32"</f>
        <v>154.32</v>
      </c>
      <c r="K587" t="s">
        <v>11324</v>
      </c>
      <c r="N587" t="s">
        <v>2448</v>
      </c>
      <c r="T587" t="s">
        <v>373</v>
      </c>
      <c r="U587" t="s">
        <v>373</v>
      </c>
      <c r="V587" t="s">
        <v>11288</v>
      </c>
      <c r="W587" t="s">
        <v>11325</v>
      </c>
      <c r="X587" t="s">
        <v>11326</v>
      </c>
      <c r="Y587" t="s">
        <v>11327</v>
      </c>
      <c r="Z587" t="s">
        <v>11328</v>
      </c>
      <c r="AA587" t="s">
        <v>11329</v>
      </c>
      <c r="AB587" t="s">
        <v>11330</v>
      </c>
      <c r="AC587" t="s">
        <v>11331</v>
      </c>
      <c r="AD587" t="s">
        <v>11332</v>
      </c>
      <c r="AE587" t="s">
        <v>11333</v>
      </c>
      <c r="AF587" t="s">
        <v>11334</v>
      </c>
      <c r="AG587" t="s">
        <v>11335</v>
      </c>
      <c r="AH587" t="s">
        <v>11336</v>
      </c>
      <c r="AI587" t="s">
        <v>11337</v>
      </c>
      <c r="AJ587" t="s">
        <v>11338</v>
      </c>
      <c r="AK587" t="s">
        <v>11339</v>
      </c>
      <c r="AL587" t="s">
        <v>11340</v>
      </c>
      <c r="AM587" t="s">
        <v>11341</v>
      </c>
      <c r="BA587" t="str">
        <f>"2799"</f>
        <v>2799</v>
      </c>
      <c r="BB587" t="str">
        <f>"1180"</f>
        <v>1180</v>
      </c>
      <c r="BC587" t="s">
        <v>388</v>
      </c>
      <c r="BD587" t="str">
        <f>"4"</f>
        <v>4</v>
      </c>
      <c r="BE587" t="s">
        <v>2902</v>
      </c>
      <c r="BF587" t="str">
        <f>"81.73"</f>
        <v>81.73</v>
      </c>
      <c r="BG587" t="str">
        <f>"5.39"</f>
        <v>5.39</v>
      </c>
      <c r="BH587" t="str">
        <f>"40.35"</f>
        <v>40.35</v>
      </c>
      <c r="BI587" t="str">
        <f>"52.91"</f>
        <v>52.91</v>
      </c>
      <c r="BJ587" t="s">
        <v>11302</v>
      </c>
      <c r="BK587" t="str">
        <f t="shared" si="142"/>
        <v>7.87</v>
      </c>
      <c r="BL587" t="str">
        <f t="shared" si="142"/>
        <v>7.87</v>
      </c>
      <c r="BM587" t="str">
        <f>"28.35"</f>
        <v>28.35</v>
      </c>
      <c r="BN587" t="str">
        <f>"12.79"</f>
        <v>12.79</v>
      </c>
      <c r="BO587" t="s">
        <v>2025</v>
      </c>
      <c r="BP587" t="str">
        <f>"84.65"</f>
        <v>84.65</v>
      </c>
      <c r="BQ587" t="str">
        <f>"38.98"</f>
        <v>38.98</v>
      </c>
      <c r="BR587" t="str">
        <f>"12.6"</f>
        <v>12.6</v>
      </c>
      <c r="BS587" t="str">
        <f>"85.98"</f>
        <v>85.98</v>
      </c>
      <c r="BT587" t="s">
        <v>11303</v>
      </c>
      <c r="BU587" t="str">
        <f>"83.07"</f>
        <v>83.07</v>
      </c>
      <c r="BV587" t="str">
        <f>"10.63"</f>
        <v>10.63</v>
      </c>
      <c r="BW587" t="str">
        <f>"11.02"</f>
        <v>11.02</v>
      </c>
      <c r="BX587" t="str">
        <f>"41.89"</f>
        <v>41.89</v>
      </c>
      <c r="BY587" t="str">
        <f>"41.04"</f>
        <v>41.04</v>
      </c>
      <c r="BZ587" t="str">
        <f>"1.162"</f>
        <v>1.162</v>
      </c>
      <c r="CA587" t="s">
        <v>495</v>
      </c>
      <c r="CQ587" t="s">
        <v>1152</v>
      </c>
      <c r="CR587" t="s">
        <v>400</v>
      </c>
      <c r="CS587">
        <v>0</v>
      </c>
      <c r="CT587" t="s">
        <v>400</v>
      </c>
      <c r="CV587">
        <v>0</v>
      </c>
      <c r="CX587" t="s">
        <v>403</v>
      </c>
      <c r="CY587" t="s">
        <v>11304</v>
      </c>
      <c r="DA587">
        <v>0</v>
      </c>
      <c r="DB587">
        <v>0</v>
      </c>
      <c r="DC587">
        <v>0</v>
      </c>
      <c r="DD587">
        <v>25000</v>
      </c>
      <c r="DK587" t="s">
        <v>3247</v>
      </c>
      <c r="DM587" t="s">
        <v>2028</v>
      </c>
      <c r="EG587" t="s">
        <v>2361</v>
      </c>
      <c r="EN587">
        <v>0</v>
      </c>
      <c r="ET587" t="s">
        <v>3196</v>
      </c>
      <c r="HQ587" t="s">
        <v>1240</v>
      </c>
      <c r="HR587" t="s">
        <v>7985</v>
      </c>
      <c r="HS587" t="s">
        <v>11305</v>
      </c>
      <c r="HT587" t="s">
        <v>608</v>
      </c>
      <c r="HU587" t="s">
        <v>1512</v>
      </c>
      <c r="HV587" t="s">
        <v>11306</v>
      </c>
      <c r="HW587" t="s">
        <v>5406</v>
      </c>
      <c r="HX587" t="s">
        <v>637</v>
      </c>
      <c r="HY587" t="s">
        <v>11307</v>
      </c>
      <c r="HZ587" t="s">
        <v>1240</v>
      </c>
      <c r="IA587" t="s">
        <v>5406</v>
      </c>
      <c r="IB587" t="s">
        <v>7985</v>
      </c>
      <c r="IC587" t="s">
        <v>402</v>
      </c>
      <c r="ID587" t="s">
        <v>5252</v>
      </c>
      <c r="IE587" t="s">
        <v>2037</v>
      </c>
      <c r="IF587" t="s">
        <v>2177</v>
      </c>
      <c r="IG587" t="s">
        <v>2040</v>
      </c>
      <c r="IM587" t="s">
        <v>1156</v>
      </c>
      <c r="IN587" t="s">
        <v>635</v>
      </c>
      <c r="IP587" t="s">
        <v>402</v>
      </c>
      <c r="IQ587" t="s">
        <v>2179</v>
      </c>
    </row>
    <row r="588" spans="1:283" x14ac:dyDescent="0.25">
      <c r="A588" t="s">
        <v>11342</v>
      </c>
      <c r="B588" t="str">
        <f>"801542125455"</f>
        <v>801542125455</v>
      </c>
      <c r="C588" t="s">
        <v>11323</v>
      </c>
      <c r="D588" t="s">
        <v>769</v>
      </c>
      <c r="E588" t="s">
        <v>2006</v>
      </c>
      <c r="F588" t="s">
        <v>2007</v>
      </c>
      <c r="G588" t="str">
        <f>"68"</f>
        <v>68</v>
      </c>
      <c r="H588" t="str">
        <f>"93.75"</f>
        <v>93.75</v>
      </c>
      <c r="I588" t="str">
        <f>"35.5"</f>
        <v>35.5</v>
      </c>
      <c r="J588" t="str">
        <f>"127.43"</f>
        <v>127.43</v>
      </c>
      <c r="K588" t="s">
        <v>11324</v>
      </c>
      <c r="N588" t="s">
        <v>2448</v>
      </c>
      <c r="T588" t="s">
        <v>373</v>
      </c>
      <c r="U588" t="s">
        <v>373</v>
      </c>
      <c r="V588" t="s">
        <v>11343</v>
      </c>
      <c r="W588" t="s">
        <v>11344</v>
      </c>
      <c r="X588" t="s">
        <v>11345</v>
      </c>
      <c r="Y588" t="s">
        <v>11346</v>
      </c>
      <c r="Z588" t="s">
        <v>11347</v>
      </c>
      <c r="AA588" t="s">
        <v>11348</v>
      </c>
      <c r="AB588" t="s">
        <v>11349</v>
      </c>
      <c r="AC588" t="s">
        <v>11350</v>
      </c>
      <c r="AD588" t="s">
        <v>11351</v>
      </c>
      <c r="AE588" t="s">
        <v>11352</v>
      </c>
      <c r="AF588" t="s">
        <v>11353</v>
      </c>
      <c r="AG588" t="s">
        <v>11354</v>
      </c>
      <c r="AH588" t="s">
        <v>11355</v>
      </c>
      <c r="AI588" t="s">
        <v>11356</v>
      </c>
      <c r="AJ588" t="s">
        <v>11357</v>
      </c>
      <c r="AK588" t="s">
        <v>11358</v>
      </c>
      <c r="AL588" t="s">
        <v>11359</v>
      </c>
      <c r="AM588" t="s">
        <v>11360</v>
      </c>
      <c r="AN588" t="s">
        <v>11361</v>
      </c>
      <c r="BA588" t="str">
        <f>"2499"</f>
        <v>2499</v>
      </c>
      <c r="BB588" t="str">
        <f>"1050"</f>
        <v>1050</v>
      </c>
      <c r="BC588" t="s">
        <v>388</v>
      </c>
      <c r="BD588" t="str">
        <f>"4"</f>
        <v>4</v>
      </c>
      <c r="BE588" t="s">
        <v>2902</v>
      </c>
      <c r="BF588" t="str">
        <f>"81.73"</f>
        <v>81.73</v>
      </c>
      <c r="BG588" t="str">
        <f>"5.39"</f>
        <v>5.39</v>
      </c>
      <c r="BH588" t="str">
        <f>"32.28"</f>
        <v>32.28</v>
      </c>
      <c r="BI588" t="str">
        <f>"43.87"</f>
        <v>43.87</v>
      </c>
      <c r="BJ588" t="s">
        <v>11302</v>
      </c>
      <c r="BK588" t="str">
        <f t="shared" si="142"/>
        <v>7.87</v>
      </c>
      <c r="BL588" t="str">
        <f t="shared" si="142"/>
        <v>7.87</v>
      </c>
      <c r="BM588" t="str">
        <f>"28.35"</f>
        <v>28.35</v>
      </c>
      <c r="BN588" t="str">
        <f>"10.05"</f>
        <v>10.05</v>
      </c>
      <c r="BO588" t="s">
        <v>2025</v>
      </c>
      <c r="BP588" t="str">
        <f>"70.08"</f>
        <v>70.08</v>
      </c>
      <c r="BQ588" t="str">
        <f>"38.98"</f>
        <v>38.98</v>
      </c>
      <c r="BR588" t="str">
        <f>"12.6"</f>
        <v>12.6</v>
      </c>
      <c r="BS588" t="str">
        <f>"66.14"</f>
        <v>66.14</v>
      </c>
      <c r="BT588" t="s">
        <v>11303</v>
      </c>
      <c r="BU588" t="str">
        <f>"83.07"</f>
        <v>83.07</v>
      </c>
      <c r="BV588" t="str">
        <f>"10.63"</f>
        <v>10.63</v>
      </c>
      <c r="BW588" t="str">
        <f>"11.02"</f>
        <v>11.02</v>
      </c>
      <c r="BX588" t="str">
        <f>"41.89"</f>
        <v>41.89</v>
      </c>
      <c r="BY588" t="str">
        <f>"34.82"</f>
        <v>34.82</v>
      </c>
      <c r="BZ588" t="str">
        <f>"0.986"</f>
        <v>0.986</v>
      </c>
      <c r="CA588" t="s">
        <v>390</v>
      </c>
      <c r="CQ588" t="s">
        <v>1152</v>
      </c>
      <c r="CR588" t="s">
        <v>400</v>
      </c>
      <c r="CS588">
        <v>0</v>
      </c>
      <c r="CT588" t="s">
        <v>400</v>
      </c>
      <c r="CV588">
        <v>0</v>
      </c>
      <c r="CX588" t="s">
        <v>403</v>
      </c>
      <c r="CY588" t="s">
        <v>11304</v>
      </c>
      <c r="DA588">
        <v>0</v>
      </c>
      <c r="DB588">
        <v>0</v>
      </c>
      <c r="DC588">
        <v>0</v>
      </c>
      <c r="DD588">
        <v>25000</v>
      </c>
      <c r="DK588" t="s">
        <v>3247</v>
      </c>
      <c r="DM588" t="s">
        <v>2028</v>
      </c>
      <c r="EG588" t="s">
        <v>2361</v>
      </c>
      <c r="EN588">
        <v>0</v>
      </c>
      <c r="ET588" t="s">
        <v>3196</v>
      </c>
      <c r="HQ588" t="s">
        <v>1240</v>
      </c>
      <c r="HR588" t="s">
        <v>7985</v>
      </c>
      <c r="HS588" t="s">
        <v>11320</v>
      </c>
      <c r="HT588" t="s">
        <v>608</v>
      </c>
      <c r="HU588" t="s">
        <v>1512</v>
      </c>
      <c r="HV588" t="s">
        <v>452</v>
      </c>
      <c r="HW588" t="s">
        <v>5406</v>
      </c>
      <c r="HX588" t="s">
        <v>637</v>
      </c>
      <c r="HY588" t="s">
        <v>11321</v>
      </c>
      <c r="HZ588" t="s">
        <v>1240</v>
      </c>
      <c r="IA588" t="s">
        <v>5406</v>
      </c>
      <c r="IB588" t="s">
        <v>7985</v>
      </c>
      <c r="IC588" t="s">
        <v>402</v>
      </c>
      <c r="ID588" t="s">
        <v>5252</v>
      </c>
      <c r="IE588" t="s">
        <v>2037</v>
      </c>
      <c r="IF588" t="s">
        <v>2177</v>
      </c>
      <c r="IG588" t="s">
        <v>2007</v>
      </c>
      <c r="IM588" t="s">
        <v>1156</v>
      </c>
      <c r="IN588" t="s">
        <v>635</v>
      </c>
      <c r="IP588" t="s">
        <v>402</v>
      </c>
      <c r="IQ588" t="s">
        <v>2179</v>
      </c>
    </row>
    <row r="589" spans="1:283" x14ac:dyDescent="0.25">
      <c r="A589" t="s">
        <v>11362</v>
      </c>
      <c r="B589" t="str">
        <f>"198394059060"</f>
        <v>198394059060</v>
      </c>
      <c r="C589" t="s">
        <v>11363</v>
      </c>
      <c r="D589" t="s">
        <v>3784</v>
      </c>
      <c r="E589" t="s">
        <v>1021</v>
      </c>
      <c r="G589" t="str">
        <f>"78"</f>
        <v>78</v>
      </c>
      <c r="H589" t="str">
        <f>"18"</f>
        <v>18</v>
      </c>
      <c r="I589" t="str">
        <f>"26"</f>
        <v>26</v>
      </c>
      <c r="J589" t="str">
        <f>"127.87"</f>
        <v>127.87</v>
      </c>
      <c r="K589" t="s">
        <v>10937</v>
      </c>
      <c r="L589" t="s">
        <v>10938</v>
      </c>
      <c r="N589" t="s">
        <v>461</v>
      </c>
      <c r="O589" t="s">
        <v>416</v>
      </c>
      <c r="T589" t="s">
        <v>373</v>
      </c>
      <c r="U589" t="s">
        <v>373</v>
      </c>
      <c r="V589" t="s">
        <v>11364</v>
      </c>
      <c r="W589" t="s">
        <v>11365</v>
      </c>
      <c r="X589" t="s">
        <v>11366</v>
      </c>
      <c r="Y589" t="s">
        <v>11367</v>
      </c>
      <c r="Z589" t="s">
        <v>11368</v>
      </c>
      <c r="AA589" t="s">
        <v>11369</v>
      </c>
      <c r="AB589" t="s">
        <v>11370</v>
      </c>
      <c r="AC589" t="s">
        <v>11371</v>
      </c>
      <c r="AD589" t="s">
        <v>11372</v>
      </c>
      <c r="AE589" t="s">
        <v>11373</v>
      </c>
      <c r="AF589" t="s">
        <v>11374</v>
      </c>
      <c r="AG589" t="s">
        <v>11375</v>
      </c>
      <c r="AH589" t="s">
        <v>11376</v>
      </c>
      <c r="AI589" t="s">
        <v>11377</v>
      </c>
      <c r="AJ589" t="s">
        <v>11378</v>
      </c>
      <c r="AK589" t="s">
        <v>11379</v>
      </c>
      <c r="BA589" t="str">
        <f>"1749"</f>
        <v>1749</v>
      </c>
      <c r="BB589" t="str">
        <f>"735"</f>
        <v>735</v>
      </c>
      <c r="BC589" t="s">
        <v>1149</v>
      </c>
      <c r="BD589" t="str">
        <f t="shared" ref="BD589:BD603" si="143">"1"</f>
        <v>1</v>
      </c>
      <c r="BE589" t="s">
        <v>389</v>
      </c>
      <c r="BF589" t="str">
        <f>"82.09"</f>
        <v>82.09</v>
      </c>
      <c r="BG589" t="str">
        <f>"21.46"</f>
        <v>21.46</v>
      </c>
      <c r="BH589" t="str">
        <f>"29.92"</f>
        <v>29.92</v>
      </c>
      <c r="BI589" t="str">
        <f>"145.5"</f>
        <v>145.5</v>
      </c>
      <c r="BY589" t="str">
        <f>"30.51"</f>
        <v>30.51</v>
      </c>
      <c r="BZ589" t="str">
        <f>"0.864"</f>
        <v>0.864</v>
      </c>
      <c r="CA589" t="s">
        <v>431</v>
      </c>
      <c r="CE589" t="s">
        <v>3833</v>
      </c>
      <c r="CF589" t="s">
        <v>4671</v>
      </c>
      <c r="CG589" t="s">
        <v>3058</v>
      </c>
      <c r="CR589" t="s">
        <v>400</v>
      </c>
      <c r="CS589">
        <v>0</v>
      </c>
      <c r="CT589" t="s">
        <v>400</v>
      </c>
      <c r="CV589">
        <v>0</v>
      </c>
      <c r="CX589" t="s">
        <v>4903</v>
      </c>
      <c r="CY589" t="s">
        <v>954</v>
      </c>
      <c r="DA589">
        <v>18.14</v>
      </c>
      <c r="DB589">
        <v>40</v>
      </c>
      <c r="DC589">
        <v>3</v>
      </c>
      <c r="DK589" t="s">
        <v>10953</v>
      </c>
      <c r="DX589" t="s">
        <v>2510</v>
      </c>
      <c r="EM589" t="s">
        <v>402</v>
      </c>
      <c r="EN589">
        <v>3</v>
      </c>
      <c r="EZ589" t="s">
        <v>4671</v>
      </c>
      <c r="FA589" t="s">
        <v>5144</v>
      </c>
      <c r="FB589" t="s">
        <v>6954</v>
      </c>
      <c r="FC589" t="s">
        <v>958</v>
      </c>
      <c r="FD589" t="s">
        <v>5144</v>
      </c>
      <c r="FE589" t="s">
        <v>3058</v>
      </c>
      <c r="FG589" t="s">
        <v>402</v>
      </c>
      <c r="FH589" t="s">
        <v>959</v>
      </c>
      <c r="FI589">
        <v>6</v>
      </c>
      <c r="FJ589" t="s">
        <v>960</v>
      </c>
      <c r="FK589" t="s">
        <v>1246</v>
      </c>
      <c r="FM589" t="s">
        <v>402</v>
      </c>
      <c r="FO589" t="s">
        <v>984</v>
      </c>
      <c r="GE589">
        <v>0</v>
      </c>
      <c r="GX589" t="s">
        <v>4208</v>
      </c>
      <c r="HI589" t="s">
        <v>402</v>
      </c>
    </row>
    <row r="590" spans="1:283" x14ac:dyDescent="0.25">
      <c r="A590" t="s">
        <v>11380</v>
      </c>
      <c r="B590" t="str">
        <f>"198394018487"</f>
        <v>198394018487</v>
      </c>
      <c r="C590" t="s">
        <v>11381</v>
      </c>
      <c r="D590" t="s">
        <v>3784</v>
      </c>
      <c r="E590" t="s">
        <v>1043</v>
      </c>
      <c r="G590" t="str">
        <f>"32"</f>
        <v>32</v>
      </c>
      <c r="H590" t="str">
        <f>"18"</f>
        <v>18</v>
      </c>
      <c r="I590" t="str">
        <f>"26"</f>
        <v>26</v>
      </c>
      <c r="J590" t="str">
        <f>"63.93"</f>
        <v>63.93</v>
      </c>
      <c r="K590" t="s">
        <v>10937</v>
      </c>
      <c r="L590" t="s">
        <v>10938</v>
      </c>
      <c r="N590" t="s">
        <v>461</v>
      </c>
      <c r="O590" t="s">
        <v>416</v>
      </c>
      <c r="T590" t="s">
        <v>373</v>
      </c>
      <c r="U590" t="s">
        <v>373</v>
      </c>
      <c r="V590" t="s">
        <v>11382</v>
      </c>
      <c r="W590" t="s">
        <v>11383</v>
      </c>
      <c r="X590" t="s">
        <v>11384</v>
      </c>
      <c r="Y590" t="s">
        <v>11385</v>
      </c>
      <c r="Z590" t="s">
        <v>11386</v>
      </c>
      <c r="AA590" t="s">
        <v>11387</v>
      </c>
      <c r="AB590" t="s">
        <v>11388</v>
      </c>
      <c r="AC590" t="s">
        <v>11389</v>
      </c>
      <c r="AD590" t="s">
        <v>11390</v>
      </c>
      <c r="AE590" t="s">
        <v>11391</v>
      </c>
      <c r="AF590" t="s">
        <v>11392</v>
      </c>
      <c r="AG590" t="s">
        <v>11393</v>
      </c>
      <c r="BA590" t="str">
        <f>"799"</f>
        <v>799</v>
      </c>
      <c r="BB590" t="str">
        <f>"340"</f>
        <v>340</v>
      </c>
      <c r="BC590" t="s">
        <v>1149</v>
      </c>
      <c r="BD590" t="str">
        <f t="shared" si="143"/>
        <v>1</v>
      </c>
      <c r="BE590" t="s">
        <v>389</v>
      </c>
      <c r="BF590" t="str">
        <f>"36.22"</f>
        <v>36.22</v>
      </c>
      <c r="BG590" t="str">
        <f>"22.83"</f>
        <v>22.83</v>
      </c>
      <c r="BH590" t="str">
        <f>"31.1"</f>
        <v>31.1</v>
      </c>
      <c r="BI590" t="str">
        <f>"74.96"</f>
        <v>74.96</v>
      </c>
      <c r="BY590" t="str">
        <f>"14.87"</f>
        <v>14.87</v>
      </c>
      <c r="BZ590" t="str">
        <f>"0.421"</f>
        <v>0.421</v>
      </c>
      <c r="CA590" t="s">
        <v>495</v>
      </c>
      <c r="CB590" t="s">
        <v>449</v>
      </c>
      <c r="CC590" t="s">
        <v>5144</v>
      </c>
      <c r="CD590" t="s">
        <v>11394</v>
      </c>
      <c r="CE590" t="s">
        <v>449</v>
      </c>
      <c r="CF590" t="s">
        <v>9063</v>
      </c>
      <c r="CG590" t="s">
        <v>11394</v>
      </c>
      <c r="CR590" t="s">
        <v>5068</v>
      </c>
      <c r="CS590">
        <v>1</v>
      </c>
      <c r="CT590" t="s">
        <v>400</v>
      </c>
      <c r="CV590">
        <v>1</v>
      </c>
      <c r="CW590" t="s">
        <v>402</v>
      </c>
      <c r="CX590" t="s">
        <v>4903</v>
      </c>
      <c r="CY590" t="s">
        <v>1009</v>
      </c>
      <c r="DC590">
        <v>0</v>
      </c>
      <c r="DJ590" t="s">
        <v>408</v>
      </c>
      <c r="DK590" t="s">
        <v>10953</v>
      </c>
      <c r="DM590" t="s">
        <v>473</v>
      </c>
      <c r="DX590" t="s">
        <v>2510</v>
      </c>
      <c r="EM590" t="s">
        <v>402</v>
      </c>
      <c r="EN590">
        <v>1</v>
      </c>
      <c r="FI590">
        <v>0</v>
      </c>
      <c r="FJ590" t="s">
        <v>1012</v>
      </c>
      <c r="FP590" t="s">
        <v>402</v>
      </c>
      <c r="FR590" t="s">
        <v>11395</v>
      </c>
      <c r="FT590" t="s">
        <v>610</v>
      </c>
      <c r="FV590" t="s">
        <v>3019</v>
      </c>
      <c r="FX590" t="s">
        <v>4210</v>
      </c>
      <c r="FZ590" t="s">
        <v>1018</v>
      </c>
    </row>
    <row r="591" spans="1:283" x14ac:dyDescent="0.25">
      <c r="A591" t="s">
        <v>11396</v>
      </c>
      <c r="B591" t="str">
        <f>"801542056049"</f>
        <v>801542056049</v>
      </c>
      <c r="C591" t="s">
        <v>11397</v>
      </c>
      <c r="D591" t="s">
        <v>929</v>
      </c>
      <c r="E591" t="s">
        <v>1021</v>
      </c>
      <c r="G591" t="str">
        <f>"79"</f>
        <v>79</v>
      </c>
      <c r="H591" t="str">
        <f>"18"</f>
        <v>18</v>
      </c>
      <c r="I591" t="str">
        <f>"28"</f>
        <v>28</v>
      </c>
      <c r="J591" t="str">
        <f>"147.93"</f>
        <v>147.93</v>
      </c>
      <c r="K591" t="s">
        <v>1022</v>
      </c>
      <c r="L591" t="s">
        <v>837</v>
      </c>
      <c r="M591" t="s">
        <v>966</v>
      </c>
      <c r="N591" t="s">
        <v>933</v>
      </c>
      <c r="O591" t="s">
        <v>555</v>
      </c>
      <c r="T591" t="s">
        <v>373</v>
      </c>
      <c r="U591" t="s">
        <v>373</v>
      </c>
      <c r="V591" t="s">
        <v>11398</v>
      </c>
      <c r="W591" t="s">
        <v>11399</v>
      </c>
      <c r="X591" t="s">
        <v>11400</v>
      </c>
      <c r="Y591" t="s">
        <v>11401</v>
      </c>
      <c r="Z591" t="s">
        <v>11402</v>
      </c>
      <c r="AA591" t="s">
        <v>11403</v>
      </c>
      <c r="AB591" t="s">
        <v>11404</v>
      </c>
      <c r="AC591" t="s">
        <v>11405</v>
      </c>
      <c r="AD591" t="s">
        <v>11406</v>
      </c>
      <c r="AE591" t="s">
        <v>11407</v>
      </c>
      <c r="AF591" t="s">
        <v>11408</v>
      </c>
      <c r="AG591" t="s">
        <v>11409</v>
      </c>
      <c r="AH591" t="s">
        <v>11410</v>
      </c>
      <c r="AI591" t="s">
        <v>11411</v>
      </c>
      <c r="AJ591" t="s">
        <v>11412</v>
      </c>
      <c r="BA591" t="str">
        <f>"1999"</f>
        <v>1999</v>
      </c>
      <c r="BB591" t="str">
        <f>"840"</f>
        <v>840</v>
      </c>
      <c r="BC591" t="s">
        <v>949</v>
      </c>
      <c r="BD591" t="str">
        <f t="shared" si="143"/>
        <v>1</v>
      </c>
      <c r="BE591" t="s">
        <v>389</v>
      </c>
      <c r="BF591" t="str">
        <f>"82.5"</f>
        <v>82.5</v>
      </c>
      <c r="BG591" t="str">
        <f>"22.25"</f>
        <v>22.25</v>
      </c>
      <c r="BH591" t="str">
        <f>"31.5"</f>
        <v>31.5</v>
      </c>
      <c r="BI591" t="str">
        <f>"172.4"</f>
        <v>172.4</v>
      </c>
      <c r="BY591" t="str">
        <f>"33.48"</f>
        <v>33.48</v>
      </c>
      <c r="BZ591" t="str">
        <f>"0.948"</f>
        <v>0.948</v>
      </c>
      <c r="CA591" t="s">
        <v>495</v>
      </c>
      <c r="CB591" t="s">
        <v>511</v>
      </c>
      <c r="CC591" t="s">
        <v>1040</v>
      </c>
      <c r="CD591" t="s">
        <v>11413</v>
      </c>
      <c r="CE591" t="s">
        <v>511</v>
      </c>
      <c r="CF591" t="s">
        <v>442</v>
      </c>
      <c r="CG591" t="s">
        <v>11413</v>
      </c>
      <c r="CR591" t="s">
        <v>400</v>
      </c>
      <c r="CS591">
        <v>0</v>
      </c>
      <c r="CT591" t="s">
        <v>400</v>
      </c>
      <c r="CV591">
        <v>2</v>
      </c>
      <c r="CW591" t="s">
        <v>402</v>
      </c>
      <c r="CX591" t="s">
        <v>953</v>
      </c>
      <c r="CY591" t="s">
        <v>954</v>
      </c>
      <c r="DA591">
        <v>18.14</v>
      </c>
      <c r="DB591">
        <v>40</v>
      </c>
      <c r="DC591">
        <v>0</v>
      </c>
      <c r="DK591" t="s">
        <v>955</v>
      </c>
      <c r="DX591" t="s">
        <v>448</v>
      </c>
      <c r="EM591" t="s">
        <v>402</v>
      </c>
      <c r="EN591">
        <v>4</v>
      </c>
      <c r="EZ591" t="s">
        <v>602</v>
      </c>
      <c r="FA591" t="s">
        <v>1040</v>
      </c>
      <c r="FB591" t="s">
        <v>2129</v>
      </c>
      <c r="FG591" t="s">
        <v>402</v>
      </c>
      <c r="FH591" t="s">
        <v>959</v>
      </c>
      <c r="FI591">
        <v>4</v>
      </c>
      <c r="FJ591" t="s">
        <v>960</v>
      </c>
      <c r="FK591" t="s">
        <v>1246</v>
      </c>
      <c r="FO591" t="s">
        <v>984</v>
      </c>
      <c r="GE591">
        <v>0</v>
      </c>
    </row>
    <row r="592" spans="1:283" x14ac:dyDescent="0.25">
      <c r="A592" t="s">
        <v>11414</v>
      </c>
      <c r="B592" t="str">
        <f>"801542062712"</f>
        <v>801542062712</v>
      </c>
      <c r="C592" t="s">
        <v>11415</v>
      </c>
      <c r="D592" t="s">
        <v>1420</v>
      </c>
      <c r="E592" t="s">
        <v>1043</v>
      </c>
      <c r="G592" t="str">
        <f>"33.5"</f>
        <v>33.5</v>
      </c>
      <c r="H592" t="str">
        <f>"18.5"</f>
        <v>18.5</v>
      </c>
      <c r="I592" t="str">
        <f>"26"</f>
        <v>26</v>
      </c>
      <c r="J592" t="str">
        <f>"76.06"</f>
        <v>76.06</v>
      </c>
      <c r="K592" t="s">
        <v>5112</v>
      </c>
      <c r="L592" t="s">
        <v>5052</v>
      </c>
      <c r="N592" t="s">
        <v>1463</v>
      </c>
      <c r="O592" t="s">
        <v>555</v>
      </c>
      <c r="T592" t="s">
        <v>373</v>
      </c>
      <c r="U592" t="s">
        <v>373</v>
      </c>
      <c r="V592" t="s">
        <v>11416</v>
      </c>
      <c r="W592" t="s">
        <v>11417</v>
      </c>
      <c r="X592" t="s">
        <v>11418</v>
      </c>
      <c r="Y592" t="s">
        <v>11419</v>
      </c>
      <c r="Z592" t="s">
        <v>11420</v>
      </c>
      <c r="AA592" t="s">
        <v>11421</v>
      </c>
      <c r="AB592" t="s">
        <v>11422</v>
      </c>
      <c r="AC592" t="s">
        <v>11423</v>
      </c>
      <c r="AD592" t="s">
        <v>11424</v>
      </c>
      <c r="AE592" t="s">
        <v>11425</v>
      </c>
      <c r="AF592" t="s">
        <v>11426</v>
      </c>
      <c r="AG592" t="s">
        <v>11427</v>
      </c>
      <c r="AH592" t="s">
        <v>11428</v>
      </c>
      <c r="AI592" t="s">
        <v>11429</v>
      </c>
      <c r="AJ592" t="s">
        <v>11430</v>
      </c>
      <c r="BA592" t="str">
        <f>"849"</f>
        <v>849</v>
      </c>
      <c r="BB592" t="str">
        <f>"360"</f>
        <v>360</v>
      </c>
      <c r="BC592" t="s">
        <v>665</v>
      </c>
      <c r="BD592" t="str">
        <f t="shared" si="143"/>
        <v>1</v>
      </c>
      <c r="BE592" t="s">
        <v>9942</v>
      </c>
      <c r="BF592" t="str">
        <f>"36.02"</f>
        <v>36.02</v>
      </c>
      <c r="BG592" t="str">
        <f>"22.24"</f>
        <v>22.24</v>
      </c>
      <c r="BH592" t="str">
        <f>"25.98"</f>
        <v>25.98</v>
      </c>
      <c r="BI592" t="str">
        <f>"95.9"</f>
        <v>95.9</v>
      </c>
      <c r="BY592" t="str">
        <f>"12.04"</f>
        <v>12.04</v>
      </c>
      <c r="BZ592" t="str">
        <f>"0.341"</f>
        <v>0.341</v>
      </c>
      <c r="CA592" t="s">
        <v>390</v>
      </c>
      <c r="CR592" t="s">
        <v>1007</v>
      </c>
      <c r="CS592">
        <v>3</v>
      </c>
      <c r="CT592" t="s">
        <v>400</v>
      </c>
      <c r="CV592">
        <v>0</v>
      </c>
      <c r="CX592" t="s">
        <v>953</v>
      </c>
      <c r="CY592" t="s">
        <v>1009</v>
      </c>
      <c r="DC592">
        <v>0</v>
      </c>
      <c r="DJ592" t="s">
        <v>408</v>
      </c>
      <c r="DK592" t="s">
        <v>5069</v>
      </c>
      <c r="DM592" t="s">
        <v>473</v>
      </c>
      <c r="DX592" t="s">
        <v>5070</v>
      </c>
      <c r="EN592">
        <v>0</v>
      </c>
      <c r="FI592">
        <v>0</v>
      </c>
      <c r="FJ592" t="s">
        <v>1012</v>
      </c>
      <c r="FR592" t="s">
        <v>7222</v>
      </c>
      <c r="FT592" t="s">
        <v>8151</v>
      </c>
      <c r="FV592" t="s">
        <v>11431</v>
      </c>
      <c r="FX592" t="s">
        <v>1017</v>
      </c>
      <c r="FY592" t="s">
        <v>402</v>
      </c>
      <c r="FZ592" t="s">
        <v>1018</v>
      </c>
    </row>
    <row r="593" spans="1:217" x14ac:dyDescent="0.25">
      <c r="A593" t="s">
        <v>11432</v>
      </c>
      <c r="B593" t="str">
        <f>"801542062705"</f>
        <v>801542062705</v>
      </c>
      <c r="C593" t="s">
        <v>11433</v>
      </c>
      <c r="D593" t="s">
        <v>1420</v>
      </c>
      <c r="E593" t="s">
        <v>1043</v>
      </c>
      <c r="G593" t="str">
        <f>"33.5"</f>
        <v>33.5</v>
      </c>
      <c r="H593" t="str">
        <f>"18.5"</f>
        <v>18.5</v>
      </c>
      <c r="I593" t="str">
        <f>"26"</f>
        <v>26</v>
      </c>
      <c r="J593" t="str">
        <f>"76.06"</f>
        <v>76.06</v>
      </c>
      <c r="K593" t="s">
        <v>5051</v>
      </c>
      <c r="L593" t="s">
        <v>5052</v>
      </c>
      <c r="N593" t="s">
        <v>1463</v>
      </c>
      <c r="O593" t="s">
        <v>555</v>
      </c>
      <c r="T593" t="s">
        <v>402</v>
      </c>
      <c r="U593" t="s">
        <v>373</v>
      </c>
      <c r="V593" t="s">
        <v>11434</v>
      </c>
      <c r="W593" t="s">
        <v>11435</v>
      </c>
      <c r="X593" t="s">
        <v>11436</v>
      </c>
      <c r="Y593" t="s">
        <v>11437</v>
      </c>
      <c r="Z593" t="s">
        <v>11438</v>
      </c>
      <c r="AA593" t="s">
        <v>11439</v>
      </c>
      <c r="AB593" t="s">
        <v>11440</v>
      </c>
      <c r="AC593" t="s">
        <v>11441</v>
      </c>
      <c r="AD593" t="s">
        <v>11442</v>
      </c>
      <c r="AE593" t="s">
        <v>11443</v>
      </c>
      <c r="AF593" t="s">
        <v>11444</v>
      </c>
      <c r="AG593" t="s">
        <v>11445</v>
      </c>
      <c r="AH593" t="s">
        <v>11446</v>
      </c>
      <c r="AI593" t="s">
        <v>11447</v>
      </c>
      <c r="AJ593" t="s">
        <v>11448</v>
      </c>
      <c r="BA593" t="str">
        <f>"849"</f>
        <v>849</v>
      </c>
      <c r="BB593" t="str">
        <f>"360"</f>
        <v>360</v>
      </c>
      <c r="BC593" t="s">
        <v>665</v>
      </c>
      <c r="BD593" t="str">
        <f t="shared" si="143"/>
        <v>1</v>
      </c>
      <c r="BE593" t="s">
        <v>9942</v>
      </c>
      <c r="BF593" t="str">
        <f>"36.02"</f>
        <v>36.02</v>
      </c>
      <c r="BG593" t="str">
        <f>"22.24"</f>
        <v>22.24</v>
      </c>
      <c r="BH593" t="str">
        <f>"25.98"</f>
        <v>25.98</v>
      </c>
      <c r="BI593" t="str">
        <f>"95.9"</f>
        <v>95.9</v>
      </c>
      <c r="BY593" t="str">
        <f>"12.04"</f>
        <v>12.04</v>
      </c>
      <c r="BZ593" t="str">
        <f>"0.341"</f>
        <v>0.341</v>
      </c>
      <c r="CA593" t="s">
        <v>431</v>
      </c>
      <c r="CR593" t="s">
        <v>1007</v>
      </c>
      <c r="CS593">
        <v>3</v>
      </c>
      <c r="CT593" t="s">
        <v>400</v>
      </c>
      <c r="CV593">
        <v>0</v>
      </c>
      <c r="CX593" t="s">
        <v>953</v>
      </c>
      <c r="CY593" t="s">
        <v>1009</v>
      </c>
      <c r="DC593">
        <v>0</v>
      </c>
      <c r="DJ593" t="s">
        <v>408</v>
      </c>
      <c r="DK593" t="s">
        <v>5069</v>
      </c>
      <c r="DM593" t="s">
        <v>473</v>
      </c>
      <c r="DX593" t="s">
        <v>5070</v>
      </c>
      <c r="EN593">
        <v>0</v>
      </c>
      <c r="FI593">
        <v>0</v>
      </c>
      <c r="FJ593" t="s">
        <v>1012</v>
      </c>
      <c r="FR593" t="s">
        <v>7222</v>
      </c>
      <c r="FT593" t="s">
        <v>8151</v>
      </c>
      <c r="FV593" t="s">
        <v>11431</v>
      </c>
      <c r="FX593" t="s">
        <v>1017</v>
      </c>
      <c r="FY593" t="s">
        <v>402</v>
      </c>
      <c r="FZ593" t="s">
        <v>1018</v>
      </c>
    </row>
    <row r="594" spans="1:217" x14ac:dyDescent="0.25">
      <c r="A594" t="s">
        <v>11449</v>
      </c>
      <c r="B594" t="str">
        <f>"801542057831"</f>
        <v>801542057831</v>
      </c>
      <c r="C594" t="s">
        <v>11450</v>
      </c>
      <c r="D594" t="s">
        <v>722</v>
      </c>
      <c r="E594" t="s">
        <v>964</v>
      </c>
      <c r="F594" t="s">
        <v>965</v>
      </c>
      <c r="G594" t="str">
        <f>"38"</f>
        <v>38</v>
      </c>
      <c r="H594" t="str">
        <f>"19"</f>
        <v>19</v>
      </c>
      <c r="I594" t="str">
        <f>"84"</f>
        <v>84</v>
      </c>
      <c r="J594" t="str">
        <f>"166.67"</f>
        <v>166.67</v>
      </c>
      <c r="K594" t="s">
        <v>9067</v>
      </c>
      <c r="L594" t="s">
        <v>9068</v>
      </c>
      <c r="N594" t="s">
        <v>1970</v>
      </c>
      <c r="O594" t="s">
        <v>372</v>
      </c>
      <c r="T594" t="s">
        <v>373</v>
      </c>
      <c r="U594" t="s">
        <v>373</v>
      </c>
      <c r="V594" t="s">
        <v>11451</v>
      </c>
      <c r="W594" t="s">
        <v>11452</v>
      </c>
      <c r="X594" t="s">
        <v>11453</v>
      </c>
      <c r="Y594" t="s">
        <v>11454</v>
      </c>
      <c r="Z594" t="s">
        <v>11455</v>
      </c>
      <c r="AA594" t="s">
        <v>11456</v>
      </c>
      <c r="AB594" t="s">
        <v>11457</v>
      </c>
      <c r="AC594" t="s">
        <v>11458</v>
      </c>
      <c r="AD594" t="s">
        <v>11459</v>
      </c>
      <c r="AE594" t="s">
        <v>11460</v>
      </c>
      <c r="AF594" t="s">
        <v>11461</v>
      </c>
      <c r="AG594" t="s">
        <v>11462</v>
      </c>
      <c r="AH594" t="s">
        <v>11463</v>
      </c>
      <c r="AI594" t="s">
        <v>11464</v>
      </c>
      <c r="AJ594" t="s">
        <v>11465</v>
      </c>
      <c r="AK594" t="s">
        <v>11466</v>
      </c>
      <c r="AL594" t="s">
        <v>11467</v>
      </c>
      <c r="AM594" t="s">
        <v>11468</v>
      </c>
      <c r="AN594" t="s">
        <v>11469</v>
      </c>
      <c r="AO594" t="s">
        <v>11470</v>
      </c>
      <c r="BA594" t="str">
        <f>"4199"</f>
        <v>4199</v>
      </c>
      <c r="BB594" t="str">
        <f>"1765"</f>
        <v>1765</v>
      </c>
      <c r="BC594" t="s">
        <v>388</v>
      </c>
      <c r="BD594" t="str">
        <f t="shared" si="143"/>
        <v>1</v>
      </c>
      <c r="BE594" t="s">
        <v>389</v>
      </c>
      <c r="BF594" t="str">
        <f>"41.73"</f>
        <v>41.73</v>
      </c>
      <c r="BG594" t="str">
        <f>"22.44"</f>
        <v>22.44</v>
      </c>
      <c r="BH594" t="str">
        <f>"92.13"</f>
        <v>92.13</v>
      </c>
      <c r="BI594" t="str">
        <f>"209.44"</f>
        <v>209.44</v>
      </c>
      <c r="BY594" t="str">
        <f>"49.93"</f>
        <v>49.93</v>
      </c>
      <c r="BZ594" t="str">
        <f>"1.414"</f>
        <v>1.414</v>
      </c>
      <c r="CA594" t="s">
        <v>431</v>
      </c>
      <c r="CB594" t="s">
        <v>4976</v>
      </c>
      <c r="CC594" t="s">
        <v>637</v>
      </c>
      <c r="CD594" t="s">
        <v>3059</v>
      </c>
      <c r="CE594" t="s">
        <v>4976</v>
      </c>
      <c r="CF594" t="s">
        <v>2073</v>
      </c>
      <c r="CG594" t="s">
        <v>3059</v>
      </c>
      <c r="CR594" t="s">
        <v>400</v>
      </c>
      <c r="CS594">
        <v>0</v>
      </c>
      <c r="CT594" t="s">
        <v>400</v>
      </c>
      <c r="CV594">
        <v>2</v>
      </c>
      <c r="CW594" t="s">
        <v>402</v>
      </c>
      <c r="CX594" t="s">
        <v>403</v>
      </c>
      <c r="CY594" t="s">
        <v>954</v>
      </c>
      <c r="DA594">
        <v>18.14</v>
      </c>
      <c r="DB594">
        <v>40</v>
      </c>
      <c r="DC594">
        <v>2</v>
      </c>
      <c r="DJ594" t="s">
        <v>982</v>
      </c>
      <c r="DK594" t="s">
        <v>6661</v>
      </c>
      <c r="DX594" t="s">
        <v>540</v>
      </c>
      <c r="EM594" t="s">
        <v>402</v>
      </c>
      <c r="EN594">
        <v>3</v>
      </c>
      <c r="EZ594" t="s">
        <v>7738</v>
      </c>
      <c r="FA594" t="s">
        <v>6662</v>
      </c>
      <c r="FB594" t="s">
        <v>5043</v>
      </c>
      <c r="FC594" t="s">
        <v>4976</v>
      </c>
      <c r="FD594" t="s">
        <v>637</v>
      </c>
      <c r="FE594" t="s">
        <v>3059</v>
      </c>
      <c r="FF594">
        <v>0</v>
      </c>
      <c r="FH594" t="s">
        <v>6663</v>
      </c>
      <c r="FI594">
        <v>2</v>
      </c>
      <c r="FJ594" t="s">
        <v>960</v>
      </c>
      <c r="FK594" t="s">
        <v>1611</v>
      </c>
      <c r="FL594">
        <v>0</v>
      </c>
      <c r="FM594" t="s">
        <v>402</v>
      </c>
      <c r="FN594" t="s">
        <v>983</v>
      </c>
      <c r="FO594" t="s">
        <v>984</v>
      </c>
      <c r="FQ594">
        <v>0</v>
      </c>
      <c r="GB594" t="s">
        <v>4976</v>
      </c>
      <c r="GC594" t="s">
        <v>603</v>
      </c>
      <c r="GD594" t="s">
        <v>3059</v>
      </c>
      <c r="GR594" t="s">
        <v>4976</v>
      </c>
      <c r="GT594" t="s">
        <v>11471</v>
      </c>
      <c r="GV594" t="s">
        <v>3059</v>
      </c>
      <c r="GX594" t="s">
        <v>1357</v>
      </c>
      <c r="HI594" t="s">
        <v>402</v>
      </c>
    </row>
    <row r="595" spans="1:217" x14ac:dyDescent="0.25">
      <c r="A595" t="s">
        <v>11472</v>
      </c>
      <c r="B595" t="str">
        <f>"801542057848"</f>
        <v>801542057848</v>
      </c>
      <c r="C595" t="s">
        <v>11450</v>
      </c>
      <c r="D595" t="s">
        <v>722</v>
      </c>
      <c r="E595" t="s">
        <v>964</v>
      </c>
      <c r="F595" t="s">
        <v>965</v>
      </c>
      <c r="G595" t="str">
        <f>"38"</f>
        <v>38</v>
      </c>
      <c r="H595" t="str">
        <f>"19"</f>
        <v>19</v>
      </c>
      <c r="I595" t="str">
        <f>"84"</f>
        <v>84</v>
      </c>
      <c r="J595" t="str">
        <f>"166.67"</f>
        <v>166.67</v>
      </c>
      <c r="K595" t="s">
        <v>9067</v>
      </c>
      <c r="L595" t="s">
        <v>724</v>
      </c>
      <c r="N595" t="s">
        <v>1970</v>
      </c>
      <c r="O595" t="s">
        <v>372</v>
      </c>
      <c r="T595" t="s">
        <v>373</v>
      </c>
      <c r="U595" t="s">
        <v>373</v>
      </c>
      <c r="V595" t="s">
        <v>11473</v>
      </c>
      <c r="W595" t="s">
        <v>11474</v>
      </c>
      <c r="X595" t="s">
        <v>11475</v>
      </c>
      <c r="Y595" t="s">
        <v>11476</v>
      </c>
      <c r="Z595" t="s">
        <v>11477</v>
      </c>
      <c r="AA595" t="s">
        <v>11478</v>
      </c>
      <c r="AB595" t="s">
        <v>11479</v>
      </c>
      <c r="AC595" t="s">
        <v>11480</v>
      </c>
      <c r="AD595" t="s">
        <v>11481</v>
      </c>
      <c r="AE595" t="s">
        <v>11482</v>
      </c>
      <c r="AF595" t="s">
        <v>11483</v>
      </c>
      <c r="AG595" t="s">
        <v>11484</v>
      </c>
      <c r="AH595" t="s">
        <v>11485</v>
      </c>
      <c r="AI595" t="s">
        <v>11486</v>
      </c>
      <c r="AJ595" t="s">
        <v>11487</v>
      </c>
      <c r="AK595" t="s">
        <v>11488</v>
      </c>
      <c r="AL595" t="s">
        <v>11489</v>
      </c>
      <c r="AM595" t="s">
        <v>11490</v>
      </c>
      <c r="BA595" t="str">
        <f>"4199"</f>
        <v>4199</v>
      </c>
      <c r="BB595" t="str">
        <f>"1765"</f>
        <v>1765</v>
      </c>
      <c r="BC595" t="s">
        <v>388</v>
      </c>
      <c r="BD595" t="str">
        <f t="shared" si="143"/>
        <v>1</v>
      </c>
      <c r="BE595" t="s">
        <v>389</v>
      </c>
      <c r="BF595" t="str">
        <f>"41.73"</f>
        <v>41.73</v>
      </c>
      <c r="BG595" t="str">
        <f>"22.44"</f>
        <v>22.44</v>
      </c>
      <c r="BH595" t="str">
        <f>"92.13"</f>
        <v>92.13</v>
      </c>
      <c r="BI595" t="str">
        <f>"209.44"</f>
        <v>209.44</v>
      </c>
      <c r="BY595" t="str">
        <f>"49.93"</f>
        <v>49.93</v>
      </c>
      <c r="BZ595" t="str">
        <f>"1.414"</f>
        <v>1.414</v>
      </c>
      <c r="CA595" t="s">
        <v>495</v>
      </c>
      <c r="CB595" t="s">
        <v>4976</v>
      </c>
      <c r="CC595" t="s">
        <v>637</v>
      </c>
      <c r="CD595" t="s">
        <v>3059</v>
      </c>
      <c r="CE595" t="s">
        <v>4976</v>
      </c>
      <c r="CF595" t="s">
        <v>2073</v>
      </c>
      <c r="CG595" t="s">
        <v>3059</v>
      </c>
      <c r="CR595" t="s">
        <v>400</v>
      </c>
      <c r="CS595">
        <v>0</v>
      </c>
      <c r="CT595" t="s">
        <v>400</v>
      </c>
      <c r="CV595">
        <v>2</v>
      </c>
      <c r="CW595" t="s">
        <v>402</v>
      </c>
      <c r="CX595" t="s">
        <v>403</v>
      </c>
      <c r="CY595" t="s">
        <v>954</v>
      </c>
      <c r="DA595">
        <v>18.14</v>
      </c>
      <c r="DB595">
        <v>40</v>
      </c>
      <c r="DC595">
        <v>2</v>
      </c>
      <c r="DJ595" t="s">
        <v>982</v>
      </c>
      <c r="DK595" t="s">
        <v>6661</v>
      </c>
      <c r="DX595" t="s">
        <v>540</v>
      </c>
      <c r="EM595" t="s">
        <v>402</v>
      </c>
      <c r="EN595">
        <v>3</v>
      </c>
      <c r="EZ595" t="s">
        <v>7738</v>
      </c>
      <c r="FA595" t="s">
        <v>6662</v>
      </c>
      <c r="FB595" t="s">
        <v>5043</v>
      </c>
      <c r="FC595" t="s">
        <v>4976</v>
      </c>
      <c r="FD595" t="s">
        <v>637</v>
      </c>
      <c r="FE595" t="s">
        <v>3059</v>
      </c>
      <c r="FF595">
        <v>0</v>
      </c>
      <c r="FH595" t="s">
        <v>6663</v>
      </c>
      <c r="FI595">
        <v>2</v>
      </c>
      <c r="FJ595" t="s">
        <v>960</v>
      </c>
      <c r="FK595" t="s">
        <v>1611</v>
      </c>
      <c r="FL595">
        <v>0</v>
      </c>
      <c r="FM595" t="s">
        <v>402</v>
      </c>
      <c r="FN595" t="s">
        <v>983</v>
      </c>
      <c r="FO595" t="s">
        <v>984</v>
      </c>
      <c r="FQ595">
        <v>0</v>
      </c>
      <c r="GB595" t="s">
        <v>4976</v>
      </c>
      <c r="GC595" t="s">
        <v>603</v>
      </c>
      <c r="GD595" t="s">
        <v>3059</v>
      </c>
      <c r="GR595" t="s">
        <v>4976</v>
      </c>
      <c r="GT595" t="s">
        <v>11471</v>
      </c>
      <c r="GV595" t="s">
        <v>3059</v>
      </c>
      <c r="GX595" t="s">
        <v>1357</v>
      </c>
      <c r="HI595" t="s">
        <v>402</v>
      </c>
    </row>
    <row r="596" spans="1:217" x14ac:dyDescent="0.25">
      <c r="A596" t="s">
        <v>11491</v>
      </c>
      <c r="B596" t="str">
        <f>"801542245771"</f>
        <v>801542245771</v>
      </c>
      <c r="C596" t="s">
        <v>11492</v>
      </c>
      <c r="D596" t="s">
        <v>722</v>
      </c>
      <c r="E596" t="s">
        <v>964</v>
      </c>
      <c r="F596" t="s">
        <v>965</v>
      </c>
      <c r="G596" t="str">
        <f>"38"</f>
        <v>38</v>
      </c>
      <c r="H596" t="str">
        <f>"19"</f>
        <v>19</v>
      </c>
      <c r="I596" t="str">
        <f>"84"</f>
        <v>84</v>
      </c>
      <c r="J596" t="str">
        <f>"169.75"</f>
        <v>169.75</v>
      </c>
      <c r="K596" t="s">
        <v>11493</v>
      </c>
      <c r="L596" t="s">
        <v>6705</v>
      </c>
      <c r="N596" t="s">
        <v>1970</v>
      </c>
      <c r="O596" t="s">
        <v>372</v>
      </c>
      <c r="T596" t="s">
        <v>373</v>
      </c>
      <c r="U596" t="s">
        <v>373</v>
      </c>
      <c r="V596" t="s">
        <v>11494</v>
      </c>
      <c r="W596" t="s">
        <v>11495</v>
      </c>
      <c r="X596" t="s">
        <v>11496</v>
      </c>
      <c r="Y596" t="s">
        <v>11497</v>
      </c>
      <c r="Z596" t="s">
        <v>11498</v>
      </c>
      <c r="AA596" t="s">
        <v>11499</v>
      </c>
      <c r="AB596" t="s">
        <v>11500</v>
      </c>
      <c r="AC596" t="s">
        <v>11501</v>
      </c>
      <c r="AD596" t="s">
        <v>11502</v>
      </c>
      <c r="AE596" t="s">
        <v>11503</v>
      </c>
      <c r="AF596" t="s">
        <v>11504</v>
      </c>
      <c r="AG596" t="s">
        <v>11505</v>
      </c>
      <c r="AH596" t="s">
        <v>11506</v>
      </c>
      <c r="AI596" t="s">
        <v>11507</v>
      </c>
      <c r="AJ596" t="s">
        <v>11508</v>
      </c>
      <c r="AK596" t="s">
        <v>11509</v>
      </c>
      <c r="AL596" t="s">
        <v>11510</v>
      </c>
      <c r="AM596" t="s">
        <v>11511</v>
      </c>
      <c r="BA596" t="str">
        <f>"4199"</f>
        <v>4199</v>
      </c>
      <c r="BB596" t="str">
        <f>"1765"</f>
        <v>1765</v>
      </c>
      <c r="BC596" t="s">
        <v>388</v>
      </c>
      <c r="BD596" t="str">
        <f t="shared" si="143"/>
        <v>1</v>
      </c>
      <c r="BE596" t="s">
        <v>389</v>
      </c>
      <c r="BF596" t="str">
        <f>"88.78"</f>
        <v>88.78</v>
      </c>
      <c r="BG596" t="str">
        <f>"22.05"</f>
        <v>22.05</v>
      </c>
      <c r="BH596" t="str">
        <f>"45.67"</f>
        <v>45.67</v>
      </c>
      <c r="BI596" t="str">
        <f>"262.35"</f>
        <v>262.35</v>
      </c>
      <c r="BY596" t="str">
        <f>"51.74"</f>
        <v>51.74</v>
      </c>
      <c r="BZ596" t="str">
        <f>"1.465"</f>
        <v>1.465</v>
      </c>
      <c r="CA596" t="s">
        <v>495</v>
      </c>
      <c r="CB596" t="s">
        <v>4976</v>
      </c>
      <c r="CC596" t="s">
        <v>637</v>
      </c>
      <c r="CD596" t="s">
        <v>3059</v>
      </c>
      <c r="CE596" t="s">
        <v>4976</v>
      </c>
      <c r="CF596" t="s">
        <v>2073</v>
      </c>
      <c r="CG596" t="s">
        <v>3059</v>
      </c>
      <c r="CR596" t="s">
        <v>400</v>
      </c>
      <c r="CS596">
        <v>0</v>
      </c>
      <c r="CT596" t="s">
        <v>400</v>
      </c>
      <c r="CV596">
        <v>2</v>
      </c>
      <c r="CW596" t="s">
        <v>402</v>
      </c>
      <c r="CX596" t="s">
        <v>403</v>
      </c>
      <c r="CY596" t="s">
        <v>954</v>
      </c>
      <c r="DA596">
        <v>18.14</v>
      </c>
      <c r="DB596">
        <v>40</v>
      </c>
      <c r="DC596">
        <v>2</v>
      </c>
      <c r="DJ596" t="s">
        <v>982</v>
      </c>
      <c r="DK596" t="s">
        <v>6661</v>
      </c>
      <c r="DX596" t="s">
        <v>540</v>
      </c>
      <c r="EM596" t="s">
        <v>402</v>
      </c>
      <c r="EN596">
        <v>3</v>
      </c>
      <c r="EZ596" t="s">
        <v>7738</v>
      </c>
      <c r="FA596" t="s">
        <v>6662</v>
      </c>
      <c r="FB596" t="s">
        <v>5043</v>
      </c>
      <c r="FC596" t="s">
        <v>4976</v>
      </c>
      <c r="FD596" t="s">
        <v>637</v>
      </c>
      <c r="FE596" t="s">
        <v>3059</v>
      </c>
      <c r="FF596">
        <v>0</v>
      </c>
      <c r="FH596" t="s">
        <v>6663</v>
      </c>
      <c r="FI596">
        <v>2</v>
      </c>
      <c r="FJ596" t="s">
        <v>960</v>
      </c>
      <c r="FK596" t="s">
        <v>1611</v>
      </c>
      <c r="FL596">
        <v>0</v>
      </c>
      <c r="FM596" t="s">
        <v>402</v>
      </c>
      <c r="FN596" t="s">
        <v>983</v>
      </c>
      <c r="FO596" t="s">
        <v>984</v>
      </c>
      <c r="FQ596">
        <v>0</v>
      </c>
      <c r="GB596" t="s">
        <v>4976</v>
      </c>
      <c r="GC596" t="s">
        <v>603</v>
      </c>
      <c r="GD596" t="s">
        <v>3059</v>
      </c>
      <c r="GR596" t="s">
        <v>4976</v>
      </c>
      <c r="GT596" t="s">
        <v>11471</v>
      </c>
      <c r="GV596" t="s">
        <v>3059</v>
      </c>
      <c r="GX596" t="s">
        <v>1357</v>
      </c>
      <c r="HI596" t="s">
        <v>402</v>
      </c>
    </row>
    <row r="597" spans="1:217" x14ac:dyDescent="0.25">
      <c r="A597" t="s">
        <v>11512</v>
      </c>
      <c r="B597" t="str">
        <f>"801542032623"</f>
        <v>801542032623</v>
      </c>
      <c r="C597" t="s">
        <v>11513</v>
      </c>
      <c r="D597" t="s">
        <v>5390</v>
      </c>
      <c r="E597" t="s">
        <v>515</v>
      </c>
      <c r="F597" t="s">
        <v>516</v>
      </c>
      <c r="G597" t="str">
        <f>"35.5"</f>
        <v>35.5</v>
      </c>
      <c r="H597" t="str">
        <f>"39"</f>
        <v>39</v>
      </c>
      <c r="I597" t="str">
        <f>"32.75"</f>
        <v>32.75</v>
      </c>
      <c r="J597" t="str">
        <f>"63.49"</f>
        <v>63.49</v>
      </c>
      <c r="K597" t="s">
        <v>6788</v>
      </c>
      <c r="L597" t="s">
        <v>1518</v>
      </c>
      <c r="N597" t="s">
        <v>371</v>
      </c>
      <c r="O597" t="s">
        <v>775</v>
      </c>
      <c r="T597" t="s">
        <v>373</v>
      </c>
      <c r="U597" t="s">
        <v>373</v>
      </c>
      <c r="V597" t="s">
        <v>11514</v>
      </c>
      <c r="W597" t="s">
        <v>11515</v>
      </c>
      <c r="X597" t="s">
        <v>11516</v>
      </c>
      <c r="Y597" t="s">
        <v>11517</v>
      </c>
      <c r="Z597" t="s">
        <v>11518</v>
      </c>
      <c r="AA597" t="s">
        <v>11519</v>
      </c>
      <c r="AB597" t="s">
        <v>11520</v>
      </c>
      <c r="AC597" t="s">
        <v>11521</v>
      </c>
      <c r="AD597" t="s">
        <v>11522</v>
      </c>
      <c r="AE597" t="s">
        <v>11523</v>
      </c>
      <c r="AF597" t="s">
        <v>11524</v>
      </c>
      <c r="AG597" t="s">
        <v>11525</v>
      </c>
      <c r="AH597" t="s">
        <v>11526</v>
      </c>
      <c r="AI597" t="s">
        <v>11527</v>
      </c>
      <c r="AJ597" t="s">
        <v>11528</v>
      </c>
      <c r="BA597" t="str">
        <f>"1249"</f>
        <v>1249</v>
      </c>
      <c r="BB597" t="str">
        <f>"525"</f>
        <v>525</v>
      </c>
      <c r="BC597" t="s">
        <v>388</v>
      </c>
      <c r="BD597" t="str">
        <f t="shared" si="143"/>
        <v>1</v>
      </c>
      <c r="BE597" t="s">
        <v>739</v>
      </c>
      <c r="BF597" t="str">
        <f>"35.83"</f>
        <v>35.83</v>
      </c>
      <c r="BG597" t="str">
        <f>"38.98"</f>
        <v>38.98</v>
      </c>
      <c r="BH597" t="str">
        <f>"31.89"</f>
        <v>31.89</v>
      </c>
      <c r="BI597" t="str">
        <f>"78.48"</f>
        <v>78.48</v>
      </c>
      <c r="BY597" t="str">
        <f>"21.01"</f>
        <v>21.01</v>
      </c>
      <c r="BZ597" t="str">
        <f>"0.595"</f>
        <v>0.595</v>
      </c>
      <c r="CA597" t="s">
        <v>495</v>
      </c>
      <c r="CK597" t="s">
        <v>1553</v>
      </c>
      <c r="CL597" t="s">
        <v>981</v>
      </c>
      <c r="CN597">
        <v>0</v>
      </c>
      <c r="CO597">
        <v>0</v>
      </c>
      <c r="CP597" t="s">
        <v>437</v>
      </c>
      <c r="CQ597" t="s">
        <v>399</v>
      </c>
      <c r="CX597" t="s">
        <v>403</v>
      </c>
      <c r="CY597" t="s">
        <v>400</v>
      </c>
      <c r="CZ597">
        <v>0</v>
      </c>
      <c r="DD597">
        <v>100000</v>
      </c>
      <c r="DE597" t="s">
        <v>439</v>
      </c>
      <c r="DH597">
        <v>0</v>
      </c>
      <c r="DI597">
        <v>1</v>
      </c>
      <c r="DK597" t="s">
        <v>11284</v>
      </c>
      <c r="DL597">
        <v>0</v>
      </c>
      <c r="DM597" t="s">
        <v>538</v>
      </c>
      <c r="DN597" t="s">
        <v>1557</v>
      </c>
      <c r="DO597" t="s">
        <v>1634</v>
      </c>
      <c r="DP597" t="s">
        <v>1055</v>
      </c>
      <c r="DT597" t="s">
        <v>797</v>
      </c>
      <c r="DX597" t="s">
        <v>827</v>
      </c>
      <c r="DY597" t="s">
        <v>1039</v>
      </c>
      <c r="DZ597" t="s">
        <v>2129</v>
      </c>
      <c r="EA597" t="s">
        <v>6161</v>
      </c>
      <c r="EG597" t="s">
        <v>2029</v>
      </c>
      <c r="EP597" t="s">
        <v>791</v>
      </c>
      <c r="EQ597" t="s">
        <v>1553</v>
      </c>
      <c r="ER597">
        <v>0</v>
      </c>
      <c r="ES597">
        <v>0</v>
      </c>
      <c r="EU597">
        <v>0</v>
      </c>
    </row>
    <row r="598" spans="1:217" x14ac:dyDescent="0.25">
      <c r="A598" t="s">
        <v>11529</v>
      </c>
      <c r="B598" t="str">
        <f>"801542032616"</f>
        <v>801542032616</v>
      </c>
      <c r="C598" t="s">
        <v>11530</v>
      </c>
      <c r="D598" t="s">
        <v>5390</v>
      </c>
      <c r="E598" t="s">
        <v>515</v>
      </c>
      <c r="F598" t="s">
        <v>516</v>
      </c>
      <c r="G598" t="str">
        <f>"35.5"</f>
        <v>35.5</v>
      </c>
      <c r="H598" t="str">
        <f>"39"</f>
        <v>39</v>
      </c>
      <c r="I598" t="str">
        <f>"32.75"</f>
        <v>32.75</v>
      </c>
      <c r="J598" t="str">
        <f>"63.49"</f>
        <v>63.49</v>
      </c>
      <c r="K598" t="s">
        <v>4763</v>
      </c>
      <c r="L598" t="s">
        <v>1518</v>
      </c>
      <c r="N598" t="s">
        <v>371</v>
      </c>
      <c r="O598" t="s">
        <v>775</v>
      </c>
      <c r="T598" t="s">
        <v>402</v>
      </c>
      <c r="U598" t="s">
        <v>373</v>
      </c>
      <c r="V598" t="s">
        <v>11531</v>
      </c>
      <c r="W598" t="s">
        <v>11532</v>
      </c>
      <c r="X598" t="s">
        <v>11533</v>
      </c>
      <c r="Y598" t="s">
        <v>11534</v>
      </c>
      <c r="Z598" t="s">
        <v>11535</v>
      </c>
      <c r="AA598" t="s">
        <v>11536</v>
      </c>
      <c r="AB598" t="s">
        <v>11537</v>
      </c>
      <c r="AC598" t="s">
        <v>11538</v>
      </c>
      <c r="AD598" t="s">
        <v>11539</v>
      </c>
      <c r="AE598" t="s">
        <v>11540</v>
      </c>
      <c r="AF598" t="s">
        <v>11541</v>
      </c>
      <c r="AG598" t="s">
        <v>11542</v>
      </c>
      <c r="AH598" t="s">
        <v>11543</v>
      </c>
      <c r="AI598" t="s">
        <v>11544</v>
      </c>
      <c r="BA598" t="str">
        <f>"1249"</f>
        <v>1249</v>
      </c>
      <c r="BB598" t="str">
        <f>"525"</f>
        <v>525</v>
      </c>
      <c r="BC598" t="s">
        <v>388</v>
      </c>
      <c r="BD598" t="str">
        <f t="shared" si="143"/>
        <v>1</v>
      </c>
      <c r="BE598" t="s">
        <v>739</v>
      </c>
      <c r="BF598" t="str">
        <f>"35.83"</f>
        <v>35.83</v>
      </c>
      <c r="BG598" t="str">
        <f>"38.98"</f>
        <v>38.98</v>
      </c>
      <c r="BH598" t="str">
        <f>"31.89"</f>
        <v>31.89</v>
      </c>
      <c r="BI598" t="str">
        <f>"78.48"</f>
        <v>78.48</v>
      </c>
      <c r="BY598" t="str">
        <f>"21.01"</f>
        <v>21.01</v>
      </c>
      <c r="BZ598" t="str">
        <f>"0.595"</f>
        <v>0.595</v>
      </c>
      <c r="CA598" t="s">
        <v>495</v>
      </c>
      <c r="CK598" t="s">
        <v>1553</v>
      </c>
      <c r="CL598" t="s">
        <v>981</v>
      </c>
      <c r="CN598">
        <v>0</v>
      </c>
      <c r="CO598">
        <v>0</v>
      </c>
      <c r="CP598" t="s">
        <v>437</v>
      </c>
      <c r="CQ598" t="s">
        <v>399</v>
      </c>
      <c r="CX598" t="s">
        <v>403</v>
      </c>
      <c r="CY598" t="s">
        <v>400</v>
      </c>
      <c r="CZ598">
        <v>0</v>
      </c>
      <c r="DD598">
        <v>100000</v>
      </c>
      <c r="DE598" t="s">
        <v>439</v>
      </c>
      <c r="DH598">
        <v>0</v>
      </c>
      <c r="DI598">
        <v>1</v>
      </c>
      <c r="DK598" t="s">
        <v>11284</v>
      </c>
      <c r="DL598">
        <v>0</v>
      </c>
      <c r="DM598" t="s">
        <v>538</v>
      </c>
      <c r="DN598" t="s">
        <v>1557</v>
      </c>
      <c r="DO598" t="s">
        <v>1634</v>
      </c>
      <c r="DP598" t="s">
        <v>1055</v>
      </c>
      <c r="DT598" t="s">
        <v>797</v>
      </c>
      <c r="DX598" t="s">
        <v>827</v>
      </c>
      <c r="DY598" t="s">
        <v>1039</v>
      </c>
      <c r="DZ598" t="s">
        <v>2129</v>
      </c>
      <c r="EA598" t="s">
        <v>6161</v>
      </c>
      <c r="EG598" t="s">
        <v>2029</v>
      </c>
      <c r="EP598" t="s">
        <v>791</v>
      </c>
      <c r="EQ598" t="s">
        <v>1553</v>
      </c>
      <c r="ER598">
        <v>0</v>
      </c>
      <c r="ES598">
        <v>0</v>
      </c>
      <c r="EU598">
        <v>0</v>
      </c>
    </row>
    <row r="599" spans="1:217" x14ac:dyDescent="0.25">
      <c r="A599" t="s">
        <v>11545</v>
      </c>
      <c r="B599" t="str">
        <f>"801542803803"</f>
        <v>801542803803</v>
      </c>
      <c r="C599" t="s">
        <v>11546</v>
      </c>
      <c r="D599" t="s">
        <v>1592</v>
      </c>
      <c r="E599" t="s">
        <v>515</v>
      </c>
      <c r="F599" t="s">
        <v>516</v>
      </c>
      <c r="G599" t="str">
        <f>"55"</f>
        <v>55</v>
      </c>
      <c r="H599" t="str">
        <f>"36.5"</f>
        <v>36.5</v>
      </c>
      <c r="I599" t="str">
        <f>"27.25"</f>
        <v>27.25</v>
      </c>
      <c r="J599" t="str">
        <f>"116.4"</f>
        <v>116.4</v>
      </c>
      <c r="K599" t="s">
        <v>11547</v>
      </c>
      <c r="L599" t="s">
        <v>1518</v>
      </c>
      <c r="N599" t="s">
        <v>416</v>
      </c>
      <c r="O599" t="s">
        <v>775</v>
      </c>
      <c r="T599" t="s">
        <v>373</v>
      </c>
      <c r="U599" t="s">
        <v>373</v>
      </c>
      <c r="V599" t="s">
        <v>11548</v>
      </c>
      <c r="W599" t="s">
        <v>11549</v>
      </c>
      <c r="X599" t="s">
        <v>11550</v>
      </c>
      <c r="Y599" t="s">
        <v>11551</v>
      </c>
      <c r="Z599" t="s">
        <v>11552</v>
      </c>
      <c r="AA599" t="s">
        <v>11553</v>
      </c>
      <c r="AB599" t="s">
        <v>11554</v>
      </c>
      <c r="AC599" t="s">
        <v>11555</v>
      </c>
      <c r="AD599" t="s">
        <v>11556</v>
      </c>
      <c r="AE599" t="s">
        <v>11557</v>
      </c>
      <c r="AF599" t="s">
        <v>11558</v>
      </c>
      <c r="AG599" t="s">
        <v>11559</v>
      </c>
      <c r="AH599" t="s">
        <v>11560</v>
      </c>
      <c r="BA599" t="str">
        <f>"2599"</f>
        <v>2599</v>
      </c>
      <c r="BB599" t="str">
        <f>"1095"</f>
        <v>1095</v>
      </c>
      <c r="BC599" t="s">
        <v>665</v>
      </c>
      <c r="BD599" t="str">
        <f t="shared" si="143"/>
        <v>1</v>
      </c>
      <c r="BE599" t="s">
        <v>9942</v>
      </c>
      <c r="BF599" t="str">
        <f>"57.48"</f>
        <v>57.48</v>
      </c>
      <c r="BG599" t="str">
        <f>"39.37"</f>
        <v>39.37</v>
      </c>
      <c r="BH599" t="str">
        <f>"30.31"</f>
        <v>30.31</v>
      </c>
      <c r="BI599" t="str">
        <f>"134.48"</f>
        <v>134.48</v>
      </c>
      <c r="BY599" t="str">
        <f>"39.69"</f>
        <v>39.69</v>
      </c>
      <c r="BZ599" t="str">
        <f>"1.124"</f>
        <v>1.124</v>
      </c>
      <c r="CA599" t="s">
        <v>390</v>
      </c>
      <c r="CH599" t="s">
        <v>6563</v>
      </c>
      <c r="CI599" t="s">
        <v>4673</v>
      </c>
      <c r="CJ599" t="s">
        <v>9079</v>
      </c>
      <c r="CK599" t="s">
        <v>1342</v>
      </c>
      <c r="CL599" t="s">
        <v>396</v>
      </c>
      <c r="CM599" t="s">
        <v>9079</v>
      </c>
      <c r="CN599">
        <v>0</v>
      </c>
      <c r="CO599">
        <v>0</v>
      </c>
      <c r="CP599" t="s">
        <v>437</v>
      </c>
      <c r="CQ599" t="s">
        <v>438</v>
      </c>
      <c r="CU599" t="s">
        <v>11561</v>
      </c>
      <c r="CX599" t="s">
        <v>1609</v>
      </c>
      <c r="CY599" t="s">
        <v>400</v>
      </c>
      <c r="CZ599">
        <v>0</v>
      </c>
      <c r="DD599">
        <v>0</v>
      </c>
      <c r="DE599" t="s">
        <v>439</v>
      </c>
      <c r="DF599" t="s">
        <v>406</v>
      </c>
      <c r="DH599">
        <v>1</v>
      </c>
      <c r="DI599">
        <v>1</v>
      </c>
      <c r="DK599" t="s">
        <v>11562</v>
      </c>
      <c r="DL599">
        <v>0</v>
      </c>
      <c r="DM599" t="s">
        <v>538</v>
      </c>
      <c r="DN599" t="s">
        <v>11563</v>
      </c>
      <c r="DO599" t="s">
        <v>7533</v>
      </c>
      <c r="DP599" t="s">
        <v>11564</v>
      </c>
      <c r="DT599" t="s">
        <v>1037</v>
      </c>
      <c r="DY599" t="s">
        <v>1342</v>
      </c>
      <c r="DZ599" t="s">
        <v>1158</v>
      </c>
      <c r="EA599" t="s">
        <v>7533</v>
      </c>
      <c r="EG599" t="s">
        <v>641</v>
      </c>
      <c r="ER599">
        <v>0</v>
      </c>
      <c r="ES599">
        <v>0</v>
      </c>
      <c r="EU599">
        <v>0</v>
      </c>
    </row>
    <row r="600" spans="1:217" x14ac:dyDescent="0.25">
      <c r="A600" t="s">
        <v>11565</v>
      </c>
      <c r="B600" t="str">
        <f>"801542803827"</f>
        <v>801542803827</v>
      </c>
      <c r="C600" t="s">
        <v>11566</v>
      </c>
      <c r="D600" t="s">
        <v>1592</v>
      </c>
      <c r="E600" t="s">
        <v>2388</v>
      </c>
      <c r="G600" t="str">
        <f>"56"</f>
        <v>56</v>
      </c>
      <c r="H600" t="str">
        <f>"29.75"</f>
        <v>29.75</v>
      </c>
      <c r="I600" t="str">
        <f>"18"</f>
        <v>18</v>
      </c>
      <c r="J600" t="str">
        <f>"97"</f>
        <v>97</v>
      </c>
      <c r="K600" t="s">
        <v>11547</v>
      </c>
      <c r="L600" t="s">
        <v>1518</v>
      </c>
      <c r="N600" t="s">
        <v>416</v>
      </c>
      <c r="O600" t="s">
        <v>775</v>
      </c>
      <c r="T600" t="s">
        <v>373</v>
      </c>
      <c r="U600" t="s">
        <v>373</v>
      </c>
      <c r="V600" t="s">
        <v>11567</v>
      </c>
      <c r="W600" t="s">
        <v>11568</v>
      </c>
      <c r="X600" t="s">
        <v>11569</v>
      </c>
      <c r="Y600" t="s">
        <v>11570</v>
      </c>
      <c r="Z600" t="s">
        <v>11571</v>
      </c>
      <c r="AA600" t="s">
        <v>11572</v>
      </c>
      <c r="AB600" t="s">
        <v>11573</v>
      </c>
      <c r="AC600" t="s">
        <v>11574</v>
      </c>
      <c r="AD600" t="s">
        <v>11575</v>
      </c>
      <c r="AE600" t="s">
        <v>11576</v>
      </c>
      <c r="AF600" t="s">
        <v>11577</v>
      </c>
      <c r="AG600" t="s">
        <v>11578</v>
      </c>
      <c r="BA600" t="str">
        <f>"1699"</f>
        <v>1699</v>
      </c>
      <c r="BB600" t="str">
        <f>"715"</f>
        <v>715</v>
      </c>
      <c r="BC600" t="s">
        <v>665</v>
      </c>
      <c r="BD600" t="str">
        <f t="shared" si="143"/>
        <v>1</v>
      </c>
      <c r="BE600" t="s">
        <v>9942</v>
      </c>
      <c r="BF600" t="str">
        <f>"59.25"</f>
        <v>59.25</v>
      </c>
      <c r="BG600" t="str">
        <f>"32.87"</f>
        <v>32.87</v>
      </c>
      <c r="BH600" t="str">
        <f>"21.26"</f>
        <v>21.26</v>
      </c>
      <c r="BI600" t="str">
        <f>"116.84"</f>
        <v>116.84</v>
      </c>
      <c r="BY600" t="str">
        <f>"23.98"</f>
        <v>23.98</v>
      </c>
      <c r="BZ600" t="str">
        <f>"0.679"</f>
        <v>0.679</v>
      </c>
      <c r="CA600" t="s">
        <v>390</v>
      </c>
      <c r="CK600" t="s">
        <v>11579</v>
      </c>
      <c r="CL600" t="s">
        <v>2595</v>
      </c>
      <c r="CM600" t="s">
        <v>11580</v>
      </c>
      <c r="CO600">
        <v>0</v>
      </c>
      <c r="CQ600" t="s">
        <v>438</v>
      </c>
      <c r="CX600" t="s">
        <v>1609</v>
      </c>
      <c r="CZ600">
        <v>0</v>
      </c>
      <c r="DD600">
        <v>0</v>
      </c>
      <c r="DE600" t="s">
        <v>439</v>
      </c>
      <c r="DF600" t="s">
        <v>632</v>
      </c>
      <c r="DG600" t="s">
        <v>407</v>
      </c>
      <c r="DH600">
        <v>1</v>
      </c>
      <c r="DI600">
        <v>1</v>
      </c>
      <c r="DJ600" t="s">
        <v>408</v>
      </c>
      <c r="DK600" t="s">
        <v>11562</v>
      </c>
      <c r="DL600">
        <v>0</v>
      </c>
      <c r="DM600" t="s">
        <v>538</v>
      </c>
      <c r="DY600" t="s">
        <v>11581</v>
      </c>
      <c r="DZ600" t="s">
        <v>7698</v>
      </c>
      <c r="EG600" t="s">
        <v>1513</v>
      </c>
    </row>
    <row r="601" spans="1:217" x14ac:dyDescent="0.25">
      <c r="A601" t="s">
        <v>11582</v>
      </c>
      <c r="B601" t="str">
        <f>"801542066413"</f>
        <v>801542066413</v>
      </c>
      <c r="C601" t="s">
        <v>11583</v>
      </c>
      <c r="D601" t="s">
        <v>722</v>
      </c>
      <c r="E601" t="s">
        <v>930</v>
      </c>
      <c r="G601" t="str">
        <f>"82"</f>
        <v>82</v>
      </c>
      <c r="H601" t="str">
        <f>"20"</f>
        <v>20</v>
      </c>
      <c r="I601" t="str">
        <f>"34"</f>
        <v>34</v>
      </c>
      <c r="J601" t="str">
        <f>"180.78"</f>
        <v>180.78</v>
      </c>
      <c r="K601" t="s">
        <v>9067</v>
      </c>
      <c r="L601" t="s">
        <v>9068</v>
      </c>
      <c r="N601" t="s">
        <v>1970</v>
      </c>
      <c r="O601" t="s">
        <v>372</v>
      </c>
      <c r="T601" t="s">
        <v>402</v>
      </c>
      <c r="U601" t="s">
        <v>373</v>
      </c>
      <c r="V601" t="s">
        <v>11584</v>
      </c>
      <c r="W601" t="s">
        <v>11585</v>
      </c>
      <c r="X601" t="s">
        <v>11586</v>
      </c>
      <c r="Y601" t="s">
        <v>11587</v>
      </c>
      <c r="Z601" t="s">
        <v>11588</v>
      </c>
      <c r="AA601" t="s">
        <v>11589</v>
      </c>
      <c r="AB601" t="s">
        <v>11590</v>
      </c>
      <c r="AC601" t="s">
        <v>11591</v>
      </c>
      <c r="AD601" t="s">
        <v>11592</v>
      </c>
      <c r="AE601" t="s">
        <v>11593</v>
      </c>
      <c r="AF601" t="s">
        <v>11594</v>
      </c>
      <c r="AG601" t="s">
        <v>11595</v>
      </c>
      <c r="AH601" t="s">
        <v>11596</v>
      </c>
      <c r="AI601" t="s">
        <v>11597</v>
      </c>
      <c r="AJ601" t="s">
        <v>11598</v>
      </c>
      <c r="AK601" t="s">
        <v>11599</v>
      </c>
      <c r="BA601" t="str">
        <f>"3799"</f>
        <v>3799</v>
      </c>
      <c r="BB601" t="str">
        <f>"1600"</f>
        <v>1600</v>
      </c>
      <c r="BC601" t="s">
        <v>388</v>
      </c>
      <c r="BD601" t="str">
        <f t="shared" si="143"/>
        <v>1</v>
      </c>
      <c r="BE601" t="s">
        <v>389</v>
      </c>
      <c r="BF601" t="str">
        <f>"85.04"</f>
        <v>85.04</v>
      </c>
      <c r="BG601" t="str">
        <f>"23.62"</f>
        <v>23.62</v>
      </c>
      <c r="BH601" t="str">
        <f>"43.5"</f>
        <v>43.5</v>
      </c>
      <c r="BI601" t="str">
        <f>"279.98"</f>
        <v>279.98</v>
      </c>
      <c r="BY601" t="str">
        <f>"50.57"</f>
        <v>50.57</v>
      </c>
      <c r="BZ601" t="str">
        <f>"1.432"</f>
        <v>1.432</v>
      </c>
      <c r="CA601" t="s">
        <v>431</v>
      </c>
      <c r="CE601" t="s">
        <v>5043</v>
      </c>
      <c r="CF601" t="s">
        <v>1056</v>
      </c>
      <c r="CG601" t="s">
        <v>789</v>
      </c>
      <c r="CR601" t="s">
        <v>400</v>
      </c>
      <c r="CS601">
        <v>0</v>
      </c>
      <c r="CT601" t="s">
        <v>400</v>
      </c>
      <c r="CV601">
        <v>0</v>
      </c>
      <c r="CX601" t="s">
        <v>953</v>
      </c>
      <c r="CY601" t="s">
        <v>954</v>
      </c>
      <c r="DA601">
        <v>18.14</v>
      </c>
      <c r="DB601">
        <v>40</v>
      </c>
      <c r="DC601">
        <v>2</v>
      </c>
      <c r="DK601" t="s">
        <v>6661</v>
      </c>
      <c r="DM601" t="s">
        <v>669</v>
      </c>
      <c r="DX601" t="s">
        <v>2072</v>
      </c>
      <c r="EM601" t="s">
        <v>402</v>
      </c>
      <c r="EN601">
        <v>4</v>
      </c>
      <c r="EZ601" t="s">
        <v>5547</v>
      </c>
      <c r="FA601" t="s">
        <v>3518</v>
      </c>
      <c r="FB601" t="s">
        <v>11600</v>
      </c>
      <c r="FC601" t="s">
        <v>5043</v>
      </c>
      <c r="FD601" t="s">
        <v>637</v>
      </c>
      <c r="FE601" t="s">
        <v>789</v>
      </c>
      <c r="FF601">
        <v>0</v>
      </c>
      <c r="FG601" t="s">
        <v>402</v>
      </c>
      <c r="FH601" t="s">
        <v>6663</v>
      </c>
      <c r="FI601">
        <v>4</v>
      </c>
      <c r="FJ601" t="s">
        <v>960</v>
      </c>
      <c r="FK601" t="s">
        <v>1611</v>
      </c>
      <c r="FL601">
        <v>0</v>
      </c>
      <c r="FM601" t="s">
        <v>402</v>
      </c>
      <c r="FO601" t="s">
        <v>5044</v>
      </c>
      <c r="GX601" t="s">
        <v>475</v>
      </c>
      <c r="HI601" t="s">
        <v>402</v>
      </c>
    </row>
    <row r="602" spans="1:217" x14ac:dyDescent="0.25">
      <c r="A602" t="s">
        <v>11601</v>
      </c>
      <c r="B602" t="str">
        <f>"801542106515"</f>
        <v>801542106515</v>
      </c>
      <c r="C602" t="s">
        <v>11602</v>
      </c>
      <c r="D602" t="s">
        <v>835</v>
      </c>
      <c r="E602" t="s">
        <v>1021</v>
      </c>
      <c r="G602" t="str">
        <f>"78"</f>
        <v>78</v>
      </c>
      <c r="H602" t="str">
        <f>"18"</f>
        <v>18</v>
      </c>
      <c r="I602" t="str">
        <f>"28"</f>
        <v>28</v>
      </c>
      <c r="J602" t="str">
        <f>"184.97"</f>
        <v>184.97</v>
      </c>
      <c r="K602" t="s">
        <v>6528</v>
      </c>
      <c r="N602" t="s">
        <v>1970</v>
      </c>
      <c r="O602" t="s">
        <v>372</v>
      </c>
      <c r="T602" t="s">
        <v>373</v>
      </c>
      <c r="U602" t="s">
        <v>373</v>
      </c>
      <c r="V602" t="s">
        <v>11603</v>
      </c>
      <c r="W602" t="s">
        <v>11604</v>
      </c>
      <c r="X602" t="s">
        <v>11605</v>
      </c>
      <c r="Y602" t="s">
        <v>11606</v>
      </c>
      <c r="Z602" t="s">
        <v>11607</v>
      </c>
      <c r="AA602" t="s">
        <v>11608</v>
      </c>
      <c r="AB602" t="s">
        <v>11609</v>
      </c>
      <c r="AC602" t="s">
        <v>11610</v>
      </c>
      <c r="AD602" t="s">
        <v>11611</v>
      </c>
      <c r="AE602" t="s">
        <v>11612</v>
      </c>
      <c r="AF602" t="s">
        <v>11613</v>
      </c>
      <c r="AG602" t="s">
        <v>11614</v>
      </c>
      <c r="AH602" t="s">
        <v>11615</v>
      </c>
      <c r="AI602" t="s">
        <v>11616</v>
      </c>
      <c r="BA602" t="str">
        <f>"3099"</f>
        <v>3099</v>
      </c>
      <c r="BB602" t="str">
        <f>"1305"</f>
        <v>1305</v>
      </c>
      <c r="BC602" t="s">
        <v>388</v>
      </c>
      <c r="BD602" t="str">
        <f t="shared" si="143"/>
        <v>1</v>
      </c>
      <c r="BE602" t="s">
        <v>389</v>
      </c>
      <c r="BF602" t="str">
        <f>"81.1"</f>
        <v>81.1</v>
      </c>
      <c r="BG602" t="str">
        <f>"21.26"</f>
        <v>21.26</v>
      </c>
      <c r="BH602" t="str">
        <f>"31.1"</f>
        <v>31.1</v>
      </c>
      <c r="BI602" t="str">
        <f>"208.78"</f>
        <v>208.78</v>
      </c>
      <c r="BY602" t="str">
        <f>"31.04"</f>
        <v>31.04</v>
      </c>
      <c r="BZ602" t="str">
        <f>"0.879"</f>
        <v>0.879</v>
      </c>
      <c r="CA602" t="s">
        <v>495</v>
      </c>
      <c r="CE602" t="s">
        <v>6161</v>
      </c>
      <c r="CF602" t="s">
        <v>444</v>
      </c>
      <c r="CG602" t="s">
        <v>1553</v>
      </c>
      <c r="CR602" t="s">
        <v>5068</v>
      </c>
      <c r="CS602">
        <v>6</v>
      </c>
      <c r="CT602" t="s">
        <v>400</v>
      </c>
      <c r="CV602">
        <v>0</v>
      </c>
      <c r="CX602" t="s">
        <v>953</v>
      </c>
      <c r="CY602" t="s">
        <v>954</v>
      </c>
      <c r="DA602">
        <v>18.14</v>
      </c>
      <c r="DB602">
        <v>40</v>
      </c>
      <c r="DC602">
        <v>1</v>
      </c>
      <c r="DK602" t="s">
        <v>11617</v>
      </c>
      <c r="DX602" t="s">
        <v>800</v>
      </c>
      <c r="EM602" t="s">
        <v>402</v>
      </c>
      <c r="EN602">
        <v>1</v>
      </c>
      <c r="EZ602" t="s">
        <v>1134</v>
      </c>
      <c r="FA602" t="s">
        <v>956</v>
      </c>
      <c r="FB602" t="s">
        <v>4034</v>
      </c>
      <c r="FC602" t="s">
        <v>6161</v>
      </c>
      <c r="FD602" t="s">
        <v>956</v>
      </c>
      <c r="FE602" t="s">
        <v>1553</v>
      </c>
      <c r="FG602" t="s">
        <v>402</v>
      </c>
      <c r="FH602" t="s">
        <v>959</v>
      </c>
      <c r="FI602">
        <v>2</v>
      </c>
      <c r="FJ602" t="s">
        <v>960</v>
      </c>
      <c r="FK602" t="s">
        <v>1246</v>
      </c>
      <c r="FM602" t="s">
        <v>402</v>
      </c>
      <c r="FO602" t="s">
        <v>984</v>
      </c>
      <c r="FR602" t="s">
        <v>1056</v>
      </c>
      <c r="FT602" t="s">
        <v>2510</v>
      </c>
      <c r="FV602" t="s">
        <v>1557</v>
      </c>
      <c r="FX602" t="s">
        <v>4210</v>
      </c>
      <c r="FZ602" t="s">
        <v>953</v>
      </c>
      <c r="GE602">
        <v>0</v>
      </c>
      <c r="GX602" t="s">
        <v>475</v>
      </c>
      <c r="HI602" t="s">
        <v>402</v>
      </c>
    </row>
    <row r="603" spans="1:217" x14ac:dyDescent="0.25">
      <c r="A603" t="s">
        <v>11618</v>
      </c>
      <c r="B603" t="str">
        <f>"801542127053"</f>
        <v>801542127053</v>
      </c>
      <c r="C603" t="s">
        <v>11619</v>
      </c>
      <c r="D603" t="s">
        <v>10600</v>
      </c>
      <c r="E603" t="s">
        <v>1043</v>
      </c>
      <c r="G603" t="str">
        <f>"32"</f>
        <v>32</v>
      </c>
      <c r="H603" t="str">
        <f>"18"</f>
        <v>18</v>
      </c>
      <c r="I603" t="str">
        <f>"24"</f>
        <v>24</v>
      </c>
      <c r="J603" t="str">
        <f>"98.15"</f>
        <v>98.15</v>
      </c>
      <c r="K603" t="s">
        <v>11620</v>
      </c>
      <c r="L603" t="s">
        <v>11621</v>
      </c>
      <c r="N603" t="s">
        <v>6143</v>
      </c>
      <c r="O603" t="s">
        <v>11622</v>
      </c>
      <c r="P603" t="s">
        <v>6144</v>
      </c>
      <c r="T603" t="s">
        <v>373</v>
      </c>
      <c r="U603" t="s">
        <v>373</v>
      </c>
      <c r="V603" t="s">
        <v>11623</v>
      </c>
      <c r="W603" t="s">
        <v>11624</v>
      </c>
      <c r="X603" t="s">
        <v>11625</v>
      </c>
      <c r="Y603" t="s">
        <v>11626</v>
      </c>
      <c r="Z603" t="s">
        <v>11627</v>
      </c>
      <c r="AA603" t="s">
        <v>11628</v>
      </c>
      <c r="AB603" t="s">
        <v>11629</v>
      </c>
      <c r="AC603" t="s">
        <v>11630</v>
      </c>
      <c r="AD603" t="s">
        <v>11631</v>
      </c>
      <c r="AE603" t="s">
        <v>11632</v>
      </c>
      <c r="AF603" t="s">
        <v>11633</v>
      </c>
      <c r="AG603" t="s">
        <v>11634</v>
      </c>
      <c r="AH603" t="s">
        <v>11635</v>
      </c>
      <c r="AI603" t="s">
        <v>11636</v>
      </c>
      <c r="AJ603" t="s">
        <v>11637</v>
      </c>
      <c r="AK603" t="s">
        <v>11638</v>
      </c>
      <c r="BA603" t="str">
        <f>"1299"</f>
        <v>1299</v>
      </c>
      <c r="BB603" t="str">
        <f>"550"</f>
        <v>550</v>
      </c>
      <c r="BC603" t="s">
        <v>6158</v>
      </c>
      <c r="BD603" t="str">
        <f t="shared" si="143"/>
        <v>1</v>
      </c>
      <c r="BE603" t="s">
        <v>389</v>
      </c>
      <c r="BF603" t="str">
        <f>"37.24"</f>
        <v>37.24</v>
      </c>
      <c r="BG603" t="str">
        <f>"24"</f>
        <v>24</v>
      </c>
      <c r="BH603" t="str">
        <f>"32"</f>
        <v>32</v>
      </c>
      <c r="BI603" t="str">
        <f>"125.57"</f>
        <v>125.57</v>
      </c>
      <c r="BY603" t="str">
        <f>"16.56"</f>
        <v>16.56</v>
      </c>
      <c r="BZ603" t="str">
        <f>"0.469"</f>
        <v>0.469</v>
      </c>
      <c r="CA603" t="s">
        <v>495</v>
      </c>
      <c r="CR603" t="s">
        <v>5068</v>
      </c>
      <c r="CS603">
        <v>3</v>
      </c>
      <c r="CT603" t="s">
        <v>1312</v>
      </c>
      <c r="CV603">
        <v>0</v>
      </c>
      <c r="CX603" t="s">
        <v>1980</v>
      </c>
      <c r="CY603" t="s">
        <v>1009</v>
      </c>
      <c r="DC603">
        <v>0</v>
      </c>
      <c r="DJ603" t="s">
        <v>408</v>
      </c>
      <c r="DK603" t="s">
        <v>11639</v>
      </c>
      <c r="DM603" t="s">
        <v>473</v>
      </c>
      <c r="EM603" t="s">
        <v>402</v>
      </c>
      <c r="EN603">
        <v>0</v>
      </c>
      <c r="FI603">
        <v>0</v>
      </c>
      <c r="FJ603" t="s">
        <v>1012</v>
      </c>
      <c r="FR603" t="s">
        <v>4395</v>
      </c>
      <c r="FT603" t="s">
        <v>1156</v>
      </c>
      <c r="FV603" t="s">
        <v>612</v>
      </c>
      <c r="FX603" t="s">
        <v>4210</v>
      </c>
      <c r="FZ603" t="s">
        <v>1018</v>
      </c>
    </row>
    <row r="604" spans="1:217" x14ac:dyDescent="0.25">
      <c r="A604" t="s">
        <v>11640</v>
      </c>
      <c r="B604" t="str">
        <f>"801542241773"</f>
        <v>801542241773</v>
      </c>
      <c r="C604" t="s">
        <v>11641</v>
      </c>
      <c r="D604" t="s">
        <v>987</v>
      </c>
      <c r="E604" t="s">
        <v>647</v>
      </c>
      <c r="F604" t="s">
        <v>648</v>
      </c>
      <c r="G604" t="str">
        <f>"94"</f>
        <v>94</v>
      </c>
      <c r="H604" t="str">
        <f>"42"</f>
        <v>42</v>
      </c>
      <c r="I604" t="str">
        <f>"30"</f>
        <v>30</v>
      </c>
      <c r="J604" t="str">
        <f>"246.03"</f>
        <v>246.03</v>
      </c>
      <c r="K604" t="s">
        <v>1462</v>
      </c>
      <c r="N604" t="s">
        <v>1970</v>
      </c>
      <c r="O604" t="s">
        <v>372</v>
      </c>
      <c r="T604" t="s">
        <v>373</v>
      </c>
      <c r="U604" t="s">
        <v>373</v>
      </c>
      <c r="V604" t="s">
        <v>11642</v>
      </c>
      <c r="W604" t="s">
        <v>11643</v>
      </c>
      <c r="X604" t="s">
        <v>11644</v>
      </c>
      <c r="Y604" t="s">
        <v>11645</v>
      </c>
      <c r="Z604" t="s">
        <v>11646</v>
      </c>
      <c r="AA604" t="s">
        <v>11647</v>
      </c>
      <c r="AB604" t="s">
        <v>11648</v>
      </c>
      <c r="AC604" t="s">
        <v>11649</v>
      </c>
      <c r="AD604" t="s">
        <v>11650</v>
      </c>
      <c r="AE604" t="s">
        <v>11651</v>
      </c>
      <c r="AF604" t="s">
        <v>11652</v>
      </c>
      <c r="AG604" t="s">
        <v>11653</v>
      </c>
      <c r="BA604" t="str">
        <f>"2599"</f>
        <v>2599</v>
      </c>
      <c r="BB604" t="str">
        <f>"1095"</f>
        <v>1095</v>
      </c>
      <c r="BC604" t="s">
        <v>949</v>
      </c>
      <c r="BD604" t="str">
        <f>"2"</f>
        <v>2</v>
      </c>
      <c r="BE604" t="s">
        <v>1089</v>
      </c>
      <c r="BF604" t="str">
        <f>"99"</f>
        <v>99</v>
      </c>
      <c r="BG604" t="str">
        <f>"6"</f>
        <v>6</v>
      </c>
      <c r="BH604" t="str">
        <f>"46"</f>
        <v>46</v>
      </c>
      <c r="BI604" t="str">
        <f>"192.24"</f>
        <v>192.24</v>
      </c>
      <c r="BJ604" t="s">
        <v>1090</v>
      </c>
      <c r="BK604" t="str">
        <f>"33"</f>
        <v>33</v>
      </c>
      <c r="BL604" t="str">
        <f>"8.5"</f>
        <v>8.5</v>
      </c>
      <c r="BM604" t="str">
        <f>"34"</f>
        <v>34</v>
      </c>
      <c r="BN604" t="str">
        <f>"86.64"</f>
        <v>86.64</v>
      </c>
      <c r="BY604" t="str">
        <f>"21.33"</f>
        <v>21.33</v>
      </c>
      <c r="BZ604" t="str">
        <f>"0.604"</f>
        <v>0.604</v>
      </c>
      <c r="CA604" t="s">
        <v>495</v>
      </c>
      <c r="CR604" t="s">
        <v>400</v>
      </c>
      <c r="CS604">
        <v>0</v>
      </c>
      <c r="CT604" t="s">
        <v>400</v>
      </c>
      <c r="CV604">
        <v>0</v>
      </c>
      <c r="CY604" t="s">
        <v>400</v>
      </c>
      <c r="DA604">
        <v>0</v>
      </c>
      <c r="DB604">
        <v>0</v>
      </c>
      <c r="DC604">
        <v>0</v>
      </c>
      <c r="DI604">
        <v>8</v>
      </c>
      <c r="DJ604" t="s">
        <v>408</v>
      </c>
      <c r="DK604" t="s">
        <v>11654</v>
      </c>
      <c r="DM604" t="s">
        <v>669</v>
      </c>
      <c r="DX604" t="s">
        <v>611</v>
      </c>
      <c r="DZ604" t="s">
        <v>11655</v>
      </c>
      <c r="EI604" t="s">
        <v>1853</v>
      </c>
      <c r="EJ604" t="s">
        <v>11656</v>
      </c>
      <c r="EK604" t="s">
        <v>447</v>
      </c>
      <c r="EL604" t="s">
        <v>447</v>
      </c>
      <c r="EM604" t="s">
        <v>402</v>
      </c>
      <c r="EN604">
        <v>0</v>
      </c>
      <c r="EO604">
        <v>0</v>
      </c>
      <c r="EV604" t="s">
        <v>1852</v>
      </c>
      <c r="EW604" t="s">
        <v>611</v>
      </c>
      <c r="EX604" t="s">
        <v>613</v>
      </c>
      <c r="EY604" t="s">
        <v>11657</v>
      </c>
    </row>
    <row r="605" spans="1:217" x14ac:dyDescent="0.25">
      <c r="A605" t="s">
        <v>11658</v>
      </c>
      <c r="B605" t="str">
        <f>"801542365813"</f>
        <v>801542365813</v>
      </c>
      <c r="C605" t="s">
        <v>11659</v>
      </c>
      <c r="D605" t="s">
        <v>987</v>
      </c>
      <c r="E605" t="s">
        <v>647</v>
      </c>
      <c r="F605" t="s">
        <v>648</v>
      </c>
      <c r="G605" t="str">
        <f>"94"</f>
        <v>94</v>
      </c>
      <c r="H605" t="str">
        <f>"42"</f>
        <v>42</v>
      </c>
      <c r="I605" t="str">
        <f>"30"</f>
        <v>30</v>
      </c>
      <c r="J605" t="str">
        <f>"246.03"</f>
        <v>246.03</v>
      </c>
      <c r="K605" t="s">
        <v>11660</v>
      </c>
      <c r="L605" t="s">
        <v>11661</v>
      </c>
      <c r="N605" t="s">
        <v>1463</v>
      </c>
      <c r="O605" t="s">
        <v>372</v>
      </c>
      <c r="T605" t="s">
        <v>373</v>
      </c>
      <c r="U605" t="s">
        <v>373</v>
      </c>
      <c r="V605" t="s">
        <v>11662</v>
      </c>
      <c r="W605" t="s">
        <v>11663</v>
      </c>
      <c r="X605" t="s">
        <v>11664</v>
      </c>
      <c r="Y605" t="s">
        <v>11665</v>
      </c>
      <c r="Z605" t="s">
        <v>11666</v>
      </c>
      <c r="AA605" t="s">
        <v>11667</v>
      </c>
      <c r="AB605" t="s">
        <v>11668</v>
      </c>
      <c r="AC605" t="s">
        <v>11669</v>
      </c>
      <c r="AD605" t="s">
        <v>11670</v>
      </c>
      <c r="AE605" t="s">
        <v>11671</v>
      </c>
      <c r="AF605" t="s">
        <v>11672</v>
      </c>
      <c r="AG605" t="s">
        <v>11673</v>
      </c>
      <c r="AH605" t="s">
        <v>11674</v>
      </c>
      <c r="AI605" t="s">
        <v>11675</v>
      </c>
      <c r="AJ605" t="s">
        <v>11676</v>
      </c>
      <c r="AK605" t="s">
        <v>11677</v>
      </c>
      <c r="BA605" t="str">
        <f>"2599"</f>
        <v>2599</v>
      </c>
      <c r="BB605" t="str">
        <f>"1095"</f>
        <v>1095</v>
      </c>
      <c r="BC605" t="s">
        <v>949</v>
      </c>
      <c r="BD605" t="str">
        <f>"2"</f>
        <v>2</v>
      </c>
      <c r="BE605" t="s">
        <v>1089</v>
      </c>
      <c r="BF605" t="str">
        <f>"99"</f>
        <v>99</v>
      </c>
      <c r="BG605" t="str">
        <f>"6"</f>
        <v>6</v>
      </c>
      <c r="BH605" t="str">
        <f>"46"</f>
        <v>46</v>
      </c>
      <c r="BI605" t="str">
        <f>"192.24"</f>
        <v>192.24</v>
      </c>
      <c r="BJ605" t="s">
        <v>1090</v>
      </c>
      <c r="BK605" t="str">
        <f>"33"</f>
        <v>33</v>
      </c>
      <c r="BL605" t="str">
        <f>"8.5"</f>
        <v>8.5</v>
      </c>
      <c r="BM605" t="str">
        <f>"34"</f>
        <v>34</v>
      </c>
      <c r="BN605" t="str">
        <f>"86.64"</f>
        <v>86.64</v>
      </c>
      <c r="BY605" t="str">
        <f>"21.33"</f>
        <v>21.33</v>
      </c>
      <c r="BZ605" t="str">
        <f>"0.604"</f>
        <v>0.604</v>
      </c>
      <c r="CA605" t="s">
        <v>495</v>
      </c>
      <c r="CR605" t="s">
        <v>400</v>
      </c>
      <c r="CS605">
        <v>0</v>
      </c>
      <c r="CT605" t="s">
        <v>400</v>
      </c>
      <c r="CV605">
        <v>0</v>
      </c>
      <c r="CY605" t="s">
        <v>400</v>
      </c>
      <c r="DA605">
        <v>0</v>
      </c>
      <c r="DB605">
        <v>0</v>
      </c>
      <c r="DC605">
        <v>0</v>
      </c>
      <c r="DI605">
        <v>8</v>
      </c>
      <c r="DJ605" t="s">
        <v>408</v>
      </c>
      <c r="DK605" t="s">
        <v>11654</v>
      </c>
      <c r="DM605" t="s">
        <v>669</v>
      </c>
      <c r="DX605" t="s">
        <v>611</v>
      </c>
      <c r="DZ605" t="s">
        <v>11655</v>
      </c>
      <c r="EI605" t="s">
        <v>1853</v>
      </c>
      <c r="EJ605" t="s">
        <v>11656</v>
      </c>
      <c r="EK605" t="s">
        <v>447</v>
      </c>
      <c r="EL605" t="s">
        <v>447</v>
      </c>
      <c r="EM605" t="s">
        <v>402</v>
      </c>
      <c r="EN605">
        <v>0</v>
      </c>
      <c r="EO605">
        <v>0</v>
      </c>
      <c r="EV605" t="s">
        <v>1852</v>
      </c>
      <c r="EW605" t="s">
        <v>611</v>
      </c>
      <c r="EX605" t="s">
        <v>613</v>
      </c>
      <c r="EY605" t="s">
        <v>11657</v>
      </c>
    </row>
    <row r="606" spans="1:217" x14ac:dyDescent="0.25">
      <c r="A606" t="s">
        <v>11678</v>
      </c>
      <c r="B606" t="str">
        <f>"801542241780"</f>
        <v>801542241780</v>
      </c>
      <c r="C606" t="s">
        <v>11679</v>
      </c>
      <c r="D606" t="s">
        <v>987</v>
      </c>
      <c r="E606" t="s">
        <v>930</v>
      </c>
      <c r="G606" t="str">
        <f>"94"</f>
        <v>94</v>
      </c>
      <c r="H606" t="str">
        <f>"18"</f>
        <v>18</v>
      </c>
      <c r="I606" t="str">
        <f>"30"</f>
        <v>30</v>
      </c>
      <c r="J606" t="str">
        <f>"217.15"</f>
        <v>217.15</v>
      </c>
      <c r="K606" t="s">
        <v>10432</v>
      </c>
      <c r="L606" t="s">
        <v>1462</v>
      </c>
      <c r="N606" t="s">
        <v>372</v>
      </c>
      <c r="O606" t="s">
        <v>1970</v>
      </c>
      <c r="T606" t="s">
        <v>373</v>
      </c>
      <c r="U606" t="s">
        <v>373</v>
      </c>
      <c r="V606" t="s">
        <v>11680</v>
      </c>
      <c r="W606" t="s">
        <v>11681</v>
      </c>
      <c r="X606" t="s">
        <v>11682</v>
      </c>
      <c r="Y606" t="s">
        <v>11683</v>
      </c>
      <c r="Z606" t="s">
        <v>11684</v>
      </c>
      <c r="AA606" t="s">
        <v>11685</v>
      </c>
      <c r="AB606" t="s">
        <v>11686</v>
      </c>
      <c r="AC606" t="s">
        <v>11687</v>
      </c>
      <c r="AD606" t="s">
        <v>11688</v>
      </c>
      <c r="AE606" t="s">
        <v>11689</v>
      </c>
      <c r="AF606" t="s">
        <v>11690</v>
      </c>
      <c r="AG606" t="s">
        <v>11691</v>
      </c>
      <c r="BA606" t="str">
        <f>"3099"</f>
        <v>3099</v>
      </c>
      <c r="BB606" t="str">
        <f>"1305"</f>
        <v>1305</v>
      </c>
      <c r="BC606" t="s">
        <v>949</v>
      </c>
      <c r="BD606" t="str">
        <f>"1"</f>
        <v>1</v>
      </c>
      <c r="BE606" t="s">
        <v>389</v>
      </c>
      <c r="BF606" t="str">
        <f>"97.5"</f>
        <v>97.5</v>
      </c>
      <c r="BG606" t="str">
        <f>"22"</f>
        <v>22</v>
      </c>
      <c r="BH606" t="str">
        <f>"33.5"</f>
        <v>33.5</v>
      </c>
      <c r="BI606" t="str">
        <f>"249.12"</f>
        <v>249.12</v>
      </c>
      <c r="BY606" t="str">
        <f>"41.6"</f>
        <v>41.6</v>
      </c>
      <c r="BZ606" t="str">
        <f>"1.178"</f>
        <v>1.178</v>
      </c>
      <c r="CA606" t="s">
        <v>495</v>
      </c>
      <c r="CE606" t="s">
        <v>613</v>
      </c>
      <c r="CF606" t="s">
        <v>603</v>
      </c>
      <c r="CG606" t="s">
        <v>11692</v>
      </c>
      <c r="CR606" t="s">
        <v>400</v>
      </c>
      <c r="CS606">
        <v>0</v>
      </c>
      <c r="CT606" t="s">
        <v>400</v>
      </c>
      <c r="CV606">
        <v>0</v>
      </c>
      <c r="CX606" t="s">
        <v>667</v>
      </c>
      <c r="CY606" t="s">
        <v>954</v>
      </c>
      <c r="DA606">
        <v>18.14</v>
      </c>
      <c r="DB606">
        <v>40</v>
      </c>
      <c r="DC606">
        <v>2</v>
      </c>
      <c r="DK606" t="s">
        <v>11654</v>
      </c>
      <c r="DM606" t="s">
        <v>669</v>
      </c>
      <c r="DX606" t="s">
        <v>827</v>
      </c>
      <c r="EM606" t="s">
        <v>402</v>
      </c>
      <c r="EN606">
        <v>2</v>
      </c>
      <c r="EZ606" t="s">
        <v>603</v>
      </c>
      <c r="FA606" t="s">
        <v>956</v>
      </c>
      <c r="FB606" t="s">
        <v>601</v>
      </c>
      <c r="FC606" t="s">
        <v>613</v>
      </c>
      <c r="FD606" t="s">
        <v>956</v>
      </c>
      <c r="FE606" t="s">
        <v>6873</v>
      </c>
      <c r="FF606">
        <v>0</v>
      </c>
      <c r="FG606" t="s">
        <v>402</v>
      </c>
      <c r="FH606" t="s">
        <v>1245</v>
      </c>
      <c r="FI606">
        <v>4</v>
      </c>
      <c r="FJ606" t="s">
        <v>960</v>
      </c>
      <c r="FK606" t="s">
        <v>1246</v>
      </c>
      <c r="FL606">
        <v>0</v>
      </c>
      <c r="FM606" t="s">
        <v>402</v>
      </c>
      <c r="FO606" t="s">
        <v>984</v>
      </c>
    </row>
    <row r="607" spans="1:217" x14ac:dyDescent="0.25">
      <c r="A607" t="s">
        <v>11693</v>
      </c>
      <c r="B607" t="str">
        <f>"801542244736"</f>
        <v>801542244736</v>
      </c>
      <c r="C607" t="s">
        <v>11694</v>
      </c>
      <c r="D607" t="s">
        <v>987</v>
      </c>
      <c r="E607" t="s">
        <v>4074</v>
      </c>
      <c r="G607" t="str">
        <f>"78"</f>
        <v>78</v>
      </c>
      <c r="H607" t="str">
        <f>"18"</f>
        <v>18</v>
      </c>
      <c r="I607" t="str">
        <f>"32.25"</f>
        <v>32.25</v>
      </c>
      <c r="J607" t="str">
        <f>"97.88"</f>
        <v>97.88</v>
      </c>
      <c r="K607" t="s">
        <v>1462</v>
      </c>
      <c r="N607" t="s">
        <v>1970</v>
      </c>
      <c r="O607" t="s">
        <v>372</v>
      </c>
      <c r="T607" t="s">
        <v>373</v>
      </c>
      <c r="U607" t="s">
        <v>373</v>
      </c>
      <c r="V607" t="s">
        <v>11695</v>
      </c>
      <c r="W607" t="s">
        <v>11696</v>
      </c>
      <c r="X607" t="s">
        <v>11697</v>
      </c>
      <c r="Y607" t="s">
        <v>11698</v>
      </c>
      <c r="Z607" t="s">
        <v>11699</v>
      </c>
      <c r="AA607" t="s">
        <v>11700</v>
      </c>
      <c r="AB607" t="s">
        <v>11701</v>
      </c>
      <c r="AC607" t="s">
        <v>11702</v>
      </c>
      <c r="AD607" t="s">
        <v>11703</v>
      </c>
      <c r="AE607" t="s">
        <v>11704</v>
      </c>
      <c r="AF607" t="s">
        <v>11705</v>
      </c>
      <c r="AG607" t="s">
        <v>11706</v>
      </c>
      <c r="BA607" t="str">
        <f>"1399"</f>
        <v>1399</v>
      </c>
      <c r="BB607" t="str">
        <f>"590"</f>
        <v>590</v>
      </c>
      <c r="BC607" t="s">
        <v>949</v>
      </c>
      <c r="BD607" t="str">
        <f>"1"</f>
        <v>1</v>
      </c>
      <c r="BE607" t="s">
        <v>389</v>
      </c>
      <c r="BF607" t="str">
        <f>"82.75"</f>
        <v>82.75</v>
      </c>
      <c r="BG607" t="str">
        <f>"10.5"</f>
        <v>10.5</v>
      </c>
      <c r="BH607" t="str">
        <f>"22"</f>
        <v>22</v>
      </c>
      <c r="BI607" t="str">
        <f>"114.64"</f>
        <v>114.64</v>
      </c>
      <c r="BY607" t="str">
        <f>"11.05"</f>
        <v>11.05</v>
      </c>
      <c r="BZ607" t="str">
        <f>"0.313"</f>
        <v>0.313</v>
      </c>
      <c r="CA607" t="s">
        <v>495</v>
      </c>
      <c r="CR607" t="s">
        <v>400</v>
      </c>
      <c r="CS607">
        <v>0</v>
      </c>
      <c r="CT607" t="s">
        <v>400</v>
      </c>
      <c r="CV607">
        <v>0</v>
      </c>
      <c r="CY607" t="s">
        <v>400</v>
      </c>
      <c r="DC607">
        <v>0</v>
      </c>
      <c r="DJ607" t="s">
        <v>408</v>
      </c>
      <c r="DK607" t="s">
        <v>11654</v>
      </c>
      <c r="DM607" t="s">
        <v>669</v>
      </c>
      <c r="DX607" t="s">
        <v>855</v>
      </c>
      <c r="DZ607" t="s">
        <v>452</v>
      </c>
      <c r="EI607" t="s">
        <v>474</v>
      </c>
      <c r="EJ607" t="s">
        <v>1853</v>
      </c>
      <c r="EK607" t="s">
        <v>827</v>
      </c>
      <c r="EL607" t="s">
        <v>447</v>
      </c>
      <c r="EM607" t="s">
        <v>402</v>
      </c>
      <c r="EN607">
        <v>0</v>
      </c>
      <c r="EO607">
        <v>0</v>
      </c>
      <c r="EX607" t="s">
        <v>1852</v>
      </c>
      <c r="FI607">
        <v>0</v>
      </c>
      <c r="FJ607" t="s">
        <v>1012</v>
      </c>
    </row>
    <row r="608" spans="1:217" x14ac:dyDescent="0.25">
      <c r="A608" t="s">
        <v>11707</v>
      </c>
      <c r="B608" t="str">
        <f>"801542363963"</f>
        <v>801542363963</v>
      </c>
      <c r="C608" t="s">
        <v>11708</v>
      </c>
      <c r="D608" t="s">
        <v>987</v>
      </c>
      <c r="E608" t="s">
        <v>4074</v>
      </c>
      <c r="G608" t="str">
        <f>"78"</f>
        <v>78</v>
      </c>
      <c r="H608" t="str">
        <f>"18"</f>
        <v>18</v>
      </c>
      <c r="I608" t="str">
        <f>"32.25"</f>
        <v>32.25</v>
      </c>
      <c r="J608" t="str">
        <f>"97.88"</f>
        <v>97.88</v>
      </c>
      <c r="K608" t="s">
        <v>11660</v>
      </c>
      <c r="L608" t="s">
        <v>11661</v>
      </c>
      <c r="N608" t="s">
        <v>1463</v>
      </c>
      <c r="O608" t="s">
        <v>372</v>
      </c>
      <c r="T608" t="s">
        <v>373</v>
      </c>
      <c r="U608" t="s">
        <v>373</v>
      </c>
      <c r="V608" t="s">
        <v>11709</v>
      </c>
      <c r="W608" t="s">
        <v>11710</v>
      </c>
      <c r="X608" t="s">
        <v>11711</v>
      </c>
      <c r="Y608" t="s">
        <v>11712</v>
      </c>
      <c r="Z608" t="s">
        <v>11713</v>
      </c>
      <c r="AA608" t="s">
        <v>11714</v>
      </c>
      <c r="AB608" t="s">
        <v>11715</v>
      </c>
      <c r="AC608" t="s">
        <v>11716</v>
      </c>
      <c r="AD608" t="s">
        <v>11717</v>
      </c>
      <c r="AE608" t="s">
        <v>11718</v>
      </c>
      <c r="BA608" t="str">
        <f>"1399"</f>
        <v>1399</v>
      </c>
      <c r="BB608" t="str">
        <f>"590"</f>
        <v>590</v>
      </c>
      <c r="BC608" t="s">
        <v>949</v>
      </c>
      <c r="BD608" t="str">
        <f>"1"</f>
        <v>1</v>
      </c>
      <c r="BE608" t="s">
        <v>389</v>
      </c>
      <c r="BF608" t="str">
        <f>"82.75"</f>
        <v>82.75</v>
      </c>
      <c r="BG608" t="str">
        <f>"10.5"</f>
        <v>10.5</v>
      </c>
      <c r="BH608" t="str">
        <f>"22"</f>
        <v>22</v>
      </c>
      <c r="BI608" t="str">
        <f>"114.64"</f>
        <v>114.64</v>
      </c>
      <c r="BY608" t="str">
        <f>"11.05"</f>
        <v>11.05</v>
      </c>
      <c r="BZ608" t="str">
        <f>"0.313"</f>
        <v>0.313</v>
      </c>
      <c r="CA608" t="s">
        <v>495</v>
      </c>
      <c r="CR608" t="s">
        <v>400</v>
      </c>
      <c r="CS608">
        <v>0</v>
      </c>
      <c r="CT608" t="s">
        <v>400</v>
      </c>
      <c r="CV608">
        <v>0</v>
      </c>
      <c r="CY608" t="s">
        <v>400</v>
      </c>
      <c r="DC608">
        <v>0</v>
      </c>
      <c r="DJ608" t="s">
        <v>408</v>
      </c>
      <c r="DK608" t="s">
        <v>11654</v>
      </c>
      <c r="DM608" t="s">
        <v>669</v>
      </c>
      <c r="DX608" t="s">
        <v>855</v>
      </c>
      <c r="DZ608" t="s">
        <v>452</v>
      </c>
      <c r="EI608" t="s">
        <v>474</v>
      </c>
      <c r="EJ608" t="s">
        <v>1853</v>
      </c>
      <c r="EK608" t="s">
        <v>827</v>
      </c>
      <c r="EL608" t="s">
        <v>447</v>
      </c>
      <c r="EM608" t="s">
        <v>402</v>
      </c>
      <c r="EN608">
        <v>0</v>
      </c>
      <c r="EO608">
        <v>0</v>
      </c>
      <c r="EX608" t="s">
        <v>1852</v>
      </c>
      <c r="FI608">
        <v>0</v>
      </c>
      <c r="FJ608" t="s">
        <v>1012</v>
      </c>
    </row>
    <row r="609" spans="1:253" x14ac:dyDescent="0.25">
      <c r="A609" t="s">
        <v>11719</v>
      </c>
      <c r="B609" t="str">
        <f>"801542252687"</f>
        <v>801542252687</v>
      </c>
      <c r="C609" t="s">
        <v>11720</v>
      </c>
      <c r="D609" t="s">
        <v>987</v>
      </c>
      <c r="E609" t="s">
        <v>1077</v>
      </c>
      <c r="G609" t="str">
        <f>"65"</f>
        <v>65</v>
      </c>
      <c r="H609" t="str">
        <f>"36"</f>
        <v>36</v>
      </c>
      <c r="I609" t="str">
        <f>"14"</f>
        <v>14</v>
      </c>
      <c r="J609" t="str">
        <f>"125.66"</f>
        <v>125.66</v>
      </c>
      <c r="K609" t="s">
        <v>1462</v>
      </c>
      <c r="N609" t="s">
        <v>1970</v>
      </c>
      <c r="O609" t="s">
        <v>372</v>
      </c>
      <c r="T609" t="s">
        <v>373</v>
      </c>
      <c r="U609" t="s">
        <v>373</v>
      </c>
      <c r="V609" t="s">
        <v>11721</v>
      </c>
      <c r="W609" t="s">
        <v>11722</v>
      </c>
      <c r="X609" t="s">
        <v>11723</v>
      </c>
      <c r="Y609" t="s">
        <v>11724</v>
      </c>
      <c r="Z609" t="s">
        <v>11725</v>
      </c>
      <c r="AA609" t="s">
        <v>11726</v>
      </c>
      <c r="AB609" t="s">
        <v>11727</v>
      </c>
      <c r="AC609" t="s">
        <v>11728</v>
      </c>
      <c r="AD609" t="s">
        <v>11729</v>
      </c>
      <c r="AE609" t="s">
        <v>11730</v>
      </c>
      <c r="AF609" t="s">
        <v>11731</v>
      </c>
      <c r="AG609" t="s">
        <v>11732</v>
      </c>
      <c r="AH609" t="s">
        <v>11733</v>
      </c>
      <c r="AI609" t="s">
        <v>11734</v>
      </c>
      <c r="AJ609" t="s">
        <v>11735</v>
      </c>
      <c r="BA609" t="str">
        <f>"1699"</f>
        <v>1699</v>
      </c>
      <c r="BB609" t="str">
        <f>"715"</f>
        <v>715</v>
      </c>
      <c r="BC609" t="s">
        <v>949</v>
      </c>
      <c r="BD609" t="str">
        <f>"1"</f>
        <v>1</v>
      </c>
      <c r="BE609" t="s">
        <v>389</v>
      </c>
      <c r="BF609" t="str">
        <f>"68"</f>
        <v>68</v>
      </c>
      <c r="BG609" t="str">
        <f>"11"</f>
        <v>11</v>
      </c>
      <c r="BH609" t="str">
        <f>"39.5"</f>
        <v>39.5</v>
      </c>
      <c r="BI609" t="str">
        <f>"147.26"</f>
        <v>147.26</v>
      </c>
      <c r="BY609" t="str">
        <f>"17.09"</f>
        <v>17.09</v>
      </c>
      <c r="BZ609" t="str">
        <f>"0.484"</f>
        <v>0.484</v>
      </c>
      <c r="CA609" t="s">
        <v>431</v>
      </c>
      <c r="CR609" t="s">
        <v>400</v>
      </c>
      <c r="CS609">
        <v>0</v>
      </c>
      <c r="CT609" t="s">
        <v>400</v>
      </c>
      <c r="CV609">
        <v>0</v>
      </c>
      <c r="CY609" t="s">
        <v>400</v>
      </c>
      <c r="DC609">
        <v>0</v>
      </c>
      <c r="DJ609" t="s">
        <v>408</v>
      </c>
      <c r="DK609" t="s">
        <v>11654</v>
      </c>
      <c r="DM609" t="s">
        <v>473</v>
      </c>
      <c r="DX609" t="s">
        <v>3484</v>
      </c>
      <c r="DZ609" t="s">
        <v>2928</v>
      </c>
      <c r="EI609" t="s">
        <v>636</v>
      </c>
      <c r="EJ609" t="s">
        <v>1512</v>
      </c>
      <c r="EK609" t="s">
        <v>827</v>
      </c>
      <c r="EL609" t="s">
        <v>447</v>
      </c>
      <c r="EM609" t="s">
        <v>402</v>
      </c>
      <c r="EN609">
        <v>0</v>
      </c>
      <c r="EO609">
        <v>0</v>
      </c>
      <c r="EX609" t="s">
        <v>1040</v>
      </c>
    </row>
    <row r="610" spans="1:253" x14ac:dyDescent="0.25">
      <c r="A610" t="s">
        <v>11736</v>
      </c>
      <c r="B610" t="str">
        <f>"801542363956"</f>
        <v>801542363956</v>
      </c>
      <c r="C610" t="s">
        <v>11737</v>
      </c>
      <c r="D610" t="s">
        <v>987</v>
      </c>
      <c r="E610" t="s">
        <v>1077</v>
      </c>
      <c r="G610" t="str">
        <f>"65"</f>
        <v>65</v>
      </c>
      <c r="H610" t="str">
        <f>"36"</f>
        <v>36</v>
      </c>
      <c r="I610" t="str">
        <f>"14"</f>
        <v>14</v>
      </c>
      <c r="J610" t="str">
        <f>"125.66"</f>
        <v>125.66</v>
      </c>
      <c r="K610" t="s">
        <v>11660</v>
      </c>
      <c r="L610" t="s">
        <v>11661</v>
      </c>
      <c r="N610" t="s">
        <v>1463</v>
      </c>
      <c r="O610" t="s">
        <v>372</v>
      </c>
      <c r="T610" t="s">
        <v>373</v>
      </c>
      <c r="U610" t="s">
        <v>373</v>
      </c>
      <c r="V610" t="s">
        <v>11738</v>
      </c>
      <c r="W610" t="s">
        <v>11739</v>
      </c>
      <c r="X610" t="s">
        <v>11740</v>
      </c>
      <c r="Y610" t="s">
        <v>11741</v>
      </c>
      <c r="Z610" t="s">
        <v>11742</v>
      </c>
      <c r="AA610" t="s">
        <v>11743</v>
      </c>
      <c r="AB610" t="s">
        <v>11744</v>
      </c>
      <c r="AC610" t="s">
        <v>11745</v>
      </c>
      <c r="AD610" t="s">
        <v>11746</v>
      </c>
      <c r="AE610" t="s">
        <v>11747</v>
      </c>
      <c r="AF610" t="s">
        <v>11748</v>
      </c>
      <c r="AG610" t="s">
        <v>11749</v>
      </c>
      <c r="BA610" t="str">
        <f>"1699"</f>
        <v>1699</v>
      </c>
      <c r="BB610" t="str">
        <f>"715"</f>
        <v>715</v>
      </c>
      <c r="BC610" t="s">
        <v>949</v>
      </c>
      <c r="BD610" t="str">
        <f>"1"</f>
        <v>1</v>
      </c>
      <c r="BE610" t="s">
        <v>389</v>
      </c>
      <c r="BF610" t="str">
        <f>"68"</f>
        <v>68</v>
      </c>
      <c r="BG610" t="str">
        <f>"11"</f>
        <v>11</v>
      </c>
      <c r="BH610" t="str">
        <f>"39.5"</f>
        <v>39.5</v>
      </c>
      <c r="BI610" t="str">
        <f>"147.26"</f>
        <v>147.26</v>
      </c>
      <c r="BY610" t="str">
        <f>"17.09"</f>
        <v>17.09</v>
      </c>
      <c r="BZ610" t="str">
        <f>"0.484"</f>
        <v>0.484</v>
      </c>
      <c r="CA610" t="s">
        <v>495</v>
      </c>
      <c r="CR610" t="s">
        <v>400</v>
      </c>
      <c r="CS610">
        <v>0</v>
      </c>
      <c r="CT610" t="s">
        <v>400</v>
      </c>
      <c r="CV610">
        <v>0</v>
      </c>
      <c r="CY610" t="s">
        <v>400</v>
      </c>
      <c r="DC610">
        <v>0</v>
      </c>
      <c r="DJ610" t="s">
        <v>408</v>
      </c>
      <c r="DK610" t="s">
        <v>11654</v>
      </c>
      <c r="DM610" t="s">
        <v>473</v>
      </c>
      <c r="DX610" t="s">
        <v>3484</v>
      </c>
      <c r="DZ610" t="s">
        <v>2928</v>
      </c>
      <c r="EI610" t="s">
        <v>636</v>
      </c>
      <c r="EJ610" t="s">
        <v>1512</v>
      </c>
      <c r="EK610" t="s">
        <v>827</v>
      </c>
      <c r="EL610" t="s">
        <v>447</v>
      </c>
      <c r="EM610" t="s">
        <v>402</v>
      </c>
      <c r="EN610">
        <v>0</v>
      </c>
      <c r="EO610">
        <v>0</v>
      </c>
      <c r="EX610" t="s">
        <v>1040</v>
      </c>
    </row>
    <row r="611" spans="1:253" x14ac:dyDescent="0.25">
      <c r="A611" t="s">
        <v>11750</v>
      </c>
      <c r="B611" t="str">
        <f>"801542263911"</f>
        <v>801542263911</v>
      </c>
      <c r="C611" t="s">
        <v>11751</v>
      </c>
      <c r="D611" t="s">
        <v>987</v>
      </c>
      <c r="E611" t="s">
        <v>1319</v>
      </c>
      <c r="F611" t="s">
        <v>3836</v>
      </c>
      <c r="G611" t="str">
        <f>"78"</f>
        <v>78</v>
      </c>
      <c r="H611" t="str">
        <f>"30"</f>
        <v>30</v>
      </c>
      <c r="I611" t="str">
        <f>"31"</f>
        <v>31</v>
      </c>
      <c r="J611" t="str">
        <f>"200.61"</f>
        <v>200.61</v>
      </c>
      <c r="K611" t="s">
        <v>10432</v>
      </c>
      <c r="L611" t="s">
        <v>1462</v>
      </c>
      <c r="N611" t="s">
        <v>372</v>
      </c>
      <c r="O611" t="s">
        <v>1970</v>
      </c>
      <c r="T611" t="s">
        <v>373</v>
      </c>
      <c r="U611" t="s">
        <v>373</v>
      </c>
      <c r="V611" t="s">
        <v>11752</v>
      </c>
      <c r="W611" t="s">
        <v>11753</v>
      </c>
      <c r="X611" t="s">
        <v>11754</v>
      </c>
      <c r="Y611" t="s">
        <v>11755</v>
      </c>
      <c r="Z611" t="s">
        <v>11756</v>
      </c>
      <c r="AA611" t="s">
        <v>11757</v>
      </c>
      <c r="AB611" t="s">
        <v>11758</v>
      </c>
      <c r="AC611" t="s">
        <v>11759</v>
      </c>
      <c r="AD611" t="s">
        <v>11760</v>
      </c>
      <c r="AE611" t="s">
        <v>11761</v>
      </c>
      <c r="AF611" t="s">
        <v>11762</v>
      </c>
      <c r="AG611" t="s">
        <v>11763</v>
      </c>
      <c r="AH611" t="s">
        <v>11764</v>
      </c>
      <c r="BA611" t="str">
        <f>"2299"</f>
        <v>2299</v>
      </c>
      <c r="BB611" t="str">
        <f>"970"</f>
        <v>970</v>
      </c>
      <c r="BC611" t="s">
        <v>949</v>
      </c>
      <c r="BD611" t="str">
        <f>"2"</f>
        <v>2</v>
      </c>
      <c r="BE611" t="s">
        <v>1089</v>
      </c>
      <c r="BF611" t="str">
        <f>"82"</f>
        <v>82</v>
      </c>
      <c r="BG611" t="str">
        <f>"10"</f>
        <v>10</v>
      </c>
      <c r="BH611" t="str">
        <f>"34"</f>
        <v>34</v>
      </c>
      <c r="BI611" t="str">
        <f>"140.21"</f>
        <v>140.21</v>
      </c>
      <c r="BJ611" t="s">
        <v>1090</v>
      </c>
      <c r="BK611" t="str">
        <f>"33"</f>
        <v>33</v>
      </c>
      <c r="BL611" t="str">
        <f>"8.5"</f>
        <v>8.5</v>
      </c>
      <c r="BM611" t="str">
        <f>"34"</f>
        <v>34</v>
      </c>
      <c r="BN611" t="str">
        <f>"86.64"</f>
        <v>86.64</v>
      </c>
      <c r="BY611" t="str">
        <f>"21.65"</f>
        <v>21.65</v>
      </c>
      <c r="BZ611" t="str">
        <f>"0.613"</f>
        <v>0.613</v>
      </c>
      <c r="CA611" t="s">
        <v>495</v>
      </c>
      <c r="CR611" t="s">
        <v>1007</v>
      </c>
      <c r="CS611">
        <v>4</v>
      </c>
      <c r="CT611" t="s">
        <v>1344</v>
      </c>
      <c r="CV611">
        <v>0</v>
      </c>
      <c r="CY611" t="s">
        <v>1009</v>
      </c>
      <c r="DC611">
        <v>0</v>
      </c>
      <c r="DJ611" t="s">
        <v>3853</v>
      </c>
      <c r="DK611" t="s">
        <v>11654</v>
      </c>
      <c r="DM611" t="s">
        <v>669</v>
      </c>
      <c r="DX611" t="s">
        <v>1092</v>
      </c>
      <c r="DZ611" t="s">
        <v>6582</v>
      </c>
      <c r="EL611" t="s">
        <v>447</v>
      </c>
      <c r="EM611" t="s">
        <v>402</v>
      </c>
      <c r="EN611">
        <v>0</v>
      </c>
      <c r="EW611" t="s">
        <v>1092</v>
      </c>
      <c r="FI611">
        <v>0</v>
      </c>
      <c r="FJ611" t="s">
        <v>1012</v>
      </c>
      <c r="FP611" t="s">
        <v>402</v>
      </c>
      <c r="FR611" t="s">
        <v>11765</v>
      </c>
      <c r="FT611" t="s">
        <v>447</v>
      </c>
      <c r="FV611" t="s">
        <v>4976</v>
      </c>
      <c r="FX611" t="s">
        <v>4210</v>
      </c>
      <c r="FZ611" t="s">
        <v>953</v>
      </c>
      <c r="GA611" t="s">
        <v>402</v>
      </c>
      <c r="GE611">
        <v>0</v>
      </c>
      <c r="HH611" t="s">
        <v>402</v>
      </c>
    </row>
    <row r="612" spans="1:253" x14ac:dyDescent="0.25">
      <c r="A612" t="s">
        <v>11766</v>
      </c>
      <c r="B612" t="str">
        <f>"801542133504"</f>
        <v>801542133504</v>
      </c>
      <c r="C612" t="s">
        <v>11767</v>
      </c>
      <c r="D612" t="s">
        <v>366</v>
      </c>
      <c r="E612" t="s">
        <v>515</v>
      </c>
      <c r="F612" t="s">
        <v>516</v>
      </c>
      <c r="G612" t="str">
        <f>"28.25"</f>
        <v>28.25</v>
      </c>
      <c r="H612" t="str">
        <f>"32"</f>
        <v>32</v>
      </c>
      <c r="I612" t="str">
        <f>"30.25"</f>
        <v>30.25</v>
      </c>
      <c r="J612" t="str">
        <f>"30.86"</f>
        <v>30.86</v>
      </c>
      <c r="K612" t="s">
        <v>11768</v>
      </c>
      <c r="L612" t="s">
        <v>9585</v>
      </c>
      <c r="N612" t="s">
        <v>11769</v>
      </c>
      <c r="O612" t="s">
        <v>372</v>
      </c>
      <c r="T612" t="s">
        <v>373</v>
      </c>
      <c r="U612" t="s">
        <v>373</v>
      </c>
      <c r="V612" t="s">
        <v>11770</v>
      </c>
      <c r="W612" t="s">
        <v>11771</v>
      </c>
      <c r="X612" t="s">
        <v>11772</v>
      </c>
      <c r="Y612" t="s">
        <v>11773</v>
      </c>
      <c r="Z612" t="s">
        <v>11774</v>
      </c>
      <c r="AA612" t="s">
        <v>11775</v>
      </c>
      <c r="AB612" t="s">
        <v>11776</v>
      </c>
      <c r="AC612" t="s">
        <v>11777</v>
      </c>
      <c r="AD612" t="s">
        <v>11778</v>
      </c>
      <c r="AE612" t="s">
        <v>11779</v>
      </c>
      <c r="AF612" t="s">
        <v>11780</v>
      </c>
      <c r="AG612" t="s">
        <v>11781</v>
      </c>
      <c r="AH612" t="s">
        <v>11782</v>
      </c>
      <c r="AI612" t="s">
        <v>11783</v>
      </c>
      <c r="AJ612" t="s">
        <v>11784</v>
      </c>
      <c r="BA612" t="str">
        <f>"2099"</f>
        <v>2099</v>
      </c>
      <c r="BB612" t="str">
        <f>"885"</f>
        <v>885</v>
      </c>
      <c r="BC612" t="s">
        <v>388</v>
      </c>
      <c r="BD612" t="str">
        <f t="shared" ref="BD612:BD634" si="144">"1"</f>
        <v>1</v>
      </c>
      <c r="BE612" t="s">
        <v>739</v>
      </c>
      <c r="BF612" t="str">
        <f>"29.53"</f>
        <v>29.53</v>
      </c>
      <c r="BG612" t="str">
        <f>"33.07"</f>
        <v>33.07</v>
      </c>
      <c r="BH612" t="str">
        <f>"34.65"</f>
        <v>34.65</v>
      </c>
      <c r="BI612" t="str">
        <f>"51.59"</f>
        <v>51.59</v>
      </c>
      <c r="BY612" t="str">
        <f>"17.52"</f>
        <v>17.52</v>
      </c>
      <c r="BZ612" t="str">
        <f>"0.496"</f>
        <v>0.496</v>
      </c>
      <c r="CA612" t="s">
        <v>495</v>
      </c>
      <c r="CK612" t="s">
        <v>2127</v>
      </c>
      <c r="CL612" t="s">
        <v>957</v>
      </c>
      <c r="CN612">
        <v>0</v>
      </c>
      <c r="CO612">
        <v>1</v>
      </c>
      <c r="CP612" t="s">
        <v>437</v>
      </c>
      <c r="CQ612" t="s">
        <v>438</v>
      </c>
      <c r="CX612" t="s">
        <v>667</v>
      </c>
      <c r="CY612" t="s">
        <v>400</v>
      </c>
      <c r="CZ612">
        <v>0</v>
      </c>
      <c r="DD612">
        <v>15000</v>
      </c>
      <c r="DE612" t="s">
        <v>570</v>
      </c>
      <c r="DF612" t="s">
        <v>632</v>
      </c>
      <c r="DH612">
        <v>1</v>
      </c>
      <c r="DI612">
        <v>1</v>
      </c>
      <c r="DK612" t="s">
        <v>11785</v>
      </c>
      <c r="DL612">
        <v>0</v>
      </c>
      <c r="DM612" t="s">
        <v>538</v>
      </c>
      <c r="DN612" t="s">
        <v>600</v>
      </c>
      <c r="DO612" t="s">
        <v>607</v>
      </c>
      <c r="DP612" t="s">
        <v>11786</v>
      </c>
      <c r="DT612" t="s">
        <v>1156</v>
      </c>
      <c r="DX612" t="s">
        <v>8376</v>
      </c>
      <c r="DY612" t="s">
        <v>11787</v>
      </c>
      <c r="DZ612" t="s">
        <v>9037</v>
      </c>
      <c r="EA612" t="s">
        <v>613</v>
      </c>
      <c r="ED612" t="s">
        <v>632</v>
      </c>
      <c r="EE612" t="s">
        <v>1808</v>
      </c>
      <c r="EG612" t="s">
        <v>401</v>
      </c>
      <c r="EP612" t="s">
        <v>2074</v>
      </c>
      <c r="EQ612" t="s">
        <v>1510</v>
      </c>
      <c r="ER612">
        <v>0</v>
      </c>
      <c r="ES612">
        <v>0</v>
      </c>
      <c r="EU612">
        <v>0</v>
      </c>
    </row>
    <row r="613" spans="1:253" x14ac:dyDescent="0.25">
      <c r="A613" t="s">
        <v>11788</v>
      </c>
      <c r="B613" t="str">
        <f>"801542064129"</f>
        <v>801542064129</v>
      </c>
      <c r="C613" t="s">
        <v>11789</v>
      </c>
      <c r="D613" t="s">
        <v>366</v>
      </c>
      <c r="E613" t="s">
        <v>515</v>
      </c>
      <c r="F613" t="s">
        <v>516</v>
      </c>
      <c r="G613" t="str">
        <f>"29.25"</f>
        <v>29.25</v>
      </c>
      <c r="H613" t="str">
        <f>"32.75"</f>
        <v>32.75</v>
      </c>
      <c r="I613" t="str">
        <f>"30"</f>
        <v>30</v>
      </c>
      <c r="J613" t="str">
        <f>"35.49"</f>
        <v>35.49</v>
      </c>
      <c r="K613" t="s">
        <v>9152</v>
      </c>
      <c r="L613" t="s">
        <v>11790</v>
      </c>
      <c r="N613" t="s">
        <v>1170</v>
      </c>
      <c r="O613" t="s">
        <v>3084</v>
      </c>
      <c r="P613" t="s">
        <v>372</v>
      </c>
      <c r="T613" t="s">
        <v>373</v>
      </c>
      <c r="U613" t="s">
        <v>373</v>
      </c>
      <c r="V613" t="s">
        <v>11791</v>
      </c>
      <c r="W613" t="s">
        <v>11792</v>
      </c>
      <c r="X613" t="s">
        <v>11793</v>
      </c>
      <c r="Y613" t="s">
        <v>11794</v>
      </c>
      <c r="Z613" t="s">
        <v>11795</v>
      </c>
      <c r="AA613" t="s">
        <v>11796</v>
      </c>
      <c r="AB613" t="s">
        <v>11797</v>
      </c>
      <c r="AC613" t="s">
        <v>11798</v>
      </c>
      <c r="AD613" t="s">
        <v>11799</v>
      </c>
      <c r="AE613" t="s">
        <v>11800</v>
      </c>
      <c r="AF613" t="s">
        <v>11801</v>
      </c>
      <c r="AG613" t="s">
        <v>11802</v>
      </c>
      <c r="AH613" t="s">
        <v>11803</v>
      </c>
      <c r="BA613" t="str">
        <f>"1099"</f>
        <v>1099</v>
      </c>
      <c r="BB613" t="str">
        <f>"465"</f>
        <v>465</v>
      </c>
      <c r="BC613" t="s">
        <v>388</v>
      </c>
      <c r="BD613" t="str">
        <f t="shared" si="144"/>
        <v>1</v>
      </c>
      <c r="BE613" t="s">
        <v>389</v>
      </c>
      <c r="BF613" t="str">
        <f>"34.25"</f>
        <v>34.25</v>
      </c>
      <c r="BG613" t="str">
        <f>"30.71"</f>
        <v>30.71</v>
      </c>
      <c r="BH613" t="str">
        <f>"31.89"</f>
        <v>31.89</v>
      </c>
      <c r="BI613" t="str">
        <f>"45.86"</f>
        <v>45.86</v>
      </c>
      <c r="BY613" t="str">
        <f>"19.42"</f>
        <v>19.42</v>
      </c>
      <c r="BZ613" t="str">
        <f>"0.55"</f>
        <v>0.55</v>
      </c>
      <c r="CA613" t="s">
        <v>495</v>
      </c>
      <c r="CK613" t="s">
        <v>2127</v>
      </c>
      <c r="CL613" t="s">
        <v>7532</v>
      </c>
      <c r="CN613">
        <v>0</v>
      </c>
      <c r="CO613">
        <v>1</v>
      </c>
      <c r="CP613" t="s">
        <v>437</v>
      </c>
      <c r="CQ613" t="s">
        <v>631</v>
      </c>
      <c r="CX613" t="s">
        <v>953</v>
      </c>
      <c r="CY613" t="s">
        <v>400</v>
      </c>
      <c r="CZ613">
        <v>0</v>
      </c>
      <c r="DD613">
        <v>30000</v>
      </c>
      <c r="DE613" t="s">
        <v>439</v>
      </c>
      <c r="DF613" t="s">
        <v>632</v>
      </c>
      <c r="DH613">
        <v>1</v>
      </c>
      <c r="DI613">
        <v>1</v>
      </c>
      <c r="DK613" t="s">
        <v>11804</v>
      </c>
      <c r="DL613">
        <v>0</v>
      </c>
      <c r="DM613" t="s">
        <v>538</v>
      </c>
      <c r="DN613" t="s">
        <v>4181</v>
      </c>
      <c r="DO613" t="s">
        <v>7039</v>
      </c>
      <c r="DP613" t="s">
        <v>676</v>
      </c>
      <c r="DT613" t="s">
        <v>1358</v>
      </c>
      <c r="DX613" t="s">
        <v>566</v>
      </c>
      <c r="DY613" t="s">
        <v>2289</v>
      </c>
      <c r="DZ613" t="s">
        <v>2071</v>
      </c>
      <c r="EA613" t="s">
        <v>11805</v>
      </c>
      <c r="ED613" t="s">
        <v>632</v>
      </c>
      <c r="EG613" t="s">
        <v>401</v>
      </c>
      <c r="EP613" t="s">
        <v>6906</v>
      </c>
      <c r="EQ613" t="s">
        <v>11806</v>
      </c>
      <c r="ER613">
        <v>0</v>
      </c>
      <c r="ES613">
        <v>0</v>
      </c>
      <c r="EU613">
        <v>0</v>
      </c>
    </row>
    <row r="614" spans="1:253" x14ac:dyDescent="0.25">
      <c r="A614" t="s">
        <v>11807</v>
      </c>
      <c r="B614" t="str">
        <f>"801542064112"</f>
        <v>801542064112</v>
      </c>
      <c r="C614" t="s">
        <v>11808</v>
      </c>
      <c r="D614" t="s">
        <v>366</v>
      </c>
      <c r="E614" t="s">
        <v>515</v>
      </c>
      <c r="F614" t="s">
        <v>516</v>
      </c>
      <c r="G614" t="str">
        <f>"29.25"</f>
        <v>29.25</v>
      </c>
      <c r="H614" t="str">
        <f>"32.75"</f>
        <v>32.75</v>
      </c>
      <c r="I614" t="str">
        <f>"30"</f>
        <v>30</v>
      </c>
      <c r="J614" t="str">
        <f>"35.49"</f>
        <v>35.49</v>
      </c>
      <c r="K614" t="s">
        <v>9212</v>
      </c>
      <c r="L614" t="s">
        <v>11790</v>
      </c>
      <c r="N614" t="s">
        <v>371</v>
      </c>
      <c r="O614" t="s">
        <v>372</v>
      </c>
      <c r="T614" t="s">
        <v>373</v>
      </c>
      <c r="U614" t="s">
        <v>373</v>
      </c>
      <c r="V614" t="s">
        <v>11809</v>
      </c>
      <c r="W614" t="s">
        <v>11810</v>
      </c>
      <c r="X614" t="s">
        <v>11811</v>
      </c>
      <c r="Y614" t="s">
        <v>11812</v>
      </c>
      <c r="Z614" t="s">
        <v>11813</v>
      </c>
      <c r="AA614" t="s">
        <v>11814</v>
      </c>
      <c r="AB614" t="s">
        <v>11815</v>
      </c>
      <c r="AC614" t="s">
        <v>11816</v>
      </c>
      <c r="AD614" t="s">
        <v>11817</v>
      </c>
      <c r="AE614" t="s">
        <v>11818</v>
      </c>
      <c r="AF614" t="s">
        <v>11819</v>
      </c>
      <c r="AG614" t="s">
        <v>11820</v>
      </c>
      <c r="AH614" t="s">
        <v>11821</v>
      </c>
      <c r="BA614" t="str">
        <f>"1099"</f>
        <v>1099</v>
      </c>
      <c r="BB614" t="str">
        <f>"465"</f>
        <v>465</v>
      </c>
      <c r="BC614" t="s">
        <v>388</v>
      </c>
      <c r="BD614" t="str">
        <f t="shared" si="144"/>
        <v>1</v>
      </c>
      <c r="BE614" t="s">
        <v>389</v>
      </c>
      <c r="BF614" t="str">
        <f>"34.25"</f>
        <v>34.25</v>
      </c>
      <c r="BG614" t="str">
        <f>"30.71"</f>
        <v>30.71</v>
      </c>
      <c r="BH614" t="str">
        <f>"31.89"</f>
        <v>31.89</v>
      </c>
      <c r="BI614" t="str">
        <f>"45.86"</f>
        <v>45.86</v>
      </c>
      <c r="BY614" t="str">
        <f>"19.42"</f>
        <v>19.42</v>
      </c>
      <c r="BZ614" t="str">
        <f>"0.55"</f>
        <v>0.55</v>
      </c>
      <c r="CA614" t="s">
        <v>431</v>
      </c>
      <c r="CK614" t="s">
        <v>2127</v>
      </c>
      <c r="CL614" t="s">
        <v>7532</v>
      </c>
      <c r="CN614">
        <v>0</v>
      </c>
      <c r="CO614">
        <v>1</v>
      </c>
      <c r="CP614" t="s">
        <v>437</v>
      </c>
      <c r="CQ614" t="s">
        <v>399</v>
      </c>
      <c r="CX614" t="s">
        <v>953</v>
      </c>
      <c r="CY614" t="s">
        <v>400</v>
      </c>
      <c r="CZ614">
        <v>0</v>
      </c>
      <c r="DD614">
        <v>100000</v>
      </c>
      <c r="DE614" t="s">
        <v>439</v>
      </c>
      <c r="DF614" t="s">
        <v>632</v>
      </c>
      <c r="DH614">
        <v>1</v>
      </c>
      <c r="DI614">
        <v>1</v>
      </c>
      <c r="DK614" t="s">
        <v>11804</v>
      </c>
      <c r="DL614">
        <v>0</v>
      </c>
      <c r="DM614" t="s">
        <v>538</v>
      </c>
      <c r="DN614" t="s">
        <v>4181</v>
      </c>
      <c r="DO614" t="s">
        <v>7039</v>
      </c>
      <c r="DP614" t="s">
        <v>676</v>
      </c>
      <c r="DT614" t="s">
        <v>1358</v>
      </c>
      <c r="DX614" t="s">
        <v>566</v>
      </c>
      <c r="DY614" t="s">
        <v>2289</v>
      </c>
      <c r="DZ614" t="s">
        <v>2071</v>
      </c>
      <c r="EA614" t="s">
        <v>11805</v>
      </c>
      <c r="ED614" t="s">
        <v>632</v>
      </c>
      <c r="EG614" t="s">
        <v>401</v>
      </c>
      <c r="EP614" t="s">
        <v>6906</v>
      </c>
      <c r="EQ614" t="s">
        <v>11806</v>
      </c>
      <c r="ER614">
        <v>0</v>
      </c>
      <c r="ES614">
        <v>0</v>
      </c>
      <c r="EU614">
        <v>0</v>
      </c>
    </row>
    <row r="615" spans="1:253" x14ac:dyDescent="0.25">
      <c r="A615" t="s">
        <v>11822</v>
      </c>
      <c r="B615" t="str">
        <f>"198394064675"</f>
        <v>198394064675</v>
      </c>
      <c r="C615" t="s">
        <v>11823</v>
      </c>
      <c r="D615" t="s">
        <v>366</v>
      </c>
      <c r="E615" t="s">
        <v>515</v>
      </c>
      <c r="F615" t="s">
        <v>516</v>
      </c>
      <c r="G615" t="str">
        <f>"29.25"</f>
        <v>29.25</v>
      </c>
      <c r="H615" t="str">
        <f>"32.75"</f>
        <v>32.75</v>
      </c>
      <c r="I615" t="str">
        <f>"30"</f>
        <v>30</v>
      </c>
      <c r="J615" t="str">
        <f>"35.49"</f>
        <v>35.49</v>
      </c>
      <c r="K615" t="s">
        <v>7879</v>
      </c>
      <c r="L615" t="s">
        <v>11824</v>
      </c>
      <c r="N615" t="s">
        <v>7880</v>
      </c>
      <c r="O615" t="s">
        <v>7881</v>
      </c>
      <c r="P615" t="s">
        <v>7882</v>
      </c>
      <c r="Q615" t="s">
        <v>372</v>
      </c>
      <c r="T615" t="s">
        <v>373</v>
      </c>
      <c r="U615" t="s">
        <v>373</v>
      </c>
      <c r="V615" t="s">
        <v>11809</v>
      </c>
      <c r="W615" t="s">
        <v>11825</v>
      </c>
      <c r="X615" t="s">
        <v>11826</v>
      </c>
      <c r="Y615" t="s">
        <v>11827</v>
      </c>
      <c r="Z615" t="s">
        <v>11828</v>
      </c>
      <c r="AA615" t="s">
        <v>11829</v>
      </c>
      <c r="AB615" t="s">
        <v>11830</v>
      </c>
      <c r="AC615" t="s">
        <v>11831</v>
      </c>
      <c r="AD615" t="s">
        <v>11832</v>
      </c>
      <c r="AE615" t="s">
        <v>11833</v>
      </c>
      <c r="AF615" t="s">
        <v>11834</v>
      </c>
      <c r="AG615" t="s">
        <v>11835</v>
      </c>
      <c r="BA615" t="str">
        <f>"1349"</f>
        <v>1349</v>
      </c>
      <c r="BB615" t="str">
        <f>"570"</f>
        <v>570</v>
      </c>
      <c r="BC615" t="s">
        <v>388</v>
      </c>
      <c r="BD615" t="str">
        <f t="shared" si="144"/>
        <v>1</v>
      </c>
      <c r="BE615" t="s">
        <v>389</v>
      </c>
      <c r="BF615" t="str">
        <f>"34.25"</f>
        <v>34.25</v>
      </c>
      <c r="BG615" t="str">
        <f>"30.71"</f>
        <v>30.71</v>
      </c>
      <c r="BH615" t="str">
        <f>"31.89"</f>
        <v>31.89</v>
      </c>
      <c r="BI615" t="str">
        <f>"45.86"</f>
        <v>45.86</v>
      </c>
      <c r="BY615" t="str">
        <f>"19.42"</f>
        <v>19.42</v>
      </c>
      <c r="BZ615" t="str">
        <f>"0.55"</f>
        <v>0.55</v>
      </c>
      <c r="CA615" t="s">
        <v>495</v>
      </c>
      <c r="CK615" t="s">
        <v>2127</v>
      </c>
      <c r="CL615" t="s">
        <v>7532</v>
      </c>
      <c r="CN615">
        <v>0</v>
      </c>
      <c r="CO615">
        <v>1</v>
      </c>
      <c r="CP615" t="s">
        <v>437</v>
      </c>
      <c r="CQ615" t="s">
        <v>1152</v>
      </c>
      <c r="CX615" t="s">
        <v>953</v>
      </c>
      <c r="CY615" t="s">
        <v>400</v>
      </c>
      <c r="CZ615">
        <v>0</v>
      </c>
      <c r="DD615">
        <v>50000</v>
      </c>
      <c r="DE615" t="s">
        <v>439</v>
      </c>
      <c r="DF615" t="s">
        <v>632</v>
      </c>
      <c r="DH615">
        <v>1</v>
      </c>
      <c r="DI615">
        <v>1</v>
      </c>
      <c r="DK615" t="s">
        <v>11804</v>
      </c>
      <c r="DL615">
        <v>0</v>
      </c>
      <c r="DM615" t="s">
        <v>538</v>
      </c>
      <c r="DN615" t="s">
        <v>4181</v>
      </c>
      <c r="DO615" t="s">
        <v>7039</v>
      </c>
      <c r="DP615" t="s">
        <v>676</v>
      </c>
      <c r="DT615" t="s">
        <v>1358</v>
      </c>
      <c r="DX615" t="s">
        <v>566</v>
      </c>
      <c r="DY615" t="s">
        <v>2289</v>
      </c>
      <c r="DZ615" t="s">
        <v>2071</v>
      </c>
      <c r="EA615" t="s">
        <v>11805</v>
      </c>
      <c r="ED615" t="s">
        <v>632</v>
      </c>
      <c r="EG615" t="s">
        <v>401</v>
      </c>
      <c r="EP615" t="s">
        <v>6906</v>
      </c>
      <c r="EQ615" t="s">
        <v>11806</v>
      </c>
      <c r="ER615">
        <v>0</v>
      </c>
      <c r="ES615">
        <v>0</v>
      </c>
      <c r="EU615">
        <v>0</v>
      </c>
    </row>
    <row r="616" spans="1:253" x14ac:dyDescent="0.25">
      <c r="A616" t="s">
        <v>11836</v>
      </c>
      <c r="B616" t="str">
        <f>"801542095000"</f>
        <v>801542095000</v>
      </c>
      <c r="C616" t="s">
        <v>11837</v>
      </c>
      <c r="D616" t="s">
        <v>835</v>
      </c>
      <c r="E616" t="s">
        <v>515</v>
      </c>
      <c r="F616" t="s">
        <v>516</v>
      </c>
      <c r="G616" t="str">
        <f>"34"</f>
        <v>34</v>
      </c>
      <c r="H616" t="str">
        <f>"38.75"</f>
        <v>38.75</v>
      </c>
      <c r="I616" t="str">
        <f>"42"</f>
        <v>42</v>
      </c>
      <c r="J616" t="str">
        <f>"35.27"</f>
        <v>35.27</v>
      </c>
      <c r="K616" t="s">
        <v>9199</v>
      </c>
      <c r="L616" t="s">
        <v>2550</v>
      </c>
      <c r="N616" t="s">
        <v>371</v>
      </c>
      <c r="O616" t="s">
        <v>775</v>
      </c>
      <c r="T616" t="s">
        <v>373</v>
      </c>
      <c r="U616" t="s">
        <v>373</v>
      </c>
      <c r="V616" t="s">
        <v>11838</v>
      </c>
      <c r="W616" t="s">
        <v>11839</v>
      </c>
      <c r="X616" t="s">
        <v>11840</v>
      </c>
      <c r="Y616" t="s">
        <v>11841</v>
      </c>
      <c r="Z616" t="s">
        <v>11842</v>
      </c>
      <c r="AA616" t="s">
        <v>11843</v>
      </c>
      <c r="AB616" t="s">
        <v>11844</v>
      </c>
      <c r="AC616" t="s">
        <v>11845</v>
      </c>
      <c r="AD616" t="s">
        <v>11846</v>
      </c>
      <c r="AE616" t="s">
        <v>11847</v>
      </c>
      <c r="AF616" t="s">
        <v>11848</v>
      </c>
      <c r="AG616" t="s">
        <v>11849</v>
      </c>
      <c r="AH616" t="s">
        <v>11850</v>
      </c>
      <c r="AI616" t="s">
        <v>11851</v>
      </c>
      <c r="AJ616" t="s">
        <v>11852</v>
      </c>
      <c r="BA616" t="str">
        <f>"1349"</f>
        <v>1349</v>
      </c>
      <c r="BB616" t="str">
        <f>"570"</f>
        <v>570</v>
      </c>
      <c r="BC616" t="s">
        <v>388</v>
      </c>
      <c r="BD616" t="str">
        <f t="shared" si="144"/>
        <v>1</v>
      </c>
      <c r="BE616" t="s">
        <v>739</v>
      </c>
      <c r="BF616" t="str">
        <f>"37.4"</f>
        <v>37.4</v>
      </c>
      <c r="BG616" t="str">
        <f>"40.35"</f>
        <v>40.35</v>
      </c>
      <c r="BH616" t="str">
        <f>"47.24"</f>
        <v>47.24</v>
      </c>
      <c r="BI616" t="str">
        <f>"68.34"</f>
        <v>68.34</v>
      </c>
      <c r="BY616" t="str">
        <f>"33.37"</f>
        <v>33.37</v>
      </c>
      <c r="BZ616" t="str">
        <f>"0.945"</f>
        <v>0.945</v>
      </c>
      <c r="CA616" t="s">
        <v>431</v>
      </c>
      <c r="CH616" t="s">
        <v>2792</v>
      </c>
      <c r="CI616" t="s">
        <v>448</v>
      </c>
      <c r="CJ616" t="s">
        <v>2079</v>
      </c>
      <c r="CK616" t="s">
        <v>1491</v>
      </c>
      <c r="CL616" t="s">
        <v>602</v>
      </c>
      <c r="CN616">
        <v>0</v>
      </c>
      <c r="CO616">
        <v>1</v>
      </c>
      <c r="CP616" t="s">
        <v>437</v>
      </c>
      <c r="CQ616" t="s">
        <v>399</v>
      </c>
      <c r="CU616" t="s">
        <v>11853</v>
      </c>
      <c r="CX616" t="s">
        <v>667</v>
      </c>
      <c r="CY616" t="s">
        <v>400</v>
      </c>
      <c r="CZ616">
        <v>0</v>
      </c>
      <c r="DD616">
        <v>100000</v>
      </c>
      <c r="DE616" t="s">
        <v>570</v>
      </c>
      <c r="DF616" t="s">
        <v>406</v>
      </c>
      <c r="DG616" t="s">
        <v>407</v>
      </c>
      <c r="DH616">
        <v>1</v>
      </c>
      <c r="DI616">
        <v>1</v>
      </c>
      <c r="DK616" t="s">
        <v>11854</v>
      </c>
      <c r="DL616">
        <v>0</v>
      </c>
      <c r="DM616" t="s">
        <v>538</v>
      </c>
      <c r="DN616" t="s">
        <v>1553</v>
      </c>
      <c r="DO616" t="s">
        <v>799</v>
      </c>
      <c r="DP616" t="s">
        <v>511</v>
      </c>
      <c r="DT616" t="s">
        <v>1490</v>
      </c>
      <c r="DU616" t="s">
        <v>448</v>
      </c>
      <c r="DV616" t="s">
        <v>435</v>
      </c>
      <c r="DW616" t="s">
        <v>1853</v>
      </c>
      <c r="DX616" t="s">
        <v>635</v>
      </c>
      <c r="DY616" t="s">
        <v>2074</v>
      </c>
      <c r="DZ616" t="s">
        <v>603</v>
      </c>
      <c r="EA616" t="s">
        <v>601</v>
      </c>
      <c r="ED616" t="s">
        <v>406</v>
      </c>
      <c r="EE616" t="s">
        <v>454</v>
      </c>
      <c r="EF616" t="s">
        <v>831</v>
      </c>
      <c r="EG616" t="s">
        <v>1710</v>
      </c>
      <c r="EP616" t="s">
        <v>1151</v>
      </c>
      <c r="EQ616" t="s">
        <v>2079</v>
      </c>
      <c r="ER616">
        <v>0</v>
      </c>
      <c r="ES616">
        <v>0</v>
      </c>
      <c r="EU616">
        <v>0</v>
      </c>
    </row>
    <row r="617" spans="1:253" x14ac:dyDescent="0.25">
      <c r="A617" t="s">
        <v>11855</v>
      </c>
      <c r="B617" t="str">
        <f>"801542995225"</f>
        <v>801542995225</v>
      </c>
      <c r="C617" t="s">
        <v>11856</v>
      </c>
      <c r="D617" t="s">
        <v>835</v>
      </c>
      <c r="E617" t="s">
        <v>515</v>
      </c>
      <c r="F617" t="s">
        <v>516</v>
      </c>
      <c r="G617" t="str">
        <f>"34"</f>
        <v>34</v>
      </c>
      <c r="H617" t="str">
        <f>"38.75"</f>
        <v>38.75</v>
      </c>
      <c r="I617" t="str">
        <f>"42"</f>
        <v>42</v>
      </c>
      <c r="J617" t="str">
        <f>"35.27"</f>
        <v>35.27</v>
      </c>
      <c r="K617" t="s">
        <v>2447</v>
      </c>
      <c r="L617" t="s">
        <v>2550</v>
      </c>
      <c r="N617" t="s">
        <v>2448</v>
      </c>
      <c r="O617" t="s">
        <v>775</v>
      </c>
      <c r="T617" t="s">
        <v>373</v>
      </c>
      <c r="U617" t="s">
        <v>373</v>
      </c>
      <c r="V617" t="s">
        <v>11857</v>
      </c>
      <c r="W617" t="s">
        <v>11858</v>
      </c>
      <c r="X617" t="s">
        <v>11859</v>
      </c>
      <c r="Y617" t="s">
        <v>11860</v>
      </c>
      <c r="Z617" t="s">
        <v>11861</v>
      </c>
      <c r="AA617" t="s">
        <v>11862</v>
      </c>
      <c r="AB617" t="s">
        <v>11863</v>
      </c>
      <c r="AC617" t="s">
        <v>11864</v>
      </c>
      <c r="AD617" t="s">
        <v>11865</v>
      </c>
      <c r="AE617" t="s">
        <v>11866</v>
      </c>
      <c r="AF617" t="s">
        <v>11867</v>
      </c>
      <c r="AG617" t="s">
        <v>11868</v>
      </c>
      <c r="BA617" t="str">
        <f>"1449"</f>
        <v>1449</v>
      </c>
      <c r="BB617" t="str">
        <f>"610"</f>
        <v>610</v>
      </c>
      <c r="BC617" t="s">
        <v>388</v>
      </c>
      <c r="BD617" t="str">
        <f t="shared" si="144"/>
        <v>1</v>
      </c>
      <c r="BE617" t="s">
        <v>739</v>
      </c>
      <c r="BF617" t="str">
        <f>"37.4"</f>
        <v>37.4</v>
      </c>
      <c r="BG617" t="str">
        <f>"40.35"</f>
        <v>40.35</v>
      </c>
      <c r="BH617" t="str">
        <f>"47.24"</f>
        <v>47.24</v>
      </c>
      <c r="BI617" t="str">
        <f>"68.34"</f>
        <v>68.34</v>
      </c>
      <c r="BY617" t="str">
        <f>"33.37"</f>
        <v>33.37</v>
      </c>
      <c r="BZ617" t="str">
        <f>"0.945"</f>
        <v>0.945</v>
      </c>
      <c r="CA617" t="s">
        <v>495</v>
      </c>
      <c r="CH617" t="s">
        <v>2792</v>
      </c>
      <c r="CI617" t="s">
        <v>448</v>
      </c>
      <c r="CJ617" t="s">
        <v>2079</v>
      </c>
      <c r="CK617" t="s">
        <v>1491</v>
      </c>
      <c r="CL617" t="s">
        <v>602</v>
      </c>
      <c r="CN617">
        <v>0</v>
      </c>
      <c r="CO617">
        <v>1</v>
      </c>
      <c r="CP617" t="s">
        <v>437</v>
      </c>
      <c r="CQ617" t="s">
        <v>631</v>
      </c>
      <c r="CU617" t="s">
        <v>11853</v>
      </c>
      <c r="CX617" t="s">
        <v>667</v>
      </c>
      <c r="CY617" t="s">
        <v>400</v>
      </c>
      <c r="CZ617">
        <v>0</v>
      </c>
      <c r="DD617">
        <v>15000</v>
      </c>
      <c r="DE617" t="s">
        <v>570</v>
      </c>
      <c r="DF617" t="s">
        <v>406</v>
      </c>
      <c r="DG617" t="s">
        <v>407</v>
      </c>
      <c r="DH617">
        <v>1</v>
      </c>
      <c r="DI617">
        <v>1</v>
      </c>
      <c r="DK617" t="s">
        <v>11854</v>
      </c>
      <c r="DL617">
        <v>0</v>
      </c>
      <c r="DM617" t="s">
        <v>538</v>
      </c>
      <c r="DN617" t="s">
        <v>1553</v>
      </c>
      <c r="DO617" t="s">
        <v>799</v>
      </c>
      <c r="DP617" t="s">
        <v>511</v>
      </c>
      <c r="DT617" t="s">
        <v>1490</v>
      </c>
      <c r="DU617" t="s">
        <v>448</v>
      </c>
      <c r="DV617" t="s">
        <v>435</v>
      </c>
      <c r="DW617" t="s">
        <v>1853</v>
      </c>
      <c r="DX617" t="s">
        <v>635</v>
      </c>
      <c r="DY617" t="s">
        <v>2074</v>
      </c>
      <c r="DZ617" t="s">
        <v>603</v>
      </c>
      <c r="EA617" t="s">
        <v>601</v>
      </c>
      <c r="ED617" t="s">
        <v>406</v>
      </c>
      <c r="EE617" t="s">
        <v>454</v>
      </c>
      <c r="EF617" t="s">
        <v>831</v>
      </c>
      <c r="EG617" t="s">
        <v>1710</v>
      </c>
      <c r="EP617" t="s">
        <v>1151</v>
      </c>
      <c r="EQ617" t="s">
        <v>2079</v>
      </c>
      <c r="ER617">
        <v>0</v>
      </c>
      <c r="ES617">
        <v>0</v>
      </c>
      <c r="EU617">
        <v>0</v>
      </c>
    </row>
    <row r="618" spans="1:253" x14ac:dyDescent="0.25">
      <c r="A618" t="s">
        <v>11869</v>
      </c>
      <c r="B618" t="str">
        <f>"801542117337"</f>
        <v>801542117337</v>
      </c>
      <c r="C618" t="s">
        <v>11870</v>
      </c>
      <c r="D618" t="s">
        <v>583</v>
      </c>
      <c r="E618" t="s">
        <v>515</v>
      </c>
      <c r="F618" t="s">
        <v>516</v>
      </c>
      <c r="G618" t="str">
        <f>"39"</f>
        <v>39</v>
      </c>
      <c r="H618" t="str">
        <f>"36.5"</f>
        <v>36.5</v>
      </c>
      <c r="I618" t="str">
        <f>"29"</f>
        <v>29</v>
      </c>
      <c r="J618" t="str">
        <f>"72.75"</f>
        <v>72.75</v>
      </c>
      <c r="K618" t="s">
        <v>11871</v>
      </c>
      <c r="N618" t="s">
        <v>371</v>
      </c>
      <c r="T618" t="s">
        <v>373</v>
      </c>
      <c r="U618" t="s">
        <v>402</v>
      </c>
      <c r="V618" t="s">
        <v>11872</v>
      </c>
      <c r="W618" t="s">
        <v>11873</v>
      </c>
      <c r="X618" t="s">
        <v>11874</v>
      </c>
      <c r="Y618" t="s">
        <v>11875</v>
      </c>
      <c r="Z618" t="s">
        <v>11876</v>
      </c>
      <c r="AA618" t="s">
        <v>11877</v>
      </c>
      <c r="AB618" t="s">
        <v>11878</v>
      </c>
      <c r="AC618" t="s">
        <v>11879</v>
      </c>
      <c r="AD618" t="s">
        <v>11880</v>
      </c>
      <c r="AE618" t="s">
        <v>11881</v>
      </c>
      <c r="AF618" t="s">
        <v>11882</v>
      </c>
      <c r="BA618" t="str">
        <f>"1599"</f>
        <v>1599</v>
      </c>
      <c r="BB618" t="str">
        <f>"675"</f>
        <v>675</v>
      </c>
      <c r="BC618" t="s">
        <v>388</v>
      </c>
      <c r="BD618" t="str">
        <f t="shared" si="144"/>
        <v>1</v>
      </c>
      <c r="BE618" t="s">
        <v>11883</v>
      </c>
      <c r="BF618" t="str">
        <f>"39.37"</f>
        <v>39.37</v>
      </c>
      <c r="BG618" t="str">
        <f>"37.01"</f>
        <v>37.01</v>
      </c>
      <c r="BH618" t="str">
        <f>"31.1"</f>
        <v>31.1</v>
      </c>
      <c r="BI618" t="str">
        <f>"90.39"</f>
        <v>90.39</v>
      </c>
      <c r="BY618" t="str">
        <f>"23.24"</f>
        <v>23.24</v>
      </c>
      <c r="BZ618" t="str">
        <f>"0.658"</f>
        <v>0.658</v>
      </c>
      <c r="CA618" t="s">
        <v>390</v>
      </c>
      <c r="CK618" t="s">
        <v>600</v>
      </c>
      <c r="CL618" t="s">
        <v>981</v>
      </c>
      <c r="CN618">
        <v>0</v>
      </c>
      <c r="CO618">
        <v>0</v>
      </c>
      <c r="CP618" t="s">
        <v>437</v>
      </c>
      <c r="CQ618" t="s">
        <v>399</v>
      </c>
      <c r="CX618" t="s">
        <v>403</v>
      </c>
      <c r="CY618" t="s">
        <v>1753</v>
      </c>
      <c r="CZ618">
        <v>0</v>
      </c>
      <c r="DD618">
        <v>100000</v>
      </c>
      <c r="DE618" t="s">
        <v>439</v>
      </c>
      <c r="DH618">
        <v>0</v>
      </c>
      <c r="DI618">
        <v>1</v>
      </c>
      <c r="DK618" t="s">
        <v>11884</v>
      </c>
      <c r="DL618">
        <v>0</v>
      </c>
      <c r="DM618" t="s">
        <v>538</v>
      </c>
      <c r="DN618" t="s">
        <v>638</v>
      </c>
      <c r="DO618" t="s">
        <v>610</v>
      </c>
      <c r="DP618" t="s">
        <v>396</v>
      </c>
      <c r="DT618" t="s">
        <v>5405</v>
      </c>
      <c r="DX618" t="s">
        <v>1094</v>
      </c>
      <c r="EA618" t="s">
        <v>2240</v>
      </c>
      <c r="EG618" t="s">
        <v>641</v>
      </c>
      <c r="EP618" t="s">
        <v>791</v>
      </c>
      <c r="EQ618" t="s">
        <v>1553</v>
      </c>
      <c r="ER618">
        <v>0</v>
      </c>
      <c r="ES618">
        <v>0</v>
      </c>
      <c r="ET618" t="s">
        <v>643</v>
      </c>
      <c r="EU618">
        <v>0</v>
      </c>
      <c r="HM618" t="s">
        <v>1754</v>
      </c>
    </row>
    <row r="619" spans="1:253" x14ac:dyDescent="0.25">
      <c r="A619" t="s">
        <v>11885</v>
      </c>
      <c r="B619" t="str">
        <f>"801542117344"</f>
        <v>801542117344</v>
      </c>
      <c r="C619" t="s">
        <v>11886</v>
      </c>
      <c r="D619" t="s">
        <v>583</v>
      </c>
      <c r="E619" t="s">
        <v>515</v>
      </c>
      <c r="F619" t="s">
        <v>516</v>
      </c>
      <c r="G619" t="str">
        <f>"39"</f>
        <v>39</v>
      </c>
      <c r="H619" t="str">
        <f>"36.5"</f>
        <v>36.5</v>
      </c>
      <c r="I619" t="str">
        <f>"29"</f>
        <v>29</v>
      </c>
      <c r="J619" t="str">
        <f>"72.75"</f>
        <v>72.75</v>
      </c>
      <c r="K619" t="s">
        <v>2746</v>
      </c>
      <c r="N619" t="s">
        <v>371</v>
      </c>
      <c r="T619" t="s">
        <v>373</v>
      </c>
      <c r="U619" t="s">
        <v>402</v>
      </c>
      <c r="V619" t="s">
        <v>11887</v>
      </c>
      <c r="W619" t="s">
        <v>11888</v>
      </c>
      <c r="X619" t="s">
        <v>11889</v>
      </c>
      <c r="Y619" t="s">
        <v>11890</v>
      </c>
      <c r="Z619" t="s">
        <v>11891</v>
      </c>
      <c r="AA619" t="s">
        <v>11892</v>
      </c>
      <c r="AB619" t="s">
        <v>11893</v>
      </c>
      <c r="AC619" t="s">
        <v>11894</v>
      </c>
      <c r="AD619" t="s">
        <v>11895</v>
      </c>
      <c r="AE619" t="s">
        <v>11896</v>
      </c>
      <c r="AF619" t="s">
        <v>11897</v>
      </c>
      <c r="AG619" t="s">
        <v>11898</v>
      </c>
      <c r="AH619" t="s">
        <v>11899</v>
      </c>
      <c r="AI619" t="s">
        <v>11900</v>
      </c>
      <c r="BA619" t="str">
        <f>"1599"</f>
        <v>1599</v>
      </c>
      <c r="BB619" t="str">
        <f>"675"</f>
        <v>675</v>
      </c>
      <c r="BC619" t="s">
        <v>388</v>
      </c>
      <c r="BD619" t="str">
        <f t="shared" si="144"/>
        <v>1</v>
      </c>
      <c r="BE619" t="s">
        <v>11883</v>
      </c>
      <c r="BF619" t="str">
        <f>"39.37"</f>
        <v>39.37</v>
      </c>
      <c r="BG619" t="str">
        <f>"37.01"</f>
        <v>37.01</v>
      </c>
      <c r="BH619" t="str">
        <f>"31.1"</f>
        <v>31.1</v>
      </c>
      <c r="BI619" t="str">
        <f>"90.39"</f>
        <v>90.39</v>
      </c>
      <c r="BY619" t="str">
        <f>"23.24"</f>
        <v>23.24</v>
      </c>
      <c r="BZ619" t="str">
        <f>"0.658"</f>
        <v>0.658</v>
      </c>
      <c r="CA619" t="s">
        <v>495</v>
      </c>
      <c r="CK619" t="s">
        <v>600</v>
      </c>
      <c r="CL619" t="s">
        <v>981</v>
      </c>
      <c r="CN619">
        <v>0</v>
      </c>
      <c r="CO619">
        <v>0</v>
      </c>
      <c r="CP619" t="s">
        <v>437</v>
      </c>
      <c r="CQ619" t="s">
        <v>399</v>
      </c>
      <c r="CX619" t="s">
        <v>403</v>
      </c>
      <c r="CY619" t="s">
        <v>1753</v>
      </c>
      <c r="CZ619">
        <v>0</v>
      </c>
      <c r="DD619">
        <v>100000</v>
      </c>
      <c r="DE619" t="s">
        <v>439</v>
      </c>
      <c r="DH619">
        <v>0</v>
      </c>
      <c r="DI619">
        <v>1</v>
      </c>
      <c r="DK619" t="s">
        <v>11884</v>
      </c>
      <c r="DL619">
        <v>0</v>
      </c>
      <c r="DM619" t="s">
        <v>538</v>
      </c>
      <c r="DN619" t="s">
        <v>638</v>
      </c>
      <c r="DO619" t="s">
        <v>610</v>
      </c>
      <c r="DP619" t="s">
        <v>396</v>
      </c>
      <c r="DT619" t="s">
        <v>5405</v>
      </c>
      <c r="DX619" t="s">
        <v>1094</v>
      </c>
      <c r="EA619" t="s">
        <v>2240</v>
      </c>
      <c r="EG619" t="s">
        <v>641</v>
      </c>
      <c r="EP619" t="s">
        <v>791</v>
      </c>
      <c r="EQ619" t="s">
        <v>1553</v>
      </c>
      <c r="ER619">
        <v>0</v>
      </c>
      <c r="ES619">
        <v>0</v>
      </c>
      <c r="ET619" t="s">
        <v>643</v>
      </c>
      <c r="EU619">
        <v>0</v>
      </c>
      <c r="HM619" t="s">
        <v>1754</v>
      </c>
    </row>
    <row r="620" spans="1:253" x14ac:dyDescent="0.25">
      <c r="A620" t="s">
        <v>11901</v>
      </c>
      <c r="B620" t="str">
        <f>"801542377038"</f>
        <v>801542377038</v>
      </c>
      <c r="C620" t="s">
        <v>11902</v>
      </c>
      <c r="D620" t="s">
        <v>583</v>
      </c>
      <c r="E620" t="s">
        <v>515</v>
      </c>
      <c r="F620" t="s">
        <v>516</v>
      </c>
      <c r="G620" t="str">
        <f>"39"</f>
        <v>39</v>
      </c>
      <c r="H620" t="str">
        <f>"36.5"</f>
        <v>36.5</v>
      </c>
      <c r="I620" t="str">
        <f>"29"</f>
        <v>29</v>
      </c>
      <c r="J620" t="str">
        <f>"72.75"</f>
        <v>72.75</v>
      </c>
      <c r="K620" t="s">
        <v>2833</v>
      </c>
      <c r="N620" t="s">
        <v>1793</v>
      </c>
      <c r="O620" t="s">
        <v>1794</v>
      </c>
      <c r="T620" t="s">
        <v>373</v>
      </c>
      <c r="U620" t="s">
        <v>373</v>
      </c>
      <c r="V620" t="s">
        <v>11887</v>
      </c>
      <c r="W620" t="s">
        <v>11903</v>
      </c>
      <c r="X620" t="s">
        <v>11904</v>
      </c>
      <c r="Y620" t="s">
        <v>11905</v>
      </c>
      <c r="Z620" t="s">
        <v>11906</v>
      </c>
      <c r="AA620" t="s">
        <v>11907</v>
      </c>
      <c r="AB620" t="s">
        <v>11908</v>
      </c>
      <c r="AC620" t="s">
        <v>11909</v>
      </c>
      <c r="AD620" t="s">
        <v>11910</v>
      </c>
      <c r="AE620" t="s">
        <v>11911</v>
      </c>
      <c r="BA620" t="str">
        <f>"1399"</f>
        <v>1399</v>
      </c>
      <c r="BB620" t="str">
        <f>"590"</f>
        <v>590</v>
      </c>
      <c r="BC620" t="s">
        <v>388</v>
      </c>
      <c r="BD620" t="str">
        <f t="shared" si="144"/>
        <v>1</v>
      </c>
      <c r="BE620" t="s">
        <v>11883</v>
      </c>
      <c r="BF620" t="str">
        <f>"39.37"</f>
        <v>39.37</v>
      </c>
      <c r="BG620" t="str">
        <f>"37.01"</f>
        <v>37.01</v>
      </c>
      <c r="BH620" t="str">
        <f>"31.1"</f>
        <v>31.1</v>
      </c>
      <c r="BI620" t="str">
        <f>"90.39"</f>
        <v>90.39</v>
      </c>
      <c r="BY620" t="str">
        <f>"23.24"</f>
        <v>23.24</v>
      </c>
      <c r="BZ620" t="str">
        <f>"0.658"</f>
        <v>0.658</v>
      </c>
      <c r="CA620" t="s">
        <v>495</v>
      </c>
      <c r="CK620" t="s">
        <v>600</v>
      </c>
      <c r="CL620" t="s">
        <v>981</v>
      </c>
      <c r="CN620">
        <v>0</v>
      </c>
      <c r="CO620">
        <v>0</v>
      </c>
      <c r="CP620" t="s">
        <v>437</v>
      </c>
      <c r="CQ620" t="s">
        <v>438</v>
      </c>
      <c r="CX620" t="s">
        <v>403</v>
      </c>
      <c r="CY620" t="s">
        <v>1753</v>
      </c>
      <c r="CZ620">
        <v>0</v>
      </c>
      <c r="DD620">
        <v>30000</v>
      </c>
      <c r="DE620" t="s">
        <v>439</v>
      </c>
      <c r="DH620">
        <v>0</v>
      </c>
      <c r="DI620">
        <v>1</v>
      </c>
      <c r="DK620" t="s">
        <v>11884</v>
      </c>
      <c r="DL620">
        <v>0</v>
      </c>
      <c r="DM620" t="s">
        <v>538</v>
      </c>
      <c r="DN620" t="s">
        <v>638</v>
      </c>
      <c r="DO620" t="s">
        <v>610</v>
      </c>
      <c r="DP620" t="s">
        <v>396</v>
      </c>
      <c r="DT620" t="s">
        <v>5405</v>
      </c>
      <c r="DX620" t="s">
        <v>1094</v>
      </c>
      <c r="EA620" t="s">
        <v>2240</v>
      </c>
      <c r="EG620" t="s">
        <v>641</v>
      </c>
      <c r="EP620" t="s">
        <v>791</v>
      </c>
      <c r="EQ620" t="s">
        <v>1553</v>
      </c>
      <c r="ER620">
        <v>0</v>
      </c>
      <c r="ES620">
        <v>0</v>
      </c>
      <c r="ET620" t="s">
        <v>643</v>
      </c>
      <c r="EU620">
        <v>0</v>
      </c>
      <c r="HM620" t="s">
        <v>1754</v>
      </c>
    </row>
    <row r="621" spans="1:253" x14ac:dyDescent="0.25">
      <c r="A621" t="s">
        <v>11912</v>
      </c>
      <c r="B621" t="str">
        <f>"801542995782"</f>
        <v>801542995782</v>
      </c>
      <c r="C621" t="s">
        <v>11913</v>
      </c>
      <c r="D621" t="s">
        <v>583</v>
      </c>
      <c r="E621" t="s">
        <v>515</v>
      </c>
      <c r="F621" t="s">
        <v>516</v>
      </c>
      <c r="G621" t="str">
        <f>"39"</f>
        <v>39</v>
      </c>
      <c r="H621" t="str">
        <f>"36.5"</f>
        <v>36.5</v>
      </c>
      <c r="I621" t="str">
        <f>"29"</f>
        <v>29</v>
      </c>
      <c r="J621" t="str">
        <f>"72.75"</f>
        <v>72.75</v>
      </c>
      <c r="K621" t="s">
        <v>11914</v>
      </c>
      <c r="N621" t="s">
        <v>371</v>
      </c>
      <c r="T621" t="s">
        <v>373</v>
      </c>
      <c r="U621" t="s">
        <v>373</v>
      </c>
      <c r="V621" t="s">
        <v>11887</v>
      </c>
      <c r="W621" t="s">
        <v>11915</v>
      </c>
      <c r="X621" t="s">
        <v>11916</v>
      </c>
      <c r="Y621" t="s">
        <v>11917</v>
      </c>
      <c r="Z621" t="s">
        <v>11918</v>
      </c>
      <c r="AA621" t="s">
        <v>11919</v>
      </c>
      <c r="AB621" t="s">
        <v>11920</v>
      </c>
      <c r="AC621" t="s">
        <v>11921</v>
      </c>
      <c r="AD621" t="s">
        <v>11922</v>
      </c>
      <c r="AE621" t="s">
        <v>11923</v>
      </c>
      <c r="AF621" t="s">
        <v>11924</v>
      </c>
      <c r="AG621" t="s">
        <v>11925</v>
      </c>
      <c r="AH621" t="s">
        <v>11926</v>
      </c>
      <c r="BA621" t="str">
        <f>"1299"</f>
        <v>1299</v>
      </c>
      <c r="BB621" t="str">
        <f>"550"</f>
        <v>550</v>
      </c>
      <c r="BC621" t="s">
        <v>388</v>
      </c>
      <c r="BD621" t="str">
        <f t="shared" si="144"/>
        <v>1</v>
      </c>
      <c r="BE621" t="s">
        <v>11883</v>
      </c>
      <c r="BF621" t="str">
        <f>"39.37"</f>
        <v>39.37</v>
      </c>
      <c r="BG621" t="str">
        <f>"37.01"</f>
        <v>37.01</v>
      </c>
      <c r="BH621" t="str">
        <f>"31.1"</f>
        <v>31.1</v>
      </c>
      <c r="BI621" t="str">
        <f>"90.39"</f>
        <v>90.39</v>
      </c>
      <c r="BY621" t="str">
        <f>"23.24"</f>
        <v>23.24</v>
      </c>
      <c r="BZ621" t="str">
        <f>"0.658"</f>
        <v>0.658</v>
      </c>
      <c r="CA621" t="s">
        <v>495</v>
      </c>
      <c r="CK621" t="s">
        <v>600</v>
      </c>
      <c r="CL621" t="s">
        <v>981</v>
      </c>
      <c r="CN621">
        <v>0</v>
      </c>
      <c r="CO621">
        <v>0</v>
      </c>
      <c r="CP621" t="s">
        <v>437</v>
      </c>
      <c r="CQ621" t="s">
        <v>631</v>
      </c>
      <c r="CX621" t="s">
        <v>403</v>
      </c>
      <c r="CY621" t="s">
        <v>1753</v>
      </c>
      <c r="CZ621">
        <v>0</v>
      </c>
      <c r="DD621">
        <v>50000</v>
      </c>
      <c r="DE621" t="s">
        <v>439</v>
      </c>
      <c r="DH621">
        <v>0</v>
      </c>
      <c r="DI621">
        <v>1</v>
      </c>
      <c r="DK621" t="s">
        <v>11884</v>
      </c>
      <c r="DL621">
        <v>0</v>
      </c>
      <c r="DM621" t="s">
        <v>538</v>
      </c>
      <c r="DN621" t="s">
        <v>638</v>
      </c>
      <c r="DO621" t="s">
        <v>610</v>
      </c>
      <c r="DP621" t="s">
        <v>396</v>
      </c>
      <c r="DT621" t="s">
        <v>5405</v>
      </c>
      <c r="DX621" t="s">
        <v>1094</v>
      </c>
      <c r="EA621" t="s">
        <v>2240</v>
      </c>
      <c r="EG621" t="s">
        <v>641</v>
      </c>
      <c r="EP621" t="s">
        <v>791</v>
      </c>
      <c r="EQ621" t="s">
        <v>1553</v>
      </c>
      <c r="ER621">
        <v>0</v>
      </c>
      <c r="ES621">
        <v>0</v>
      </c>
      <c r="ET621" t="s">
        <v>643</v>
      </c>
      <c r="EU621">
        <v>0</v>
      </c>
      <c r="HM621" t="s">
        <v>1754</v>
      </c>
    </row>
    <row r="622" spans="1:253" x14ac:dyDescent="0.25">
      <c r="A622" t="s">
        <v>11927</v>
      </c>
      <c r="B622" t="str">
        <f>"801542932961"</f>
        <v>801542932961</v>
      </c>
      <c r="C622" t="s">
        <v>11928</v>
      </c>
      <c r="D622" t="s">
        <v>769</v>
      </c>
      <c r="E622" t="s">
        <v>515</v>
      </c>
      <c r="F622" t="s">
        <v>516</v>
      </c>
      <c r="G622" t="str">
        <f>"28"</f>
        <v>28</v>
      </c>
      <c r="H622" t="str">
        <f>"35"</f>
        <v>35</v>
      </c>
      <c r="I622" t="str">
        <f>"42"</f>
        <v>42</v>
      </c>
      <c r="J622" t="str">
        <f>"66.14"</f>
        <v>66.14</v>
      </c>
      <c r="K622" t="s">
        <v>2530</v>
      </c>
      <c r="L622" t="s">
        <v>1518</v>
      </c>
      <c r="N622" t="s">
        <v>416</v>
      </c>
      <c r="O622" t="s">
        <v>775</v>
      </c>
      <c r="T622" t="s">
        <v>373</v>
      </c>
      <c r="U622" t="s">
        <v>373</v>
      </c>
      <c r="V622" t="s">
        <v>11929</v>
      </c>
      <c r="W622" t="s">
        <v>11930</v>
      </c>
      <c r="X622" t="s">
        <v>11931</v>
      </c>
      <c r="Y622" t="s">
        <v>11932</v>
      </c>
      <c r="Z622" t="s">
        <v>11933</v>
      </c>
      <c r="AA622" t="s">
        <v>11934</v>
      </c>
      <c r="AB622" t="s">
        <v>11935</v>
      </c>
      <c r="AC622" t="s">
        <v>11936</v>
      </c>
      <c r="AD622" t="s">
        <v>11937</v>
      </c>
      <c r="AE622" t="s">
        <v>11938</v>
      </c>
      <c r="AF622" t="s">
        <v>11939</v>
      </c>
      <c r="AG622" t="s">
        <v>11940</v>
      </c>
      <c r="AH622" t="s">
        <v>11941</v>
      </c>
      <c r="AI622" t="s">
        <v>11942</v>
      </c>
      <c r="AJ622" t="s">
        <v>11943</v>
      </c>
      <c r="AK622" t="s">
        <v>11944</v>
      </c>
      <c r="AL622" t="s">
        <v>11945</v>
      </c>
      <c r="AM622" t="s">
        <v>11946</v>
      </c>
      <c r="AN622" t="s">
        <v>11947</v>
      </c>
      <c r="AO622" t="s">
        <v>11948</v>
      </c>
      <c r="BA622" t="str">
        <f>"1999"</f>
        <v>1999</v>
      </c>
      <c r="BB622" t="str">
        <f>"840"</f>
        <v>840</v>
      </c>
      <c r="BC622" t="s">
        <v>388</v>
      </c>
      <c r="BD622" t="str">
        <f t="shared" si="144"/>
        <v>1</v>
      </c>
      <c r="BE622" t="s">
        <v>1662</v>
      </c>
      <c r="BF622" t="str">
        <f>"29.92"</f>
        <v>29.92</v>
      </c>
      <c r="BG622" t="str">
        <f>"35.83"</f>
        <v>35.83</v>
      </c>
      <c r="BH622" t="str">
        <f>"44.88"</f>
        <v>44.88</v>
      </c>
      <c r="BI622" t="str">
        <f>"79.15"</f>
        <v>79.15</v>
      </c>
      <c r="BY622" t="str">
        <f>"22.85"</f>
        <v>22.85</v>
      </c>
      <c r="BZ622" t="str">
        <f>"0.647"</f>
        <v>0.647</v>
      </c>
      <c r="CA622" t="s">
        <v>495</v>
      </c>
      <c r="CK622" t="s">
        <v>1510</v>
      </c>
      <c r="CL622" t="s">
        <v>1554</v>
      </c>
      <c r="CN622">
        <v>0</v>
      </c>
      <c r="CO622">
        <v>0</v>
      </c>
      <c r="CP622" t="s">
        <v>437</v>
      </c>
      <c r="CQ622" t="s">
        <v>438</v>
      </c>
      <c r="CX622" t="s">
        <v>403</v>
      </c>
      <c r="CY622" t="s">
        <v>2358</v>
      </c>
      <c r="CZ622">
        <v>0</v>
      </c>
      <c r="DD622">
        <v>0</v>
      </c>
      <c r="DE622" t="s">
        <v>439</v>
      </c>
      <c r="DH622">
        <v>0</v>
      </c>
      <c r="DI622">
        <v>1</v>
      </c>
      <c r="DK622" t="s">
        <v>11949</v>
      </c>
      <c r="DL622">
        <v>0</v>
      </c>
      <c r="DM622" t="s">
        <v>538</v>
      </c>
      <c r="DN622" t="s">
        <v>1553</v>
      </c>
      <c r="DO622" t="s">
        <v>446</v>
      </c>
      <c r="DP622" t="s">
        <v>1510</v>
      </c>
      <c r="DT622" t="s">
        <v>475</v>
      </c>
      <c r="DX622" t="s">
        <v>446</v>
      </c>
      <c r="DY622" t="s">
        <v>2079</v>
      </c>
      <c r="DZ622" t="s">
        <v>828</v>
      </c>
      <c r="EA622" t="s">
        <v>856</v>
      </c>
      <c r="EG622" t="s">
        <v>1513</v>
      </c>
      <c r="EP622" t="s">
        <v>1151</v>
      </c>
      <c r="EQ622" t="s">
        <v>600</v>
      </c>
      <c r="ER622">
        <v>0</v>
      </c>
      <c r="ES622">
        <v>0</v>
      </c>
      <c r="ET622" t="s">
        <v>549</v>
      </c>
      <c r="EU622" t="s">
        <v>474</v>
      </c>
      <c r="IR622" t="s">
        <v>2146</v>
      </c>
      <c r="IS622" t="s">
        <v>2807</v>
      </c>
    </row>
    <row r="623" spans="1:253" x14ac:dyDescent="0.25">
      <c r="A623" t="s">
        <v>11950</v>
      </c>
      <c r="B623" t="str">
        <f>"801542244743"</f>
        <v>801542244743</v>
      </c>
      <c r="C623" t="s">
        <v>11951</v>
      </c>
      <c r="D623" t="s">
        <v>987</v>
      </c>
      <c r="E623" t="s">
        <v>988</v>
      </c>
      <c r="G623" t="str">
        <f>"75"</f>
        <v>75</v>
      </c>
      <c r="H623" t="str">
        <f>"18"</f>
        <v>18</v>
      </c>
      <c r="I623" t="str">
        <f>"32"</f>
        <v>32</v>
      </c>
      <c r="J623" t="str">
        <f>"271.17"</f>
        <v>271.17</v>
      </c>
      <c r="K623" t="s">
        <v>1462</v>
      </c>
      <c r="N623" t="s">
        <v>1970</v>
      </c>
      <c r="O623" t="s">
        <v>372</v>
      </c>
      <c r="T623" t="s">
        <v>373</v>
      </c>
      <c r="U623" t="s">
        <v>373</v>
      </c>
      <c r="V623" t="s">
        <v>11952</v>
      </c>
      <c r="W623" t="s">
        <v>11953</v>
      </c>
      <c r="X623" t="s">
        <v>11954</v>
      </c>
      <c r="Y623" t="s">
        <v>11955</v>
      </c>
      <c r="Z623" t="s">
        <v>11956</v>
      </c>
      <c r="AA623" t="s">
        <v>11957</v>
      </c>
      <c r="AB623" t="s">
        <v>11958</v>
      </c>
      <c r="AC623" t="s">
        <v>11959</v>
      </c>
      <c r="AD623" t="s">
        <v>11960</v>
      </c>
      <c r="AE623" t="s">
        <v>11961</v>
      </c>
      <c r="AF623" t="s">
        <v>11962</v>
      </c>
      <c r="AG623" t="s">
        <v>11963</v>
      </c>
      <c r="AH623" t="s">
        <v>11964</v>
      </c>
      <c r="AI623" t="s">
        <v>11965</v>
      </c>
      <c r="AJ623" t="s">
        <v>11966</v>
      </c>
      <c r="AK623" t="s">
        <v>11967</v>
      </c>
      <c r="BA623" t="str">
        <f>"2799"</f>
        <v>2799</v>
      </c>
      <c r="BB623" t="str">
        <f>"1180"</f>
        <v>1180</v>
      </c>
      <c r="BC623" t="s">
        <v>949</v>
      </c>
      <c r="BD623" t="str">
        <f t="shared" si="144"/>
        <v>1</v>
      </c>
      <c r="BE623" t="s">
        <v>389</v>
      </c>
      <c r="BF623" t="str">
        <f>"79"</f>
        <v>79</v>
      </c>
      <c r="BG623" t="str">
        <f>"22"</f>
        <v>22</v>
      </c>
      <c r="BH623" t="str">
        <f>"41.25"</f>
        <v>41.25</v>
      </c>
      <c r="BI623" t="str">
        <f>"315.26"</f>
        <v>315.26</v>
      </c>
      <c r="BY623" t="str">
        <f>"41.49"</f>
        <v>41.49</v>
      </c>
      <c r="BZ623" t="str">
        <f>"1.175"</f>
        <v>1.175</v>
      </c>
      <c r="CA623" t="s">
        <v>495</v>
      </c>
      <c r="CR623" t="s">
        <v>5068</v>
      </c>
      <c r="CS623">
        <v>6</v>
      </c>
      <c r="CT623" t="s">
        <v>1344</v>
      </c>
      <c r="CV623">
        <v>0</v>
      </c>
      <c r="CY623" t="s">
        <v>1009</v>
      </c>
      <c r="DC623">
        <v>0</v>
      </c>
      <c r="DJ623" t="s">
        <v>1010</v>
      </c>
      <c r="DK623" t="s">
        <v>11654</v>
      </c>
      <c r="DM623" t="s">
        <v>669</v>
      </c>
      <c r="DX623" t="s">
        <v>827</v>
      </c>
      <c r="EM623" t="s">
        <v>402</v>
      </c>
      <c r="EN623">
        <v>0</v>
      </c>
      <c r="FI623">
        <v>0</v>
      </c>
      <c r="FJ623" t="s">
        <v>1012</v>
      </c>
      <c r="FP623" t="s">
        <v>402</v>
      </c>
      <c r="FR623" t="s">
        <v>4034</v>
      </c>
      <c r="FT623" t="s">
        <v>446</v>
      </c>
      <c r="FV623" t="s">
        <v>1511</v>
      </c>
      <c r="FX623" t="s">
        <v>4210</v>
      </c>
      <c r="FZ623" t="s">
        <v>953</v>
      </c>
      <c r="GA623" t="s">
        <v>402</v>
      </c>
    </row>
    <row r="624" spans="1:253" x14ac:dyDescent="0.25">
      <c r="A624" t="s">
        <v>11968</v>
      </c>
      <c r="B624" t="str">
        <f>"801542252694"</f>
        <v>801542252694</v>
      </c>
      <c r="C624" t="s">
        <v>11969</v>
      </c>
      <c r="D624" t="s">
        <v>987</v>
      </c>
      <c r="E624" t="s">
        <v>1043</v>
      </c>
      <c r="G624" t="str">
        <f>"36"</f>
        <v>36</v>
      </c>
      <c r="H624" t="str">
        <f>"18"</f>
        <v>18</v>
      </c>
      <c r="I624" t="str">
        <f>"24"</f>
        <v>24</v>
      </c>
      <c r="J624" t="str">
        <f>"94.799"</f>
        <v>94.799</v>
      </c>
      <c r="K624" t="s">
        <v>1462</v>
      </c>
      <c r="N624" t="s">
        <v>1970</v>
      </c>
      <c r="O624" t="s">
        <v>372</v>
      </c>
      <c r="T624" t="s">
        <v>373</v>
      </c>
      <c r="U624" t="s">
        <v>373</v>
      </c>
      <c r="V624" t="s">
        <v>11970</v>
      </c>
      <c r="W624" t="s">
        <v>11971</v>
      </c>
      <c r="X624" t="s">
        <v>11972</v>
      </c>
      <c r="Y624" t="s">
        <v>11973</v>
      </c>
      <c r="Z624" t="s">
        <v>11974</v>
      </c>
      <c r="AA624" t="s">
        <v>11975</v>
      </c>
      <c r="AB624" t="s">
        <v>11976</v>
      </c>
      <c r="AC624" t="s">
        <v>11977</v>
      </c>
      <c r="AD624" t="s">
        <v>11978</v>
      </c>
      <c r="AE624" t="s">
        <v>11979</v>
      </c>
      <c r="AF624" t="s">
        <v>11980</v>
      </c>
      <c r="AG624" t="s">
        <v>11981</v>
      </c>
      <c r="AH624" t="s">
        <v>11982</v>
      </c>
      <c r="AI624" t="s">
        <v>11983</v>
      </c>
      <c r="BA624" t="str">
        <f>"1049"</f>
        <v>1049</v>
      </c>
      <c r="BB624" t="str">
        <f>"445"</f>
        <v>445</v>
      </c>
      <c r="BC624" t="s">
        <v>949</v>
      </c>
      <c r="BD624" t="str">
        <f t="shared" si="144"/>
        <v>1</v>
      </c>
      <c r="BE624" t="s">
        <v>389</v>
      </c>
      <c r="BF624" t="str">
        <f>"39.5"</f>
        <v>39.5</v>
      </c>
      <c r="BG624" t="str">
        <f>"22"</f>
        <v>22</v>
      </c>
      <c r="BH624" t="str">
        <f>"27.75"</f>
        <v>27.75</v>
      </c>
      <c r="BI624" t="str">
        <f>"108.25"</f>
        <v>108.25</v>
      </c>
      <c r="BY624" t="str">
        <f>"13.95"</f>
        <v>13.95</v>
      </c>
      <c r="BZ624" t="str">
        <f>"0.395"</f>
        <v>0.395</v>
      </c>
      <c r="CA624" t="s">
        <v>495</v>
      </c>
      <c r="CE624" t="s">
        <v>957</v>
      </c>
      <c r="CF624" t="s">
        <v>442</v>
      </c>
      <c r="CG624" t="s">
        <v>578</v>
      </c>
      <c r="CR624" t="s">
        <v>5068</v>
      </c>
      <c r="CS624">
        <v>1</v>
      </c>
      <c r="CT624" t="s">
        <v>1344</v>
      </c>
      <c r="CV624">
        <v>0</v>
      </c>
      <c r="CX624" t="s">
        <v>667</v>
      </c>
      <c r="CY624" t="s">
        <v>1009</v>
      </c>
      <c r="DC624">
        <v>0</v>
      </c>
      <c r="DJ624" t="s">
        <v>408</v>
      </c>
      <c r="DK624" t="s">
        <v>11654</v>
      </c>
      <c r="DM624" t="s">
        <v>473</v>
      </c>
      <c r="DX624" t="s">
        <v>827</v>
      </c>
      <c r="EN624">
        <v>1</v>
      </c>
      <c r="FI624">
        <v>0</v>
      </c>
      <c r="FJ624" t="s">
        <v>1012</v>
      </c>
      <c r="FP624" t="s">
        <v>402</v>
      </c>
      <c r="FR624" t="s">
        <v>4034</v>
      </c>
      <c r="FT624" t="s">
        <v>450</v>
      </c>
      <c r="FV624" t="s">
        <v>1492</v>
      </c>
      <c r="FX624" t="s">
        <v>4210</v>
      </c>
      <c r="FZ624" t="s">
        <v>953</v>
      </c>
      <c r="GA624" t="s">
        <v>402</v>
      </c>
    </row>
    <row r="625" spans="1:293" x14ac:dyDescent="0.25">
      <c r="A625" t="s">
        <v>11984</v>
      </c>
      <c r="B625" t="str">
        <f>"801542364809"</f>
        <v>801542364809</v>
      </c>
      <c r="C625" t="s">
        <v>11985</v>
      </c>
      <c r="D625" t="s">
        <v>987</v>
      </c>
      <c r="E625" t="s">
        <v>1043</v>
      </c>
      <c r="G625" t="str">
        <f>"36"</f>
        <v>36</v>
      </c>
      <c r="H625" t="str">
        <f>"18"</f>
        <v>18</v>
      </c>
      <c r="I625" t="str">
        <f>"24"</f>
        <v>24</v>
      </c>
      <c r="J625" t="str">
        <f>"94.8"</f>
        <v>94.8</v>
      </c>
      <c r="K625" t="s">
        <v>11660</v>
      </c>
      <c r="L625" t="s">
        <v>11661</v>
      </c>
      <c r="N625" t="s">
        <v>1463</v>
      </c>
      <c r="O625" t="s">
        <v>372</v>
      </c>
      <c r="T625" t="s">
        <v>373</v>
      </c>
      <c r="U625" t="s">
        <v>373</v>
      </c>
      <c r="V625" t="s">
        <v>11970</v>
      </c>
      <c r="W625" t="s">
        <v>11986</v>
      </c>
      <c r="X625" t="s">
        <v>11987</v>
      </c>
      <c r="Y625" t="s">
        <v>11988</v>
      </c>
      <c r="Z625" t="s">
        <v>11989</v>
      </c>
      <c r="AA625" t="s">
        <v>11990</v>
      </c>
      <c r="AB625" t="s">
        <v>11991</v>
      </c>
      <c r="AC625" t="s">
        <v>11992</v>
      </c>
      <c r="AD625" t="s">
        <v>11993</v>
      </c>
      <c r="AE625" t="s">
        <v>11994</v>
      </c>
      <c r="AF625" t="s">
        <v>11995</v>
      </c>
      <c r="AG625" t="s">
        <v>11996</v>
      </c>
      <c r="AH625" t="s">
        <v>11997</v>
      </c>
      <c r="AI625" t="s">
        <v>11998</v>
      </c>
      <c r="AJ625" t="s">
        <v>11999</v>
      </c>
      <c r="BA625" t="str">
        <f>"1049"</f>
        <v>1049</v>
      </c>
      <c r="BB625" t="str">
        <f>"445"</f>
        <v>445</v>
      </c>
      <c r="BC625" t="s">
        <v>949</v>
      </c>
      <c r="BD625" t="str">
        <f t="shared" si="144"/>
        <v>1</v>
      </c>
      <c r="BE625" t="s">
        <v>389</v>
      </c>
      <c r="BF625" t="str">
        <f>"39.5"</f>
        <v>39.5</v>
      </c>
      <c r="BG625" t="str">
        <f>"21.75"</f>
        <v>21.75</v>
      </c>
      <c r="BH625" t="str">
        <f>"28.25"</f>
        <v>28.25</v>
      </c>
      <c r="BI625" t="str">
        <f>"108.25"</f>
        <v>108.25</v>
      </c>
      <c r="BY625" t="str">
        <f>"14.06"</f>
        <v>14.06</v>
      </c>
      <c r="BZ625" t="str">
        <f>"0.398"</f>
        <v>0.398</v>
      </c>
      <c r="CA625" t="s">
        <v>495</v>
      </c>
      <c r="CE625" t="s">
        <v>957</v>
      </c>
      <c r="CF625" t="s">
        <v>442</v>
      </c>
      <c r="CG625" t="s">
        <v>578</v>
      </c>
      <c r="CR625" t="s">
        <v>5068</v>
      </c>
      <c r="CS625">
        <v>1</v>
      </c>
      <c r="CT625" t="s">
        <v>1344</v>
      </c>
      <c r="CV625">
        <v>0</v>
      </c>
      <c r="CX625" t="s">
        <v>667</v>
      </c>
      <c r="CY625" t="s">
        <v>1009</v>
      </c>
      <c r="DC625">
        <v>0</v>
      </c>
      <c r="DJ625" t="s">
        <v>408</v>
      </c>
      <c r="DK625" t="s">
        <v>11654</v>
      </c>
      <c r="DM625" t="s">
        <v>473</v>
      </c>
      <c r="DX625" t="s">
        <v>827</v>
      </c>
      <c r="EN625">
        <v>1</v>
      </c>
      <c r="FI625">
        <v>0</v>
      </c>
      <c r="FJ625" t="s">
        <v>1012</v>
      </c>
      <c r="FP625" t="s">
        <v>402</v>
      </c>
      <c r="FR625" t="s">
        <v>4034</v>
      </c>
      <c r="FT625" t="s">
        <v>450</v>
      </c>
      <c r="FV625" t="s">
        <v>1492</v>
      </c>
      <c r="FX625" t="s">
        <v>4210</v>
      </c>
      <c r="FZ625" t="s">
        <v>953</v>
      </c>
      <c r="GA625" t="s">
        <v>402</v>
      </c>
    </row>
    <row r="626" spans="1:293" x14ac:dyDescent="0.25">
      <c r="A626" t="s">
        <v>12000</v>
      </c>
      <c r="B626" t="str">
        <f>"801542223861"</f>
        <v>801542223861</v>
      </c>
      <c r="C626" t="s">
        <v>11175</v>
      </c>
      <c r="D626" t="s">
        <v>722</v>
      </c>
      <c r="E626" t="s">
        <v>1077</v>
      </c>
      <c r="G626" t="str">
        <f>"60"</f>
        <v>60</v>
      </c>
      <c r="H626" t="str">
        <f>"60"</f>
        <v>60</v>
      </c>
      <c r="I626" t="str">
        <f>"13"</f>
        <v>13</v>
      </c>
      <c r="J626" t="str">
        <f>"141.1"</f>
        <v>141.1</v>
      </c>
      <c r="K626" t="s">
        <v>1364</v>
      </c>
      <c r="N626" t="s">
        <v>1970</v>
      </c>
      <c r="T626" t="s">
        <v>373</v>
      </c>
      <c r="U626" t="s">
        <v>373</v>
      </c>
      <c r="V626" t="s">
        <v>12001</v>
      </c>
      <c r="W626" t="s">
        <v>12002</v>
      </c>
      <c r="X626" t="s">
        <v>12003</v>
      </c>
      <c r="Y626" t="s">
        <v>12004</v>
      </c>
      <c r="Z626" t="s">
        <v>12005</v>
      </c>
      <c r="AA626" t="s">
        <v>12006</v>
      </c>
      <c r="AB626" t="s">
        <v>12007</v>
      </c>
      <c r="AC626" t="s">
        <v>12008</v>
      </c>
      <c r="AD626" t="s">
        <v>12009</v>
      </c>
      <c r="AE626" t="s">
        <v>12010</v>
      </c>
      <c r="AF626" t="s">
        <v>12011</v>
      </c>
      <c r="AG626" t="s">
        <v>12012</v>
      </c>
      <c r="BA626" t="str">
        <f>"1999"</f>
        <v>1999</v>
      </c>
      <c r="BB626" t="str">
        <f>"840"</f>
        <v>840</v>
      </c>
      <c r="BC626" t="s">
        <v>665</v>
      </c>
      <c r="BD626" t="str">
        <f t="shared" si="144"/>
        <v>1</v>
      </c>
      <c r="BE626" t="s">
        <v>389</v>
      </c>
      <c r="BF626" t="str">
        <f>"63.58"</f>
        <v>63.58</v>
      </c>
      <c r="BG626" t="str">
        <f>"63.58"</f>
        <v>63.58</v>
      </c>
      <c r="BH626" t="str">
        <f>"16.93"</f>
        <v>16.93</v>
      </c>
      <c r="BI626" t="str">
        <f>"196.21"</f>
        <v>196.21</v>
      </c>
      <c r="BY626" t="str">
        <f>"39.62"</f>
        <v>39.62</v>
      </c>
      <c r="BZ626" t="str">
        <f>"1.122"</f>
        <v>1.122</v>
      </c>
      <c r="CA626" t="s">
        <v>431</v>
      </c>
      <c r="CR626" t="s">
        <v>400</v>
      </c>
      <c r="CS626">
        <v>0</v>
      </c>
      <c r="CT626" t="s">
        <v>400</v>
      </c>
      <c r="CV626">
        <v>0</v>
      </c>
      <c r="CX626" t="s">
        <v>403</v>
      </c>
      <c r="CY626" t="s">
        <v>400</v>
      </c>
      <c r="DC626">
        <v>0</v>
      </c>
      <c r="DJ626" t="s">
        <v>471</v>
      </c>
      <c r="DK626" t="s">
        <v>11188</v>
      </c>
      <c r="DM626" t="s">
        <v>473</v>
      </c>
      <c r="DX626" t="s">
        <v>2383</v>
      </c>
      <c r="DY626" t="s">
        <v>12013</v>
      </c>
      <c r="DZ626" t="s">
        <v>1635</v>
      </c>
      <c r="EI626" t="s">
        <v>576</v>
      </c>
      <c r="EJ626" t="s">
        <v>546</v>
      </c>
      <c r="EK626" t="s">
        <v>1635</v>
      </c>
      <c r="EL626" t="s">
        <v>576</v>
      </c>
      <c r="EM626" t="s">
        <v>402</v>
      </c>
      <c r="EN626">
        <v>0</v>
      </c>
      <c r="EO626">
        <v>0</v>
      </c>
    </row>
    <row r="627" spans="1:293" x14ac:dyDescent="0.25">
      <c r="A627" t="s">
        <v>12014</v>
      </c>
      <c r="B627" t="str">
        <f>"801542223878"</f>
        <v>801542223878</v>
      </c>
      <c r="C627" t="s">
        <v>11192</v>
      </c>
      <c r="D627" t="s">
        <v>722</v>
      </c>
      <c r="E627" t="s">
        <v>1077</v>
      </c>
      <c r="G627" t="str">
        <f>"60"</f>
        <v>60</v>
      </c>
      <c r="H627" t="str">
        <f>"60"</f>
        <v>60</v>
      </c>
      <c r="I627" t="str">
        <f>"13"</f>
        <v>13</v>
      </c>
      <c r="J627" t="str">
        <f>"141.1"</f>
        <v>141.1</v>
      </c>
      <c r="K627" t="s">
        <v>11193</v>
      </c>
      <c r="N627" t="s">
        <v>1970</v>
      </c>
      <c r="T627" t="s">
        <v>373</v>
      </c>
      <c r="U627" t="s">
        <v>373</v>
      </c>
      <c r="V627" t="s">
        <v>12015</v>
      </c>
      <c r="W627" t="s">
        <v>12016</v>
      </c>
      <c r="X627" t="s">
        <v>12017</v>
      </c>
      <c r="Y627" t="s">
        <v>12018</v>
      </c>
      <c r="Z627" t="s">
        <v>12019</v>
      </c>
      <c r="AA627" t="s">
        <v>12020</v>
      </c>
      <c r="AB627" t="s">
        <v>12021</v>
      </c>
      <c r="AC627" t="s">
        <v>12022</v>
      </c>
      <c r="AD627" t="s">
        <v>12023</v>
      </c>
      <c r="AE627" t="s">
        <v>12024</v>
      </c>
      <c r="AF627" t="s">
        <v>12025</v>
      </c>
      <c r="AG627" t="s">
        <v>12026</v>
      </c>
      <c r="BA627" t="str">
        <f>"1999"</f>
        <v>1999</v>
      </c>
      <c r="BB627" t="str">
        <f>"840"</f>
        <v>840</v>
      </c>
      <c r="BC627" t="s">
        <v>665</v>
      </c>
      <c r="BD627" t="str">
        <f t="shared" si="144"/>
        <v>1</v>
      </c>
      <c r="BE627" t="s">
        <v>389</v>
      </c>
      <c r="BF627" t="str">
        <f>"63.58"</f>
        <v>63.58</v>
      </c>
      <c r="BG627" t="str">
        <f>"63.58"</f>
        <v>63.58</v>
      </c>
      <c r="BH627" t="str">
        <f>"16.93"</f>
        <v>16.93</v>
      </c>
      <c r="BI627" t="str">
        <f>"196.21"</f>
        <v>196.21</v>
      </c>
      <c r="BY627" t="str">
        <f>"39.62"</f>
        <v>39.62</v>
      </c>
      <c r="BZ627" t="str">
        <f>"1.122"</f>
        <v>1.122</v>
      </c>
      <c r="CA627" t="s">
        <v>431</v>
      </c>
      <c r="CR627" t="s">
        <v>400</v>
      </c>
      <c r="CS627">
        <v>0</v>
      </c>
      <c r="CT627" t="s">
        <v>400</v>
      </c>
      <c r="CV627">
        <v>0</v>
      </c>
      <c r="CX627" t="s">
        <v>403</v>
      </c>
      <c r="CY627" t="s">
        <v>400</v>
      </c>
      <c r="DC627">
        <v>0</v>
      </c>
      <c r="DJ627" t="s">
        <v>471</v>
      </c>
      <c r="DK627" t="s">
        <v>11188</v>
      </c>
      <c r="DM627" t="s">
        <v>473</v>
      </c>
      <c r="DX627" t="s">
        <v>2383</v>
      </c>
      <c r="DY627" t="s">
        <v>12013</v>
      </c>
      <c r="DZ627" t="s">
        <v>1635</v>
      </c>
      <c r="EI627" t="s">
        <v>576</v>
      </c>
      <c r="EJ627" t="s">
        <v>546</v>
      </c>
      <c r="EK627" t="s">
        <v>1635</v>
      </c>
      <c r="EL627" t="s">
        <v>576</v>
      </c>
      <c r="EM627" t="s">
        <v>402</v>
      </c>
      <c r="EN627">
        <v>0</v>
      </c>
      <c r="EO627">
        <v>0</v>
      </c>
    </row>
    <row r="628" spans="1:293" x14ac:dyDescent="0.25">
      <c r="A628" t="s">
        <v>12027</v>
      </c>
      <c r="B628" t="str">
        <f>"801542094164"</f>
        <v>801542094164</v>
      </c>
      <c r="C628" t="s">
        <v>12028</v>
      </c>
      <c r="D628" t="s">
        <v>835</v>
      </c>
      <c r="E628" t="s">
        <v>1077</v>
      </c>
      <c r="G628" t="str">
        <f>"65"</f>
        <v>65</v>
      </c>
      <c r="H628" t="str">
        <f>"35"</f>
        <v>35</v>
      </c>
      <c r="I628" t="str">
        <f>"16"</f>
        <v>16</v>
      </c>
      <c r="J628" t="str">
        <f>"67.02"</f>
        <v>67.02</v>
      </c>
      <c r="K628" t="s">
        <v>12029</v>
      </c>
      <c r="N628" t="s">
        <v>12030</v>
      </c>
      <c r="O628" t="s">
        <v>461</v>
      </c>
      <c r="T628" t="s">
        <v>373</v>
      </c>
      <c r="U628" t="s">
        <v>373</v>
      </c>
      <c r="V628" t="s">
        <v>12031</v>
      </c>
      <c r="W628" t="s">
        <v>12032</v>
      </c>
      <c r="X628" t="s">
        <v>12033</v>
      </c>
      <c r="Y628" t="s">
        <v>12034</v>
      </c>
      <c r="Z628" t="s">
        <v>12035</v>
      </c>
      <c r="AA628" t="s">
        <v>12036</v>
      </c>
      <c r="AB628" t="s">
        <v>12037</v>
      </c>
      <c r="AC628" t="s">
        <v>12038</v>
      </c>
      <c r="AD628" t="s">
        <v>12039</v>
      </c>
      <c r="AE628" t="s">
        <v>12040</v>
      </c>
      <c r="BA628" t="str">
        <f>"1349"</f>
        <v>1349</v>
      </c>
      <c r="BB628" t="str">
        <f>"570"</f>
        <v>570</v>
      </c>
      <c r="BC628" t="s">
        <v>388</v>
      </c>
      <c r="BD628" t="str">
        <f t="shared" si="144"/>
        <v>1</v>
      </c>
      <c r="BE628" t="s">
        <v>389</v>
      </c>
      <c r="BF628" t="str">
        <f>"69.29"</f>
        <v>69.29</v>
      </c>
      <c r="BG628" t="str">
        <f>"36.22"</f>
        <v>36.22</v>
      </c>
      <c r="BH628" t="str">
        <f>"10.63"</f>
        <v>10.63</v>
      </c>
      <c r="BI628" t="str">
        <f>"88.18"</f>
        <v>88.18</v>
      </c>
      <c r="BY628" t="str">
        <f>"15.43"</f>
        <v>15.43</v>
      </c>
      <c r="BZ628" t="str">
        <f>"0.437"</f>
        <v>0.437</v>
      </c>
      <c r="CA628" t="s">
        <v>390</v>
      </c>
      <c r="CR628" t="s">
        <v>400</v>
      </c>
      <c r="CS628">
        <v>0</v>
      </c>
      <c r="CT628" t="s">
        <v>400</v>
      </c>
      <c r="CV628">
        <v>0</v>
      </c>
      <c r="CX628" t="s">
        <v>4903</v>
      </c>
      <c r="CY628" t="s">
        <v>400</v>
      </c>
      <c r="DC628">
        <v>0</v>
      </c>
      <c r="DJ628" t="s">
        <v>408</v>
      </c>
      <c r="DK628" t="s">
        <v>12041</v>
      </c>
      <c r="DM628" t="s">
        <v>473</v>
      </c>
      <c r="DX628" t="s">
        <v>827</v>
      </c>
      <c r="DY628" t="s">
        <v>578</v>
      </c>
      <c r="DZ628" t="s">
        <v>12042</v>
      </c>
      <c r="EI628" t="s">
        <v>443</v>
      </c>
      <c r="EJ628" t="s">
        <v>474</v>
      </c>
      <c r="EK628" t="s">
        <v>12043</v>
      </c>
      <c r="EL628" t="s">
        <v>827</v>
      </c>
      <c r="EM628" t="s">
        <v>402</v>
      </c>
      <c r="EN628">
        <v>0</v>
      </c>
      <c r="EO628">
        <v>0</v>
      </c>
      <c r="EX628" t="s">
        <v>12044</v>
      </c>
    </row>
    <row r="629" spans="1:293" x14ac:dyDescent="0.25">
      <c r="A629" t="s">
        <v>12045</v>
      </c>
      <c r="B629" t="str">
        <f>"801542103736"</f>
        <v>801542103736</v>
      </c>
      <c r="C629" t="s">
        <v>12046</v>
      </c>
      <c r="D629" t="s">
        <v>1967</v>
      </c>
      <c r="E629" t="s">
        <v>459</v>
      </c>
      <c r="G629" t="str">
        <f>"22"</f>
        <v>22</v>
      </c>
      <c r="H629" t="str">
        <f>"22"</f>
        <v>22</v>
      </c>
      <c r="I629" t="str">
        <f>"22"</f>
        <v>22</v>
      </c>
      <c r="J629" t="str">
        <f>"51.81"</f>
        <v>51.81</v>
      </c>
      <c r="K629" t="s">
        <v>7763</v>
      </c>
      <c r="L629" t="s">
        <v>10015</v>
      </c>
      <c r="M629" t="s">
        <v>7764</v>
      </c>
      <c r="N629" t="s">
        <v>6002</v>
      </c>
      <c r="O629" t="s">
        <v>10016</v>
      </c>
      <c r="P629" t="s">
        <v>372</v>
      </c>
      <c r="T629" t="s">
        <v>373</v>
      </c>
      <c r="U629" t="s">
        <v>373</v>
      </c>
      <c r="W629" t="s">
        <v>12047</v>
      </c>
      <c r="X629" t="s">
        <v>12048</v>
      </c>
      <c r="Y629" t="s">
        <v>12049</v>
      </c>
      <c r="Z629" t="s">
        <v>12050</v>
      </c>
      <c r="AA629" t="s">
        <v>12051</v>
      </c>
      <c r="AB629" t="s">
        <v>12052</v>
      </c>
      <c r="AC629" t="s">
        <v>12053</v>
      </c>
      <c r="AD629" t="s">
        <v>12054</v>
      </c>
      <c r="AE629" t="s">
        <v>12055</v>
      </c>
      <c r="BA629" t="str">
        <f>"1399"</f>
        <v>1399</v>
      </c>
      <c r="BB629" t="str">
        <f>"590"</f>
        <v>590</v>
      </c>
      <c r="BC629" t="s">
        <v>388</v>
      </c>
      <c r="BD629" t="str">
        <f t="shared" si="144"/>
        <v>1</v>
      </c>
      <c r="BE629" t="s">
        <v>389</v>
      </c>
      <c r="BF629" t="str">
        <f>"27.76"</f>
        <v>27.76</v>
      </c>
      <c r="BG629" t="str">
        <f>"27.76"</f>
        <v>27.76</v>
      </c>
      <c r="BH629" t="str">
        <f>"28.35"</f>
        <v>28.35</v>
      </c>
      <c r="BI629" t="str">
        <f>"70.55"</f>
        <v>70.55</v>
      </c>
      <c r="BY629" t="str">
        <f>"12.64"</f>
        <v>12.64</v>
      </c>
      <c r="BZ629" t="str">
        <f>"0.358"</f>
        <v>0.358</v>
      </c>
      <c r="CA629" t="s">
        <v>431</v>
      </c>
      <c r="CR629" t="s">
        <v>400</v>
      </c>
      <c r="CS629">
        <v>0</v>
      </c>
      <c r="CT629" t="s">
        <v>400</v>
      </c>
      <c r="CV629">
        <v>0</v>
      </c>
      <c r="CX629" t="s">
        <v>1980</v>
      </c>
      <c r="CY629" t="s">
        <v>400</v>
      </c>
      <c r="DC629">
        <v>0</v>
      </c>
      <c r="DJ629" t="s">
        <v>471</v>
      </c>
      <c r="DK629" t="s">
        <v>7774</v>
      </c>
      <c r="DM629" t="s">
        <v>473</v>
      </c>
      <c r="DX629" t="s">
        <v>12056</v>
      </c>
      <c r="EI629" t="s">
        <v>6816</v>
      </c>
      <c r="EJ629" t="s">
        <v>12056</v>
      </c>
      <c r="EK629" t="s">
        <v>6816</v>
      </c>
      <c r="EL629" t="s">
        <v>7587</v>
      </c>
      <c r="EM629" t="s">
        <v>402</v>
      </c>
      <c r="EN629">
        <v>0</v>
      </c>
      <c r="EO629">
        <v>0</v>
      </c>
      <c r="EX629" t="s">
        <v>3511</v>
      </c>
    </row>
    <row r="630" spans="1:293" x14ac:dyDescent="0.25">
      <c r="A630" t="s">
        <v>12057</v>
      </c>
      <c r="B630" t="str">
        <f>"801542127695"</f>
        <v>801542127695</v>
      </c>
      <c r="C630" t="s">
        <v>12058</v>
      </c>
      <c r="D630" t="s">
        <v>1420</v>
      </c>
      <c r="E630" t="s">
        <v>1319</v>
      </c>
      <c r="F630" t="s">
        <v>1320</v>
      </c>
      <c r="G630" t="str">
        <f>"72.5"</f>
        <v>72.5</v>
      </c>
      <c r="H630" t="str">
        <f>"30"</f>
        <v>30</v>
      </c>
      <c r="I630" t="str">
        <f>"30.5"</f>
        <v>30.5</v>
      </c>
      <c r="J630" t="str">
        <f>"177.47"</f>
        <v>177.47</v>
      </c>
      <c r="K630" t="s">
        <v>4075</v>
      </c>
      <c r="N630" t="s">
        <v>1463</v>
      </c>
      <c r="O630" t="s">
        <v>372</v>
      </c>
      <c r="T630" t="s">
        <v>373</v>
      </c>
      <c r="U630" t="s">
        <v>373</v>
      </c>
      <c r="V630" t="s">
        <v>12059</v>
      </c>
      <c r="W630" t="s">
        <v>12060</v>
      </c>
      <c r="X630" t="s">
        <v>12061</v>
      </c>
      <c r="Y630" t="s">
        <v>12062</v>
      </c>
      <c r="Z630" t="s">
        <v>12063</v>
      </c>
      <c r="AA630" t="s">
        <v>12064</v>
      </c>
      <c r="AB630" t="s">
        <v>12065</v>
      </c>
      <c r="AC630" t="s">
        <v>12066</v>
      </c>
      <c r="AD630" t="s">
        <v>12067</v>
      </c>
      <c r="AE630" t="s">
        <v>12068</v>
      </c>
      <c r="AF630" t="s">
        <v>12069</v>
      </c>
      <c r="AG630" t="s">
        <v>12070</v>
      </c>
      <c r="AH630" t="s">
        <v>12071</v>
      </c>
      <c r="AI630" t="s">
        <v>12072</v>
      </c>
      <c r="AJ630" t="s">
        <v>12073</v>
      </c>
      <c r="AK630" t="s">
        <v>12074</v>
      </c>
      <c r="AL630" t="s">
        <v>12075</v>
      </c>
      <c r="BA630" t="str">
        <f>"2299"</f>
        <v>2299</v>
      </c>
      <c r="BB630" t="str">
        <f>"970"</f>
        <v>970</v>
      </c>
      <c r="BC630" t="s">
        <v>665</v>
      </c>
      <c r="BD630" t="str">
        <f t="shared" si="144"/>
        <v>1</v>
      </c>
      <c r="BE630" t="s">
        <v>9648</v>
      </c>
      <c r="BF630" t="str">
        <f>"76.77"</f>
        <v>76.77</v>
      </c>
      <c r="BG630" t="str">
        <f>"34.25"</f>
        <v>34.25</v>
      </c>
      <c r="BH630" t="str">
        <f>"40.75"</f>
        <v>40.75</v>
      </c>
      <c r="BI630" t="str">
        <f>"255.74"</f>
        <v>255.74</v>
      </c>
      <c r="BY630" t="str">
        <f>"62.01"</f>
        <v>62.01</v>
      </c>
      <c r="BZ630" t="str">
        <f>"1.756"</f>
        <v>1.756</v>
      </c>
      <c r="CA630" t="s">
        <v>431</v>
      </c>
      <c r="CR630" t="s">
        <v>1007</v>
      </c>
      <c r="CS630">
        <v>5</v>
      </c>
      <c r="CT630" t="s">
        <v>400</v>
      </c>
      <c r="CV630">
        <v>0</v>
      </c>
      <c r="CX630" t="s">
        <v>1980</v>
      </c>
      <c r="CY630" t="s">
        <v>1009</v>
      </c>
      <c r="DC630">
        <v>0</v>
      </c>
      <c r="DJ630" t="s">
        <v>1345</v>
      </c>
      <c r="DK630" t="s">
        <v>12076</v>
      </c>
      <c r="DM630" t="s">
        <v>669</v>
      </c>
      <c r="DX630" t="s">
        <v>2072</v>
      </c>
      <c r="DY630" t="s">
        <v>6560</v>
      </c>
      <c r="DZ630" t="s">
        <v>12077</v>
      </c>
      <c r="EI630" t="s">
        <v>1853</v>
      </c>
      <c r="EJ630" t="s">
        <v>12078</v>
      </c>
      <c r="EK630" t="s">
        <v>12079</v>
      </c>
      <c r="EL630" t="s">
        <v>8153</v>
      </c>
      <c r="EM630" t="s">
        <v>402</v>
      </c>
      <c r="EN630">
        <v>0</v>
      </c>
      <c r="EW630" t="s">
        <v>2127</v>
      </c>
      <c r="FI630">
        <v>0</v>
      </c>
      <c r="FJ630" t="s">
        <v>1012</v>
      </c>
      <c r="FR630" t="s">
        <v>1416</v>
      </c>
      <c r="FS630" t="s">
        <v>1416</v>
      </c>
      <c r="FT630" t="s">
        <v>1358</v>
      </c>
      <c r="FU630" t="s">
        <v>1358</v>
      </c>
      <c r="FV630" t="s">
        <v>12080</v>
      </c>
      <c r="FW630" t="s">
        <v>12081</v>
      </c>
      <c r="FX630" t="s">
        <v>1017</v>
      </c>
      <c r="FZ630" t="s">
        <v>1018</v>
      </c>
      <c r="GE630">
        <v>1</v>
      </c>
      <c r="GY630" t="s">
        <v>1416</v>
      </c>
      <c r="GZ630" t="s">
        <v>1352</v>
      </c>
      <c r="HA630" t="s">
        <v>1292</v>
      </c>
      <c r="HB630" t="s">
        <v>951</v>
      </c>
      <c r="HC630" t="s">
        <v>747</v>
      </c>
      <c r="HD630" t="s">
        <v>747</v>
      </c>
      <c r="HH630" t="s">
        <v>402</v>
      </c>
    </row>
    <row r="631" spans="1:293" x14ac:dyDescent="0.25">
      <c r="A631" t="s">
        <v>12082</v>
      </c>
      <c r="B631" t="str">
        <f>"198394017039"</f>
        <v>198394017039</v>
      </c>
      <c r="C631" t="s">
        <v>12083</v>
      </c>
      <c r="D631" t="s">
        <v>1420</v>
      </c>
      <c r="E631" t="s">
        <v>1319</v>
      </c>
      <c r="F631" t="s">
        <v>1320</v>
      </c>
      <c r="G631" t="str">
        <f>"72.5"</f>
        <v>72.5</v>
      </c>
      <c r="H631" t="str">
        <f>"30"</f>
        <v>30</v>
      </c>
      <c r="I631" t="str">
        <f>"30.5"</f>
        <v>30.5</v>
      </c>
      <c r="J631" t="str">
        <f>"177.47"</f>
        <v>177.47</v>
      </c>
      <c r="K631" t="s">
        <v>4099</v>
      </c>
      <c r="N631" t="s">
        <v>1463</v>
      </c>
      <c r="O631" t="s">
        <v>372</v>
      </c>
      <c r="T631" t="s">
        <v>373</v>
      </c>
      <c r="U631" t="s">
        <v>373</v>
      </c>
      <c r="V631" t="s">
        <v>12084</v>
      </c>
      <c r="W631" t="s">
        <v>12085</v>
      </c>
      <c r="X631" t="s">
        <v>12086</v>
      </c>
      <c r="Y631" t="s">
        <v>12087</v>
      </c>
      <c r="Z631" t="s">
        <v>12088</v>
      </c>
      <c r="AA631" t="s">
        <v>12089</v>
      </c>
      <c r="AB631" t="s">
        <v>12090</v>
      </c>
      <c r="AC631" t="s">
        <v>12091</v>
      </c>
      <c r="AD631" t="s">
        <v>12092</v>
      </c>
      <c r="AE631" t="s">
        <v>12093</v>
      </c>
      <c r="AF631" t="s">
        <v>12094</v>
      </c>
      <c r="AG631" t="s">
        <v>12095</v>
      </c>
      <c r="AH631" t="s">
        <v>12096</v>
      </c>
      <c r="AI631" t="s">
        <v>12097</v>
      </c>
      <c r="AJ631" t="s">
        <v>12098</v>
      </c>
      <c r="BA631" t="str">
        <f>"2299"</f>
        <v>2299</v>
      </c>
      <c r="BB631" t="str">
        <f>"970"</f>
        <v>970</v>
      </c>
      <c r="BC631" t="s">
        <v>665</v>
      </c>
      <c r="BD631" t="str">
        <f t="shared" si="144"/>
        <v>1</v>
      </c>
      <c r="BE631" t="s">
        <v>9648</v>
      </c>
      <c r="BF631" t="str">
        <f>"76.77"</f>
        <v>76.77</v>
      </c>
      <c r="BG631" t="str">
        <f>"34.25"</f>
        <v>34.25</v>
      </c>
      <c r="BH631" t="str">
        <f>"40.75"</f>
        <v>40.75</v>
      </c>
      <c r="BI631" t="str">
        <f>"255.74"</f>
        <v>255.74</v>
      </c>
      <c r="BY631" t="str">
        <f>"62.01"</f>
        <v>62.01</v>
      </c>
      <c r="BZ631" t="str">
        <f>"1.756"</f>
        <v>1.756</v>
      </c>
      <c r="CA631" t="s">
        <v>431</v>
      </c>
      <c r="CR631" t="s">
        <v>1007</v>
      </c>
      <c r="CS631">
        <v>5</v>
      </c>
      <c r="CT631" t="s">
        <v>400</v>
      </c>
      <c r="CV631">
        <v>0</v>
      </c>
      <c r="CX631" t="s">
        <v>1980</v>
      </c>
      <c r="CY631" t="s">
        <v>1009</v>
      </c>
      <c r="DC631">
        <v>0</v>
      </c>
      <c r="DJ631" t="s">
        <v>1345</v>
      </c>
      <c r="DK631" t="s">
        <v>12076</v>
      </c>
      <c r="DM631" t="s">
        <v>669</v>
      </c>
      <c r="DX631" t="s">
        <v>2072</v>
      </c>
      <c r="DY631" t="s">
        <v>6560</v>
      </c>
      <c r="DZ631" t="s">
        <v>12077</v>
      </c>
      <c r="EI631" t="s">
        <v>1853</v>
      </c>
      <c r="EJ631" t="s">
        <v>12078</v>
      </c>
      <c r="EK631" t="s">
        <v>12079</v>
      </c>
      <c r="EL631" t="s">
        <v>8153</v>
      </c>
      <c r="EM631" t="s">
        <v>402</v>
      </c>
      <c r="EN631">
        <v>0</v>
      </c>
      <c r="EW631" t="s">
        <v>2127</v>
      </c>
      <c r="FI631">
        <v>0</v>
      </c>
      <c r="FJ631" t="s">
        <v>1012</v>
      </c>
      <c r="FR631" t="s">
        <v>1416</v>
      </c>
      <c r="FS631" t="s">
        <v>1416</v>
      </c>
      <c r="FT631" t="s">
        <v>1358</v>
      </c>
      <c r="FU631" t="s">
        <v>1358</v>
      </c>
      <c r="FV631" t="s">
        <v>12080</v>
      </c>
      <c r="FW631" t="s">
        <v>12081</v>
      </c>
      <c r="FX631" t="s">
        <v>1017</v>
      </c>
      <c r="FZ631" t="s">
        <v>1018</v>
      </c>
      <c r="GE631">
        <v>1</v>
      </c>
      <c r="GY631" t="s">
        <v>1416</v>
      </c>
      <c r="GZ631" t="s">
        <v>1352</v>
      </c>
      <c r="HA631" t="s">
        <v>1292</v>
      </c>
      <c r="HB631" t="s">
        <v>951</v>
      </c>
      <c r="HC631" t="s">
        <v>747</v>
      </c>
      <c r="HD631" t="s">
        <v>747</v>
      </c>
      <c r="HH631" t="s">
        <v>402</v>
      </c>
    </row>
    <row r="632" spans="1:293" x14ac:dyDescent="0.25">
      <c r="A632" t="s">
        <v>12099</v>
      </c>
      <c r="B632" t="str">
        <f>"801542094997"</f>
        <v>801542094997</v>
      </c>
      <c r="C632" t="s">
        <v>12100</v>
      </c>
      <c r="D632" t="s">
        <v>835</v>
      </c>
      <c r="E632" t="s">
        <v>459</v>
      </c>
      <c r="G632" t="str">
        <f>"22"</f>
        <v>22</v>
      </c>
      <c r="H632" t="str">
        <f>"25.5"</f>
        <v>25.5</v>
      </c>
      <c r="I632" t="str">
        <f>"22"</f>
        <v>22</v>
      </c>
      <c r="J632" t="str">
        <f>"23.15"</f>
        <v>23.15</v>
      </c>
      <c r="K632" t="s">
        <v>12101</v>
      </c>
      <c r="N632" t="s">
        <v>461</v>
      </c>
      <c r="T632" t="s">
        <v>373</v>
      </c>
      <c r="U632" t="s">
        <v>373</v>
      </c>
      <c r="V632" t="s">
        <v>12102</v>
      </c>
      <c r="W632" t="s">
        <v>12103</v>
      </c>
      <c r="X632" t="s">
        <v>12104</v>
      </c>
      <c r="Y632" t="s">
        <v>12105</v>
      </c>
      <c r="Z632" t="s">
        <v>12106</v>
      </c>
      <c r="AA632" t="s">
        <v>12107</v>
      </c>
      <c r="AB632" t="s">
        <v>12108</v>
      </c>
      <c r="AC632" t="s">
        <v>12109</v>
      </c>
      <c r="AD632" t="s">
        <v>12110</v>
      </c>
      <c r="AE632" t="s">
        <v>12111</v>
      </c>
      <c r="BA632" t="str">
        <f>"549"</f>
        <v>549</v>
      </c>
      <c r="BB632" t="str">
        <f>"235"</f>
        <v>235</v>
      </c>
      <c r="BC632" t="s">
        <v>388</v>
      </c>
      <c r="BD632" t="str">
        <f t="shared" si="144"/>
        <v>1</v>
      </c>
      <c r="BE632" t="s">
        <v>389</v>
      </c>
      <c r="BF632" t="str">
        <f>"29.13"</f>
        <v>29.13</v>
      </c>
      <c r="BG632" t="str">
        <f>"25.98"</f>
        <v>25.98</v>
      </c>
      <c r="BH632" t="str">
        <f>"11.02"</f>
        <v>11.02</v>
      </c>
      <c r="BI632" t="str">
        <f>"32.63"</f>
        <v>32.63</v>
      </c>
      <c r="BY632" t="str">
        <f>"4.84"</f>
        <v>4.84</v>
      </c>
      <c r="BZ632" t="str">
        <f>"0.137"</f>
        <v>0.137</v>
      </c>
      <c r="CA632" t="s">
        <v>390</v>
      </c>
      <c r="CR632" t="s">
        <v>400</v>
      </c>
      <c r="CS632">
        <v>0</v>
      </c>
      <c r="CT632" t="s">
        <v>400</v>
      </c>
      <c r="CV632">
        <v>0</v>
      </c>
      <c r="CX632" t="s">
        <v>4903</v>
      </c>
      <c r="CY632" t="s">
        <v>400</v>
      </c>
      <c r="DC632">
        <v>0</v>
      </c>
      <c r="DJ632" t="s">
        <v>408</v>
      </c>
      <c r="DK632" t="s">
        <v>12041</v>
      </c>
      <c r="DM632" t="s">
        <v>473</v>
      </c>
      <c r="DX632" t="s">
        <v>827</v>
      </c>
      <c r="DY632" t="s">
        <v>601</v>
      </c>
      <c r="DZ632" t="s">
        <v>1056</v>
      </c>
      <c r="EI632" t="s">
        <v>2083</v>
      </c>
      <c r="EJ632" t="s">
        <v>601</v>
      </c>
      <c r="EK632" t="s">
        <v>474</v>
      </c>
      <c r="EL632" t="s">
        <v>827</v>
      </c>
      <c r="EM632" t="s">
        <v>402</v>
      </c>
      <c r="EN632">
        <v>0</v>
      </c>
      <c r="EO632">
        <v>0</v>
      </c>
      <c r="EX632" t="s">
        <v>1852</v>
      </c>
    </row>
    <row r="633" spans="1:293" x14ac:dyDescent="0.25">
      <c r="A633" t="s">
        <v>12112</v>
      </c>
      <c r="B633" t="str">
        <f>"801542094980"</f>
        <v>801542094980</v>
      </c>
      <c r="C633" t="s">
        <v>12113</v>
      </c>
      <c r="D633" t="s">
        <v>835</v>
      </c>
      <c r="E633" t="s">
        <v>4074</v>
      </c>
      <c r="G633" t="str">
        <f>"78"</f>
        <v>78</v>
      </c>
      <c r="H633" t="str">
        <f>"25.5"</f>
        <v>25.5</v>
      </c>
      <c r="I633" t="str">
        <f>"31"</f>
        <v>31</v>
      </c>
      <c r="J633" t="str">
        <f>"62.61"</f>
        <v>62.61</v>
      </c>
      <c r="K633" t="s">
        <v>12101</v>
      </c>
      <c r="N633" t="s">
        <v>461</v>
      </c>
      <c r="T633" t="s">
        <v>373</v>
      </c>
      <c r="U633" t="s">
        <v>373</v>
      </c>
      <c r="V633" t="s">
        <v>12114</v>
      </c>
      <c r="W633" t="s">
        <v>12115</v>
      </c>
      <c r="X633" t="s">
        <v>12116</v>
      </c>
      <c r="Y633" t="s">
        <v>12117</v>
      </c>
      <c r="Z633" t="s">
        <v>12118</v>
      </c>
      <c r="AA633" t="s">
        <v>12119</v>
      </c>
      <c r="AB633" t="s">
        <v>12120</v>
      </c>
      <c r="AC633" t="s">
        <v>12121</v>
      </c>
      <c r="AD633" t="s">
        <v>12122</v>
      </c>
      <c r="AE633" t="s">
        <v>12123</v>
      </c>
      <c r="BA633" t="str">
        <f>"1199"</f>
        <v>1199</v>
      </c>
      <c r="BB633" t="str">
        <f>"505"</f>
        <v>505</v>
      </c>
      <c r="BC633" t="s">
        <v>388</v>
      </c>
      <c r="BD633" t="str">
        <f t="shared" si="144"/>
        <v>1</v>
      </c>
      <c r="BE633" t="s">
        <v>389</v>
      </c>
      <c r="BF633" t="str">
        <f>"80.91"</f>
        <v>80.91</v>
      </c>
      <c r="BG633" t="str">
        <f>"28.54"</f>
        <v>28.54</v>
      </c>
      <c r="BH633" t="str">
        <f>"9.65"</f>
        <v>9.65</v>
      </c>
      <c r="BI633" t="str">
        <f>"80.91"</f>
        <v>80.91</v>
      </c>
      <c r="BY633" t="str">
        <f>"12.89"</f>
        <v>12.89</v>
      </c>
      <c r="BZ633" t="str">
        <f>"0.365"</f>
        <v>0.365</v>
      </c>
      <c r="CA633" t="s">
        <v>390</v>
      </c>
      <c r="CR633" t="s">
        <v>400</v>
      </c>
      <c r="CS633">
        <v>0</v>
      </c>
      <c r="CT633" t="s">
        <v>400</v>
      </c>
      <c r="CV633">
        <v>0</v>
      </c>
      <c r="CX633" t="s">
        <v>4903</v>
      </c>
      <c r="CY633" t="s">
        <v>400</v>
      </c>
      <c r="DC633">
        <v>0</v>
      </c>
      <c r="DJ633" t="s">
        <v>408</v>
      </c>
      <c r="DK633" t="s">
        <v>12041</v>
      </c>
      <c r="DM633" t="s">
        <v>669</v>
      </c>
      <c r="DX633" t="s">
        <v>2510</v>
      </c>
      <c r="DY633" t="s">
        <v>601</v>
      </c>
      <c r="DZ633" t="s">
        <v>7984</v>
      </c>
      <c r="EI633" t="s">
        <v>2083</v>
      </c>
      <c r="EJ633" t="s">
        <v>3096</v>
      </c>
      <c r="EK633" t="s">
        <v>452</v>
      </c>
      <c r="EL633" t="s">
        <v>827</v>
      </c>
      <c r="EM633" t="s">
        <v>402</v>
      </c>
      <c r="EN633">
        <v>0</v>
      </c>
      <c r="EO633">
        <v>0</v>
      </c>
      <c r="EX633" t="s">
        <v>446</v>
      </c>
      <c r="FI633">
        <v>0</v>
      </c>
      <c r="FJ633" t="s">
        <v>1012</v>
      </c>
    </row>
    <row r="634" spans="1:293" x14ac:dyDescent="0.25">
      <c r="A634" t="s">
        <v>12124</v>
      </c>
      <c r="B634" t="str">
        <f>"801542394363"</f>
        <v>801542394363</v>
      </c>
      <c r="C634" t="s">
        <v>12125</v>
      </c>
      <c r="D634" t="s">
        <v>1420</v>
      </c>
      <c r="E634" t="s">
        <v>930</v>
      </c>
      <c r="G634" t="str">
        <f>"94"</f>
        <v>94</v>
      </c>
      <c r="H634" t="str">
        <f>"23"</f>
        <v>23</v>
      </c>
      <c r="I634" t="str">
        <f>"33"</f>
        <v>33</v>
      </c>
      <c r="J634" t="str">
        <f>"220.46"</f>
        <v>220.46</v>
      </c>
      <c r="K634" t="s">
        <v>10432</v>
      </c>
      <c r="L634" t="s">
        <v>1462</v>
      </c>
      <c r="N634" t="s">
        <v>372</v>
      </c>
      <c r="O634" t="s">
        <v>1463</v>
      </c>
      <c r="T634" t="s">
        <v>402</v>
      </c>
      <c r="U634" t="s">
        <v>373</v>
      </c>
      <c r="V634" t="s">
        <v>12126</v>
      </c>
      <c r="W634" t="s">
        <v>12127</v>
      </c>
      <c r="X634" t="s">
        <v>12128</v>
      </c>
      <c r="Y634" t="s">
        <v>12129</v>
      </c>
      <c r="Z634" t="s">
        <v>12130</v>
      </c>
      <c r="AA634" t="s">
        <v>12131</v>
      </c>
      <c r="AB634" t="s">
        <v>12132</v>
      </c>
      <c r="AC634" t="s">
        <v>12133</v>
      </c>
      <c r="AD634" t="s">
        <v>12134</v>
      </c>
      <c r="AE634" t="s">
        <v>12135</v>
      </c>
      <c r="AF634" t="s">
        <v>12136</v>
      </c>
      <c r="AG634" t="s">
        <v>12137</v>
      </c>
      <c r="AH634" t="s">
        <v>12138</v>
      </c>
      <c r="AI634" t="s">
        <v>12139</v>
      </c>
      <c r="BA634" t="str">
        <f>"2599"</f>
        <v>2599</v>
      </c>
      <c r="BB634" t="str">
        <f>"1095"</f>
        <v>1095</v>
      </c>
      <c r="BC634" t="s">
        <v>665</v>
      </c>
      <c r="BD634" t="str">
        <f t="shared" si="144"/>
        <v>1</v>
      </c>
      <c r="BE634" t="s">
        <v>9060</v>
      </c>
      <c r="BF634" t="str">
        <f>"97.83"</f>
        <v>97.83</v>
      </c>
      <c r="BG634" t="str">
        <f>"26.77"</f>
        <v>26.77</v>
      </c>
      <c r="BH634" t="str">
        <f>"32.87"</f>
        <v>32.87</v>
      </c>
      <c r="BI634" t="str">
        <f>"272.27"</f>
        <v>272.27</v>
      </c>
      <c r="BY634" t="str">
        <f>"49.83"</f>
        <v>49.83</v>
      </c>
      <c r="BZ634" t="str">
        <f>"1.411"</f>
        <v>1.411</v>
      </c>
      <c r="CA634" t="s">
        <v>431</v>
      </c>
      <c r="CE634" t="s">
        <v>10916</v>
      </c>
      <c r="CF634" t="s">
        <v>10095</v>
      </c>
      <c r="CG634" t="s">
        <v>12140</v>
      </c>
      <c r="CR634" t="s">
        <v>400</v>
      </c>
      <c r="CS634">
        <v>0</v>
      </c>
      <c r="CT634" t="s">
        <v>400</v>
      </c>
      <c r="CV634">
        <v>0</v>
      </c>
      <c r="CX634" t="s">
        <v>403</v>
      </c>
      <c r="CY634" t="s">
        <v>954</v>
      </c>
      <c r="DA634">
        <v>18.14</v>
      </c>
      <c r="DB634">
        <v>40</v>
      </c>
      <c r="DC634">
        <v>2</v>
      </c>
      <c r="DK634" t="s">
        <v>1438</v>
      </c>
      <c r="DM634" t="s">
        <v>669</v>
      </c>
      <c r="DX634" t="s">
        <v>3079</v>
      </c>
      <c r="EM634" t="s">
        <v>402</v>
      </c>
      <c r="EN634">
        <v>2</v>
      </c>
      <c r="EZ634" t="s">
        <v>12141</v>
      </c>
      <c r="FA634" t="s">
        <v>4614</v>
      </c>
      <c r="FB634" t="s">
        <v>396</v>
      </c>
      <c r="FC634" t="s">
        <v>10916</v>
      </c>
      <c r="FD634" t="s">
        <v>4614</v>
      </c>
      <c r="FE634" t="s">
        <v>12140</v>
      </c>
      <c r="FF634">
        <v>0</v>
      </c>
      <c r="FH634" t="s">
        <v>1245</v>
      </c>
      <c r="FI634">
        <v>4</v>
      </c>
      <c r="FJ634" t="s">
        <v>960</v>
      </c>
      <c r="FK634" t="s">
        <v>961</v>
      </c>
      <c r="FL634">
        <v>0</v>
      </c>
      <c r="FM634" t="s">
        <v>402</v>
      </c>
      <c r="FO634" t="s">
        <v>984</v>
      </c>
      <c r="GB634" t="s">
        <v>10916</v>
      </c>
      <c r="GC634" t="s">
        <v>10095</v>
      </c>
      <c r="GD634" t="s">
        <v>12140</v>
      </c>
      <c r="GX634" t="s">
        <v>392</v>
      </c>
      <c r="HI634" t="s">
        <v>402</v>
      </c>
      <c r="KG634" t="s">
        <v>1008</v>
      </c>
    </row>
    <row r="635" spans="1:293" x14ac:dyDescent="0.25">
      <c r="A635" t="s">
        <v>12142</v>
      </c>
      <c r="B635" t="str">
        <f>"801542154714"</f>
        <v>801542154714</v>
      </c>
      <c r="C635" t="s">
        <v>12143</v>
      </c>
      <c r="D635" t="s">
        <v>1420</v>
      </c>
      <c r="E635" t="s">
        <v>4074</v>
      </c>
      <c r="G635" t="str">
        <f>"78"</f>
        <v>78</v>
      </c>
      <c r="H635" t="str">
        <f>"22"</f>
        <v>22</v>
      </c>
      <c r="I635" t="str">
        <f>"31"</f>
        <v>31</v>
      </c>
      <c r="J635" t="str">
        <f>"61.73"</f>
        <v>61.73</v>
      </c>
      <c r="K635" t="s">
        <v>7518</v>
      </c>
      <c r="L635" t="s">
        <v>7519</v>
      </c>
      <c r="N635" t="s">
        <v>1423</v>
      </c>
      <c r="O635" t="s">
        <v>1424</v>
      </c>
      <c r="T635" t="s">
        <v>373</v>
      </c>
      <c r="U635" t="s">
        <v>373</v>
      </c>
      <c r="V635" t="s">
        <v>12144</v>
      </c>
      <c r="W635" t="s">
        <v>12145</v>
      </c>
      <c r="X635" t="s">
        <v>12146</v>
      </c>
      <c r="Y635" t="s">
        <v>12147</v>
      </c>
      <c r="Z635" t="s">
        <v>12148</v>
      </c>
      <c r="AA635" t="s">
        <v>12149</v>
      </c>
      <c r="AB635" t="s">
        <v>12150</v>
      </c>
      <c r="AC635" t="s">
        <v>12151</v>
      </c>
      <c r="AD635" t="s">
        <v>12152</v>
      </c>
      <c r="AE635" t="s">
        <v>12153</v>
      </c>
      <c r="AF635" t="s">
        <v>12154</v>
      </c>
      <c r="AG635" t="s">
        <v>12155</v>
      </c>
      <c r="BA635" t="str">
        <f>"999"</f>
        <v>999</v>
      </c>
      <c r="BB635" t="str">
        <f>"420"</f>
        <v>420</v>
      </c>
      <c r="BC635" t="s">
        <v>665</v>
      </c>
      <c r="BD635" t="str">
        <f>"2"</f>
        <v>2</v>
      </c>
      <c r="BE635" t="s">
        <v>1089</v>
      </c>
      <c r="BF635" t="str">
        <f>"81.89"</f>
        <v>81.89</v>
      </c>
      <c r="BG635" t="str">
        <f>"4.92"</f>
        <v>4.92</v>
      </c>
      <c r="BH635" t="str">
        <f>"25.79"</f>
        <v>25.79</v>
      </c>
      <c r="BI635" t="str">
        <f>"45.19"</f>
        <v>45.19</v>
      </c>
      <c r="BJ635" t="s">
        <v>1090</v>
      </c>
      <c r="BK635" t="str">
        <f>"18.5"</f>
        <v>18.5</v>
      </c>
      <c r="BL635" t="str">
        <f>"18.9"</f>
        <v>18.9</v>
      </c>
      <c r="BM635" t="str">
        <f>"34.65"</f>
        <v>34.65</v>
      </c>
      <c r="BN635" t="str">
        <f>"38.58"</f>
        <v>38.58</v>
      </c>
      <c r="BY635" t="str">
        <f>"13.03"</f>
        <v>13.03</v>
      </c>
      <c r="BZ635" t="str">
        <f>"0.369"</f>
        <v>0.369</v>
      </c>
      <c r="CA635" t="s">
        <v>390</v>
      </c>
      <c r="CR635" t="s">
        <v>400</v>
      </c>
      <c r="CS635">
        <v>0</v>
      </c>
      <c r="CT635" t="s">
        <v>400</v>
      </c>
      <c r="CV635">
        <v>0</v>
      </c>
      <c r="CX635" t="s">
        <v>953</v>
      </c>
      <c r="CY635" t="s">
        <v>400</v>
      </c>
      <c r="DC635">
        <v>0</v>
      </c>
      <c r="DJ635" t="s">
        <v>1437</v>
      </c>
      <c r="DK635" t="s">
        <v>1438</v>
      </c>
      <c r="DM635" t="s">
        <v>669</v>
      </c>
      <c r="DX635" t="s">
        <v>12156</v>
      </c>
      <c r="DZ635" t="s">
        <v>12157</v>
      </c>
      <c r="EI635" t="s">
        <v>979</v>
      </c>
      <c r="EJ635" t="s">
        <v>12156</v>
      </c>
      <c r="EK635" t="s">
        <v>8376</v>
      </c>
      <c r="EL635" t="s">
        <v>1441</v>
      </c>
      <c r="EM635" t="s">
        <v>402</v>
      </c>
      <c r="EN635">
        <v>0</v>
      </c>
      <c r="EO635">
        <v>0</v>
      </c>
      <c r="EX635" t="s">
        <v>635</v>
      </c>
      <c r="FI635">
        <v>0</v>
      </c>
      <c r="FJ635" t="s">
        <v>1012</v>
      </c>
    </row>
    <row r="636" spans="1:293" x14ac:dyDescent="0.25">
      <c r="A636" t="s">
        <v>12158</v>
      </c>
      <c r="B636" t="str">
        <f>"801542203887"</f>
        <v>801542203887</v>
      </c>
      <c r="C636" t="s">
        <v>12159</v>
      </c>
      <c r="D636" t="s">
        <v>1420</v>
      </c>
      <c r="E636" t="s">
        <v>4074</v>
      </c>
      <c r="G636" t="str">
        <f>"78"</f>
        <v>78</v>
      </c>
      <c r="H636" t="str">
        <f>"22"</f>
        <v>22</v>
      </c>
      <c r="I636" t="str">
        <f>"31"</f>
        <v>31</v>
      </c>
      <c r="J636" t="str">
        <f>"61.73"</f>
        <v>61.73</v>
      </c>
      <c r="K636" t="s">
        <v>1421</v>
      </c>
      <c r="L636" t="s">
        <v>1422</v>
      </c>
      <c r="N636" t="s">
        <v>1423</v>
      </c>
      <c r="O636" t="s">
        <v>1424</v>
      </c>
      <c r="T636" t="s">
        <v>373</v>
      </c>
      <c r="U636" t="s">
        <v>373</v>
      </c>
      <c r="W636" t="s">
        <v>12160</v>
      </c>
      <c r="X636" t="s">
        <v>12161</v>
      </c>
      <c r="Y636" t="s">
        <v>12162</v>
      </c>
      <c r="Z636" t="s">
        <v>12163</v>
      </c>
      <c r="AA636" t="s">
        <v>12164</v>
      </c>
      <c r="AB636" t="s">
        <v>12165</v>
      </c>
      <c r="AC636" t="s">
        <v>12166</v>
      </c>
      <c r="AD636" t="s">
        <v>12167</v>
      </c>
      <c r="AE636" t="s">
        <v>12168</v>
      </c>
      <c r="AF636" t="s">
        <v>12169</v>
      </c>
      <c r="AG636" t="s">
        <v>12170</v>
      </c>
      <c r="BA636" t="str">
        <f>"999"</f>
        <v>999</v>
      </c>
      <c r="BB636" t="str">
        <f>"420"</f>
        <v>420</v>
      </c>
      <c r="BC636" t="s">
        <v>665</v>
      </c>
      <c r="BD636" t="str">
        <f>"2"</f>
        <v>2</v>
      </c>
      <c r="BE636" t="s">
        <v>1089</v>
      </c>
      <c r="BF636" t="str">
        <f>"81.89"</f>
        <v>81.89</v>
      </c>
      <c r="BG636" t="str">
        <f>"4.92"</f>
        <v>4.92</v>
      </c>
      <c r="BH636" t="str">
        <f>"25.79"</f>
        <v>25.79</v>
      </c>
      <c r="BI636" t="str">
        <f>"45.19"</f>
        <v>45.19</v>
      </c>
      <c r="BJ636" t="s">
        <v>1090</v>
      </c>
      <c r="BK636" t="str">
        <f>"18.5"</f>
        <v>18.5</v>
      </c>
      <c r="BL636" t="str">
        <f>"18.9"</f>
        <v>18.9</v>
      </c>
      <c r="BM636" t="str">
        <f>"34.65"</f>
        <v>34.65</v>
      </c>
      <c r="BN636" t="str">
        <f>"38.58"</f>
        <v>38.58</v>
      </c>
      <c r="BY636" t="str">
        <f>"13.03"</f>
        <v>13.03</v>
      </c>
      <c r="BZ636" t="str">
        <f>"0.369"</f>
        <v>0.369</v>
      </c>
      <c r="CA636" t="s">
        <v>390</v>
      </c>
      <c r="CR636" t="s">
        <v>400</v>
      </c>
      <c r="CS636">
        <v>0</v>
      </c>
      <c r="CT636" t="s">
        <v>400</v>
      </c>
      <c r="CV636">
        <v>0</v>
      </c>
      <c r="CX636" t="s">
        <v>953</v>
      </c>
      <c r="CY636" t="s">
        <v>400</v>
      </c>
      <c r="DC636">
        <v>0</v>
      </c>
      <c r="DJ636" t="s">
        <v>1437</v>
      </c>
      <c r="DK636" t="s">
        <v>1438</v>
      </c>
      <c r="DM636" t="s">
        <v>669</v>
      </c>
      <c r="DX636" t="s">
        <v>12156</v>
      </c>
      <c r="DZ636" t="s">
        <v>12157</v>
      </c>
      <c r="EI636" t="s">
        <v>979</v>
      </c>
      <c r="EJ636" t="s">
        <v>12156</v>
      </c>
      <c r="EK636" t="s">
        <v>8376</v>
      </c>
      <c r="EL636" t="s">
        <v>1441</v>
      </c>
      <c r="EM636" t="s">
        <v>402</v>
      </c>
      <c r="EN636">
        <v>0</v>
      </c>
      <c r="EO636">
        <v>0</v>
      </c>
      <c r="EX636" t="s">
        <v>635</v>
      </c>
      <c r="FI636">
        <v>0</v>
      </c>
      <c r="FJ636" t="s">
        <v>1012</v>
      </c>
    </row>
    <row r="637" spans="1:293" x14ac:dyDescent="0.25">
      <c r="A637" t="s">
        <v>12171</v>
      </c>
      <c r="B637" t="str">
        <f>"801542154707"</f>
        <v>801542154707</v>
      </c>
      <c r="C637" t="s">
        <v>12172</v>
      </c>
      <c r="D637" t="s">
        <v>1420</v>
      </c>
      <c r="E637" t="s">
        <v>4074</v>
      </c>
      <c r="G637" t="str">
        <f>"78"</f>
        <v>78</v>
      </c>
      <c r="H637" t="str">
        <f>"22"</f>
        <v>22</v>
      </c>
      <c r="I637" t="str">
        <f>"31"</f>
        <v>31</v>
      </c>
      <c r="J637" t="str">
        <f>"171.96"</f>
        <v>171.96</v>
      </c>
      <c r="K637" t="s">
        <v>7821</v>
      </c>
      <c r="L637" t="s">
        <v>7518</v>
      </c>
      <c r="M637" t="s">
        <v>7519</v>
      </c>
      <c r="N637" t="s">
        <v>6002</v>
      </c>
      <c r="O637" t="s">
        <v>1423</v>
      </c>
      <c r="P637" t="s">
        <v>1424</v>
      </c>
      <c r="T637" t="s">
        <v>373</v>
      </c>
      <c r="U637" t="s">
        <v>373</v>
      </c>
      <c r="V637" t="s">
        <v>12173</v>
      </c>
      <c r="W637" t="s">
        <v>12174</v>
      </c>
      <c r="X637" t="s">
        <v>12175</v>
      </c>
      <c r="Y637" t="s">
        <v>12176</v>
      </c>
      <c r="Z637" t="s">
        <v>12177</v>
      </c>
      <c r="AA637" t="s">
        <v>12178</v>
      </c>
      <c r="AB637" t="s">
        <v>12179</v>
      </c>
      <c r="AC637" t="s">
        <v>12180</v>
      </c>
      <c r="AD637" t="s">
        <v>12181</v>
      </c>
      <c r="AE637" t="s">
        <v>12182</v>
      </c>
      <c r="AF637" t="s">
        <v>12183</v>
      </c>
      <c r="AG637" t="s">
        <v>12184</v>
      </c>
      <c r="AH637" t="s">
        <v>12185</v>
      </c>
      <c r="AI637" t="s">
        <v>12186</v>
      </c>
      <c r="BA637" t="str">
        <f>"1899"</f>
        <v>1899</v>
      </c>
      <c r="BB637" t="str">
        <f>"800"</f>
        <v>800</v>
      </c>
      <c r="BC637" t="s">
        <v>665</v>
      </c>
      <c r="BD637" t="str">
        <f>"2"</f>
        <v>2</v>
      </c>
      <c r="BE637" t="s">
        <v>1089</v>
      </c>
      <c r="BF637" t="str">
        <f>"83.66"</f>
        <v>83.66</v>
      </c>
      <c r="BG637" t="str">
        <f>"27.76"</f>
        <v>27.76</v>
      </c>
      <c r="BH637" t="str">
        <f>"5.91"</f>
        <v>5.91</v>
      </c>
      <c r="BI637" t="str">
        <f>"187.39"</f>
        <v>187.39</v>
      </c>
      <c r="BJ637" t="s">
        <v>1090</v>
      </c>
      <c r="BK637" t="str">
        <f>"18.5"</f>
        <v>18.5</v>
      </c>
      <c r="BL637" t="str">
        <f>"18.9"</f>
        <v>18.9</v>
      </c>
      <c r="BM637" t="str">
        <f>"34.65"</f>
        <v>34.65</v>
      </c>
      <c r="BN637" t="str">
        <f>"38.58"</f>
        <v>38.58</v>
      </c>
      <c r="BY637" t="str">
        <f>"14.97"</f>
        <v>14.97</v>
      </c>
      <c r="BZ637" t="str">
        <f>"0.424"</f>
        <v>0.424</v>
      </c>
      <c r="CA637" t="s">
        <v>390</v>
      </c>
      <c r="CR637" t="s">
        <v>400</v>
      </c>
      <c r="CS637">
        <v>0</v>
      </c>
      <c r="CT637" t="s">
        <v>400</v>
      </c>
      <c r="CV637">
        <v>0</v>
      </c>
      <c r="CX637" t="s">
        <v>953</v>
      </c>
      <c r="CY637" t="s">
        <v>400</v>
      </c>
      <c r="DC637">
        <v>0</v>
      </c>
      <c r="DJ637" t="s">
        <v>1437</v>
      </c>
      <c r="DK637" t="s">
        <v>1438</v>
      </c>
      <c r="DM637" t="s">
        <v>669</v>
      </c>
      <c r="DX637" t="s">
        <v>12156</v>
      </c>
      <c r="DZ637" t="s">
        <v>12157</v>
      </c>
      <c r="EI637" t="s">
        <v>979</v>
      </c>
      <c r="EJ637" t="s">
        <v>12156</v>
      </c>
      <c r="EK637" t="s">
        <v>8376</v>
      </c>
      <c r="EL637" t="s">
        <v>1441</v>
      </c>
      <c r="EM637" t="s">
        <v>402</v>
      </c>
      <c r="EN637">
        <v>0</v>
      </c>
      <c r="EO637">
        <v>0</v>
      </c>
      <c r="EX637" t="s">
        <v>635</v>
      </c>
      <c r="FI637">
        <v>0</v>
      </c>
      <c r="FJ637" t="s">
        <v>1012</v>
      </c>
    </row>
    <row r="638" spans="1:293" x14ac:dyDescent="0.25">
      <c r="A638" t="s">
        <v>12187</v>
      </c>
      <c r="B638" t="str">
        <f>"198394019781"</f>
        <v>198394019781</v>
      </c>
      <c r="C638" t="s">
        <v>12188</v>
      </c>
      <c r="D638" t="s">
        <v>1420</v>
      </c>
      <c r="E638" t="s">
        <v>4074</v>
      </c>
      <c r="G638" t="str">
        <f>"78"</f>
        <v>78</v>
      </c>
      <c r="H638" t="str">
        <f>"22"</f>
        <v>22</v>
      </c>
      <c r="I638" t="str">
        <f>"31"</f>
        <v>31</v>
      </c>
      <c r="J638" t="str">
        <f>"71.65"</f>
        <v>71.65</v>
      </c>
      <c r="K638" t="s">
        <v>10432</v>
      </c>
      <c r="L638" t="s">
        <v>1462</v>
      </c>
      <c r="N638" t="s">
        <v>372</v>
      </c>
      <c r="O638" t="s">
        <v>1463</v>
      </c>
      <c r="T638" t="s">
        <v>373</v>
      </c>
      <c r="U638" t="s">
        <v>373</v>
      </c>
      <c r="V638" t="s">
        <v>12189</v>
      </c>
      <c r="W638" t="s">
        <v>12190</v>
      </c>
      <c r="X638" t="s">
        <v>12191</v>
      </c>
      <c r="Y638" t="s">
        <v>12192</v>
      </c>
      <c r="Z638" t="s">
        <v>12193</v>
      </c>
      <c r="AA638" t="s">
        <v>12194</v>
      </c>
      <c r="AB638" t="s">
        <v>12195</v>
      </c>
      <c r="AC638" t="s">
        <v>12196</v>
      </c>
      <c r="AD638" t="s">
        <v>12197</v>
      </c>
      <c r="AE638" t="s">
        <v>12198</v>
      </c>
      <c r="AF638" t="s">
        <v>12199</v>
      </c>
      <c r="BA638" t="str">
        <f>"1199"</f>
        <v>1199</v>
      </c>
      <c r="BB638" t="str">
        <f>"505"</f>
        <v>505</v>
      </c>
      <c r="BC638" t="s">
        <v>665</v>
      </c>
      <c r="BD638" t="str">
        <f>"2"</f>
        <v>2</v>
      </c>
      <c r="BE638" t="s">
        <v>1089</v>
      </c>
      <c r="BF638" t="str">
        <f>"81.89"</f>
        <v>81.89</v>
      </c>
      <c r="BG638" t="str">
        <f>"4.92"</f>
        <v>4.92</v>
      </c>
      <c r="BH638" t="str">
        <f>"25.79"</f>
        <v>25.79</v>
      </c>
      <c r="BI638" t="str">
        <f>"50.71"</f>
        <v>50.71</v>
      </c>
      <c r="BJ638" t="s">
        <v>1090</v>
      </c>
      <c r="BK638" t="str">
        <f>"18.5"</f>
        <v>18.5</v>
      </c>
      <c r="BL638" t="str">
        <f>"18.9"</f>
        <v>18.9</v>
      </c>
      <c r="BM638" t="str">
        <f>"34.65"</f>
        <v>34.65</v>
      </c>
      <c r="BN638" t="str">
        <f>"42.99"</f>
        <v>42.99</v>
      </c>
      <c r="BY638" t="str">
        <f>"13.03"</f>
        <v>13.03</v>
      </c>
      <c r="BZ638" t="str">
        <f>"0.369"</f>
        <v>0.369</v>
      </c>
      <c r="CA638" t="s">
        <v>390</v>
      </c>
      <c r="CR638" t="s">
        <v>400</v>
      </c>
      <c r="CS638">
        <v>0</v>
      </c>
      <c r="CT638" t="s">
        <v>400</v>
      </c>
      <c r="CV638">
        <v>0</v>
      </c>
      <c r="CX638" t="s">
        <v>953</v>
      </c>
      <c r="CY638" t="s">
        <v>400</v>
      </c>
      <c r="DC638">
        <v>0</v>
      </c>
      <c r="DJ638" t="s">
        <v>1437</v>
      </c>
      <c r="DK638" t="s">
        <v>1438</v>
      </c>
      <c r="DM638" t="s">
        <v>669</v>
      </c>
      <c r="DX638" t="s">
        <v>12156</v>
      </c>
      <c r="DZ638" t="s">
        <v>12157</v>
      </c>
      <c r="EI638" t="s">
        <v>979</v>
      </c>
      <c r="EJ638" t="s">
        <v>12156</v>
      </c>
      <c r="EK638" t="s">
        <v>8376</v>
      </c>
      <c r="EL638" t="s">
        <v>1441</v>
      </c>
      <c r="EM638" t="s">
        <v>402</v>
      </c>
      <c r="EN638">
        <v>0</v>
      </c>
      <c r="EO638">
        <v>0</v>
      </c>
      <c r="EX638" t="s">
        <v>635</v>
      </c>
      <c r="FI638">
        <v>0</v>
      </c>
      <c r="FJ638" t="s">
        <v>1012</v>
      </c>
    </row>
    <row r="639" spans="1:293" x14ac:dyDescent="0.25">
      <c r="A639" t="s">
        <v>12200</v>
      </c>
      <c r="B639" t="str">
        <f>"801542153601"</f>
        <v>801542153601</v>
      </c>
      <c r="C639" t="s">
        <v>12201</v>
      </c>
      <c r="D639" t="s">
        <v>5460</v>
      </c>
      <c r="E639" t="s">
        <v>1043</v>
      </c>
      <c r="G639" t="str">
        <f>"32"</f>
        <v>32</v>
      </c>
      <c r="H639" t="str">
        <f>"18"</f>
        <v>18</v>
      </c>
      <c r="I639" t="str">
        <f>"26.5"</f>
        <v>26.5</v>
      </c>
      <c r="J639" t="str">
        <f>"70.99"</f>
        <v>70.99</v>
      </c>
      <c r="K639" t="s">
        <v>12202</v>
      </c>
      <c r="N639" t="s">
        <v>1423</v>
      </c>
      <c r="O639" t="s">
        <v>1424</v>
      </c>
      <c r="T639" t="s">
        <v>373</v>
      </c>
      <c r="U639" t="s">
        <v>373</v>
      </c>
      <c r="V639" t="s">
        <v>12203</v>
      </c>
      <c r="W639" t="s">
        <v>12204</v>
      </c>
      <c r="X639" t="s">
        <v>12205</v>
      </c>
      <c r="Y639" t="s">
        <v>12206</v>
      </c>
      <c r="Z639" t="s">
        <v>12207</v>
      </c>
      <c r="AA639" t="s">
        <v>12208</v>
      </c>
      <c r="AB639" t="s">
        <v>12209</v>
      </c>
      <c r="AC639" t="s">
        <v>12210</v>
      </c>
      <c r="AD639" t="s">
        <v>12211</v>
      </c>
      <c r="AE639" t="s">
        <v>12212</v>
      </c>
      <c r="AF639" t="s">
        <v>12213</v>
      </c>
      <c r="AG639" t="s">
        <v>12214</v>
      </c>
      <c r="AH639" t="s">
        <v>12215</v>
      </c>
      <c r="AI639" t="s">
        <v>12216</v>
      </c>
      <c r="AJ639" t="s">
        <v>12217</v>
      </c>
      <c r="AK639" t="s">
        <v>12218</v>
      </c>
      <c r="BA639" t="str">
        <f>"799"</f>
        <v>799</v>
      </c>
      <c r="BB639" t="str">
        <f>"340"</f>
        <v>340</v>
      </c>
      <c r="BC639" t="s">
        <v>665</v>
      </c>
      <c r="BD639" t="str">
        <f>"1"</f>
        <v>1</v>
      </c>
      <c r="BE639" t="s">
        <v>12219</v>
      </c>
      <c r="BF639" t="str">
        <f>"36.42"</f>
        <v>36.42</v>
      </c>
      <c r="BG639" t="str">
        <f>"22.83"</f>
        <v>22.83</v>
      </c>
      <c r="BH639" t="str">
        <f>"32.87"</f>
        <v>32.87</v>
      </c>
      <c r="BI639" t="str">
        <f>"95.9"</f>
        <v>95.9</v>
      </c>
      <c r="BY639" t="str">
        <f>"15.82"</f>
        <v>15.82</v>
      </c>
      <c r="BZ639" t="str">
        <f>"0.448"</f>
        <v>0.448</v>
      </c>
      <c r="CA639" t="s">
        <v>431</v>
      </c>
      <c r="CR639" t="s">
        <v>1007</v>
      </c>
      <c r="CS639">
        <v>3</v>
      </c>
      <c r="CT639" t="s">
        <v>400</v>
      </c>
      <c r="CV639">
        <v>0</v>
      </c>
      <c r="CX639" t="s">
        <v>4903</v>
      </c>
      <c r="CY639" t="s">
        <v>1009</v>
      </c>
      <c r="DC639">
        <v>0</v>
      </c>
      <c r="DJ639" t="s">
        <v>408</v>
      </c>
      <c r="DK639" t="s">
        <v>12220</v>
      </c>
      <c r="DM639" t="s">
        <v>473</v>
      </c>
      <c r="DX639" t="s">
        <v>12221</v>
      </c>
      <c r="EM639" t="s">
        <v>402</v>
      </c>
      <c r="EN639">
        <v>0</v>
      </c>
      <c r="FI639">
        <v>0</v>
      </c>
      <c r="FJ639" t="s">
        <v>1012</v>
      </c>
      <c r="FR639" t="s">
        <v>12222</v>
      </c>
      <c r="FS639" t="s">
        <v>12222</v>
      </c>
      <c r="FT639" t="s">
        <v>12223</v>
      </c>
      <c r="FU639" t="s">
        <v>1014</v>
      </c>
      <c r="FV639" t="s">
        <v>12224</v>
      </c>
      <c r="FW639" t="s">
        <v>12224</v>
      </c>
      <c r="FX639" t="s">
        <v>1017</v>
      </c>
      <c r="FZ639" t="s">
        <v>1018</v>
      </c>
    </row>
    <row r="640" spans="1:293" x14ac:dyDescent="0.25">
      <c r="A640" t="s">
        <v>12225</v>
      </c>
      <c r="B640" t="str">
        <f>"801542153588"</f>
        <v>801542153588</v>
      </c>
      <c r="C640" t="s">
        <v>12226</v>
      </c>
      <c r="D640" t="s">
        <v>5460</v>
      </c>
      <c r="E640" t="s">
        <v>988</v>
      </c>
      <c r="G640" t="str">
        <f>"72"</f>
        <v>72</v>
      </c>
      <c r="H640" t="str">
        <f>"20"</f>
        <v>20</v>
      </c>
      <c r="I640" t="str">
        <f>"46"</f>
        <v>46</v>
      </c>
      <c r="J640" t="str">
        <f>"261.25"</f>
        <v>261.25</v>
      </c>
      <c r="K640" t="s">
        <v>12202</v>
      </c>
      <c r="N640" t="s">
        <v>1423</v>
      </c>
      <c r="O640" t="s">
        <v>1424</v>
      </c>
      <c r="T640" t="s">
        <v>373</v>
      </c>
      <c r="U640" t="s">
        <v>373</v>
      </c>
      <c r="V640" t="s">
        <v>12227</v>
      </c>
      <c r="W640" t="s">
        <v>12228</v>
      </c>
      <c r="X640" t="s">
        <v>12229</v>
      </c>
      <c r="Y640" t="s">
        <v>12230</v>
      </c>
      <c r="Z640" t="s">
        <v>12231</v>
      </c>
      <c r="AA640" t="s">
        <v>12232</v>
      </c>
      <c r="AB640" t="s">
        <v>12233</v>
      </c>
      <c r="AC640" t="s">
        <v>12234</v>
      </c>
      <c r="AD640" t="s">
        <v>12235</v>
      </c>
      <c r="AE640" t="s">
        <v>12236</v>
      </c>
      <c r="AF640" t="s">
        <v>12237</v>
      </c>
      <c r="AG640" t="s">
        <v>12238</v>
      </c>
      <c r="AH640" t="s">
        <v>12239</v>
      </c>
      <c r="AI640" t="s">
        <v>12240</v>
      </c>
      <c r="BA640" t="str">
        <f>"2699"</f>
        <v>2699</v>
      </c>
      <c r="BB640" t="str">
        <f>"1135"</f>
        <v>1135</v>
      </c>
      <c r="BC640" t="s">
        <v>665</v>
      </c>
      <c r="BD640" t="str">
        <f>"1"</f>
        <v>1</v>
      </c>
      <c r="BE640" t="s">
        <v>12241</v>
      </c>
      <c r="BF640" t="str">
        <f>"77.17"</f>
        <v>77.17</v>
      </c>
      <c r="BG640" t="str">
        <f>"25.2"</f>
        <v>25.2</v>
      </c>
      <c r="BH640" t="str">
        <f>"58.46"</f>
        <v>58.46</v>
      </c>
      <c r="BI640" t="str">
        <f>"326.28"</f>
        <v>326.28</v>
      </c>
      <c r="BY640" t="str">
        <f>"65.79"</f>
        <v>65.79</v>
      </c>
      <c r="BZ640" t="str">
        <f>"1.863"</f>
        <v>1.863</v>
      </c>
      <c r="CA640" t="s">
        <v>431</v>
      </c>
      <c r="CR640" t="s">
        <v>1007</v>
      </c>
      <c r="CS640">
        <v>10</v>
      </c>
      <c r="CT640" t="s">
        <v>400</v>
      </c>
      <c r="CV640">
        <v>0</v>
      </c>
      <c r="CX640" t="s">
        <v>4903</v>
      </c>
      <c r="CY640" t="s">
        <v>1009</v>
      </c>
      <c r="DC640">
        <v>0</v>
      </c>
      <c r="DJ640" t="s">
        <v>1010</v>
      </c>
      <c r="DK640" t="s">
        <v>12220</v>
      </c>
      <c r="DM640" t="s">
        <v>669</v>
      </c>
      <c r="DX640" t="s">
        <v>12242</v>
      </c>
      <c r="EM640" t="s">
        <v>402</v>
      </c>
      <c r="EN640">
        <v>0</v>
      </c>
      <c r="FI640">
        <v>0</v>
      </c>
      <c r="FJ640" t="s">
        <v>1012</v>
      </c>
      <c r="FR640" t="s">
        <v>9623</v>
      </c>
      <c r="FS640" t="s">
        <v>9623</v>
      </c>
      <c r="FT640" t="s">
        <v>742</v>
      </c>
      <c r="FU640" t="s">
        <v>1739</v>
      </c>
      <c r="FV640" t="s">
        <v>1612</v>
      </c>
      <c r="FW640" t="s">
        <v>12243</v>
      </c>
      <c r="FX640" t="s">
        <v>1017</v>
      </c>
      <c r="FZ640" t="s">
        <v>1018</v>
      </c>
    </row>
    <row r="641" spans="1:305" x14ac:dyDescent="0.25">
      <c r="A641" t="s">
        <v>12244</v>
      </c>
      <c r="B641" t="str">
        <f>"801542172930"</f>
        <v>801542172930</v>
      </c>
      <c r="C641" t="s">
        <v>12245</v>
      </c>
      <c r="D641" t="s">
        <v>1592</v>
      </c>
      <c r="E641" t="s">
        <v>2006</v>
      </c>
      <c r="F641" t="s">
        <v>2007</v>
      </c>
      <c r="G641" t="str">
        <f>"73"</f>
        <v>73</v>
      </c>
      <c r="H641" t="str">
        <f t="shared" ref="H641:H646" si="145">"92.25"</f>
        <v>92.25</v>
      </c>
      <c r="I641" t="str">
        <f t="shared" ref="I641:I646" si="146">"48"</f>
        <v>48</v>
      </c>
      <c r="J641" t="str">
        <f>"188.38"</f>
        <v>188.38</v>
      </c>
      <c r="K641" t="s">
        <v>12246</v>
      </c>
      <c r="L641" t="s">
        <v>1017</v>
      </c>
      <c r="N641" t="s">
        <v>12247</v>
      </c>
      <c r="O641" t="s">
        <v>809</v>
      </c>
      <c r="P641" t="s">
        <v>775</v>
      </c>
      <c r="T641" t="s">
        <v>373</v>
      </c>
      <c r="U641" t="s">
        <v>402</v>
      </c>
      <c r="V641" t="s">
        <v>12248</v>
      </c>
      <c r="W641" t="s">
        <v>12249</v>
      </c>
      <c r="X641" t="s">
        <v>12250</v>
      </c>
      <c r="Y641" t="s">
        <v>12251</v>
      </c>
      <c r="Z641" t="s">
        <v>12252</v>
      </c>
      <c r="AA641" t="s">
        <v>12253</v>
      </c>
      <c r="AB641" t="s">
        <v>12254</v>
      </c>
      <c r="AC641" t="s">
        <v>12255</v>
      </c>
      <c r="AD641" t="s">
        <v>12256</v>
      </c>
      <c r="AE641" t="s">
        <v>12257</v>
      </c>
      <c r="AF641" t="s">
        <v>12258</v>
      </c>
      <c r="AG641" t="s">
        <v>12259</v>
      </c>
      <c r="AH641" t="s">
        <v>12260</v>
      </c>
      <c r="AI641" t="s">
        <v>12261</v>
      </c>
      <c r="AJ641" t="s">
        <v>12262</v>
      </c>
      <c r="AK641" t="s">
        <v>12263</v>
      </c>
      <c r="AL641" t="s">
        <v>12264</v>
      </c>
      <c r="BA641" t="str">
        <f>"1599"</f>
        <v>1599</v>
      </c>
      <c r="BB641" t="str">
        <f>"675"</f>
        <v>675</v>
      </c>
      <c r="BC641" t="s">
        <v>665</v>
      </c>
      <c r="BD641" t="str">
        <f t="shared" ref="BD641:BD648" si="147">"3"</f>
        <v>3</v>
      </c>
      <c r="BE641" t="s">
        <v>12265</v>
      </c>
      <c r="BF641" t="str">
        <f>"74.02"</f>
        <v>74.02</v>
      </c>
      <c r="BG641" t="str">
        <f>"49.61"</f>
        <v>49.61</v>
      </c>
      <c r="BH641" t="str">
        <f t="shared" ref="BH641:BH646" si="148">"5.91"</f>
        <v>5.91</v>
      </c>
      <c r="BI641" t="str">
        <f>"68.34"</f>
        <v>68.34</v>
      </c>
      <c r="BJ641" t="s">
        <v>12266</v>
      </c>
      <c r="BK641" t="str">
        <f>"71.85"</f>
        <v>71.85</v>
      </c>
      <c r="BL641" t="str">
        <f t="shared" ref="BL641:BL646" si="149">"15.94"</f>
        <v>15.94</v>
      </c>
      <c r="BM641" t="str">
        <f t="shared" ref="BM641:BM646" si="150">"8.86"</f>
        <v>8.86</v>
      </c>
      <c r="BN641" t="str">
        <f>"67.68"</f>
        <v>67.68</v>
      </c>
      <c r="BO641" t="s">
        <v>12267</v>
      </c>
      <c r="BP641" t="str">
        <f t="shared" ref="BP641:BP646" si="151">"85.43"</f>
        <v>85.43</v>
      </c>
      <c r="BQ641" t="str">
        <f t="shared" ref="BQ641:BQ646" si="152">"15.16"</f>
        <v>15.16</v>
      </c>
      <c r="BR641" t="str">
        <f t="shared" ref="BR641:BR646" si="153">"14.17"</f>
        <v>14.17</v>
      </c>
      <c r="BS641" t="str">
        <f>"86.86"</f>
        <v>86.86</v>
      </c>
      <c r="BY641" t="str">
        <f>"29.03"</f>
        <v>29.03</v>
      </c>
      <c r="BZ641" t="str">
        <f>"0.822"</f>
        <v>0.822</v>
      </c>
      <c r="CA641" t="s">
        <v>431</v>
      </c>
      <c r="CQ641" t="s">
        <v>631</v>
      </c>
      <c r="CR641" t="s">
        <v>400</v>
      </c>
      <c r="CS641">
        <v>0</v>
      </c>
      <c r="CT641" t="s">
        <v>400</v>
      </c>
      <c r="CV641">
        <v>0</v>
      </c>
      <c r="CX641" t="s">
        <v>1609</v>
      </c>
      <c r="CY641" t="s">
        <v>400</v>
      </c>
      <c r="DA641">
        <v>0</v>
      </c>
      <c r="DB641">
        <v>0</v>
      </c>
      <c r="DC641">
        <v>0</v>
      </c>
      <c r="DD641">
        <v>25000</v>
      </c>
      <c r="DK641" t="s">
        <v>12268</v>
      </c>
      <c r="DM641" t="s">
        <v>2028</v>
      </c>
      <c r="EG641" t="s">
        <v>1513</v>
      </c>
      <c r="EN641">
        <v>0</v>
      </c>
      <c r="HN641" t="s">
        <v>12269</v>
      </c>
      <c r="HO641" t="s">
        <v>12269</v>
      </c>
      <c r="HP641" t="s">
        <v>12269</v>
      </c>
      <c r="HQ641" t="s">
        <v>1612</v>
      </c>
      <c r="HR641" t="s">
        <v>3511</v>
      </c>
      <c r="HS641" t="s">
        <v>12270</v>
      </c>
      <c r="HT641" t="s">
        <v>4940</v>
      </c>
      <c r="HU641" t="s">
        <v>2072</v>
      </c>
      <c r="HV641" t="s">
        <v>12271</v>
      </c>
      <c r="HW641" t="s">
        <v>2171</v>
      </c>
      <c r="HX641" t="s">
        <v>4018</v>
      </c>
      <c r="HY641" t="s">
        <v>2193</v>
      </c>
      <c r="HZ641" t="s">
        <v>12272</v>
      </c>
      <c r="IA641" t="s">
        <v>12273</v>
      </c>
      <c r="IB641" t="s">
        <v>3511</v>
      </c>
      <c r="IC641" t="s">
        <v>402</v>
      </c>
      <c r="ID641" t="s">
        <v>5252</v>
      </c>
      <c r="IE641" t="s">
        <v>2037</v>
      </c>
      <c r="IF641" t="s">
        <v>2177</v>
      </c>
      <c r="IG641" t="s">
        <v>2007</v>
      </c>
      <c r="IM641" t="s">
        <v>395</v>
      </c>
      <c r="IN641" t="s">
        <v>12274</v>
      </c>
      <c r="IP641" t="s">
        <v>402</v>
      </c>
      <c r="IQ641" t="s">
        <v>3522</v>
      </c>
    </row>
    <row r="642" spans="1:305" x14ac:dyDescent="0.25">
      <c r="A642" t="s">
        <v>12275</v>
      </c>
      <c r="B642" t="str">
        <f>"801542172923"</f>
        <v>801542172923</v>
      </c>
      <c r="C642" t="s">
        <v>12245</v>
      </c>
      <c r="D642" t="s">
        <v>1592</v>
      </c>
      <c r="E642" t="s">
        <v>2006</v>
      </c>
      <c r="F642" t="s">
        <v>2040</v>
      </c>
      <c r="G642" t="str">
        <f>"89.25"</f>
        <v>89.25</v>
      </c>
      <c r="H642" t="str">
        <f t="shared" si="145"/>
        <v>92.25</v>
      </c>
      <c r="I642" t="str">
        <f t="shared" si="146"/>
        <v>48</v>
      </c>
      <c r="J642" t="str">
        <f>"234.79"</f>
        <v>234.79</v>
      </c>
      <c r="K642" t="s">
        <v>12246</v>
      </c>
      <c r="L642" t="s">
        <v>1017</v>
      </c>
      <c r="N642" t="s">
        <v>12247</v>
      </c>
      <c r="O642" t="s">
        <v>809</v>
      </c>
      <c r="P642" t="s">
        <v>775</v>
      </c>
      <c r="T642" t="s">
        <v>373</v>
      </c>
      <c r="U642" t="s">
        <v>402</v>
      </c>
      <c r="V642" t="s">
        <v>12248</v>
      </c>
      <c r="W642" t="s">
        <v>12276</v>
      </c>
      <c r="X642" t="s">
        <v>12277</v>
      </c>
      <c r="Y642" t="s">
        <v>12278</v>
      </c>
      <c r="Z642" t="s">
        <v>12279</v>
      </c>
      <c r="AA642" t="s">
        <v>12280</v>
      </c>
      <c r="AB642" t="s">
        <v>12281</v>
      </c>
      <c r="AC642" t="s">
        <v>12282</v>
      </c>
      <c r="AD642" t="s">
        <v>12283</v>
      </c>
      <c r="AE642" t="s">
        <v>12284</v>
      </c>
      <c r="AF642" t="s">
        <v>12285</v>
      </c>
      <c r="AG642" t="s">
        <v>12286</v>
      </c>
      <c r="AH642" t="s">
        <v>12287</v>
      </c>
      <c r="AI642" t="s">
        <v>12288</v>
      </c>
      <c r="AJ642" t="s">
        <v>12289</v>
      </c>
      <c r="BA642" t="str">
        <f>"1699"</f>
        <v>1699</v>
      </c>
      <c r="BB642" t="str">
        <f>"715"</f>
        <v>715</v>
      </c>
      <c r="BC642" t="s">
        <v>665</v>
      </c>
      <c r="BD642" t="str">
        <f t="shared" si="147"/>
        <v>3</v>
      </c>
      <c r="BE642" t="s">
        <v>12265</v>
      </c>
      <c r="BF642" t="str">
        <f>"90.16"</f>
        <v>90.16</v>
      </c>
      <c r="BG642" t="str">
        <f>"49.41"</f>
        <v>49.41</v>
      </c>
      <c r="BH642" t="str">
        <f t="shared" si="148"/>
        <v>5.91</v>
      </c>
      <c r="BI642" t="str">
        <f>"94.8"</f>
        <v>94.8</v>
      </c>
      <c r="BJ642" t="s">
        <v>12266</v>
      </c>
      <c r="BK642" t="str">
        <f>"88.78"</f>
        <v>88.78</v>
      </c>
      <c r="BL642" t="str">
        <f t="shared" si="149"/>
        <v>15.94</v>
      </c>
      <c r="BM642" t="str">
        <f t="shared" si="150"/>
        <v>8.86</v>
      </c>
      <c r="BN642" t="str">
        <f>"85.98"</f>
        <v>85.98</v>
      </c>
      <c r="BO642" t="s">
        <v>12267</v>
      </c>
      <c r="BP642" t="str">
        <f t="shared" si="151"/>
        <v>85.43</v>
      </c>
      <c r="BQ642" t="str">
        <f t="shared" si="152"/>
        <v>15.16</v>
      </c>
      <c r="BR642" t="str">
        <f t="shared" si="153"/>
        <v>14.17</v>
      </c>
      <c r="BS642" t="str">
        <f>"94.8"</f>
        <v>94.8</v>
      </c>
      <c r="BY642" t="str">
        <f>"33.09"</f>
        <v>33.09</v>
      </c>
      <c r="BZ642" t="str">
        <f>"0.937"</f>
        <v>0.937</v>
      </c>
      <c r="CA642" t="s">
        <v>431</v>
      </c>
      <c r="CQ642" t="s">
        <v>631</v>
      </c>
      <c r="CR642" t="s">
        <v>400</v>
      </c>
      <c r="CS642">
        <v>0</v>
      </c>
      <c r="CT642" t="s">
        <v>400</v>
      </c>
      <c r="CV642">
        <v>0</v>
      </c>
      <c r="CX642" t="s">
        <v>1609</v>
      </c>
      <c r="CY642" t="s">
        <v>400</v>
      </c>
      <c r="DA642">
        <v>0</v>
      </c>
      <c r="DB642">
        <v>0</v>
      </c>
      <c r="DC642">
        <v>0</v>
      </c>
      <c r="DD642">
        <v>25000</v>
      </c>
      <c r="DK642" t="s">
        <v>12268</v>
      </c>
      <c r="DM642" t="s">
        <v>2028</v>
      </c>
      <c r="EG642" t="s">
        <v>1513</v>
      </c>
      <c r="EN642">
        <v>0</v>
      </c>
      <c r="HN642" t="s">
        <v>12269</v>
      </c>
      <c r="HO642" t="s">
        <v>12269</v>
      </c>
      <c r="HP642" t="s">
        <v>12269</v>
      </c>
      <c r="HQ642" t="s">
        <v>1612</v>
      </c>
      <c r="HR642" t="s">
        <v>3511</v>
      </c>
      <c r="HS642" t="s">
        <v>12290</v>
      </c>
      <c r="HT642" t="s">
        <v>4940</v>
      </c>
      <c r="HU642" t="s">
        <v>2072</v>
      </c>
      <c r="HV642" t="s">
        <v>12291</v>
      </c>
      <c r="HW642" t="s">
        <v>2171</v>
      </c>
      <c r="HX642" t="s">
        <v>4018</v>
      </c>
      <c r="HY642" t="s">
        <v>2173</v>
      </c>
      <c r="HZ642" t="s">
        <v>12272</v>
      </c>
      <c r="IA642" t="s">
        <v>12273</v>
      </c>
      <c r="IB642" t="s">
        <v>3511</v>
      </c>
      <c r="IC642" t="s">
        <v>402</v>
      </c>
      <c r="ID642" t="s">
        <v>5252</v>
      </c>
      <c r="IE642" t="s">
        <v>2037</v>
      </c>
      <c r="IF642" t="s">
        <v>2177</v>
      </c>
      <c r="IG642" t="s">
        <v>2040</v>
      </c>
      <c r="IM642" t="s">
        <v>395</v>
      </c>
      <c r="IN642" t="s">
        <v>12274</v>
      </c>
      <c r="IP642" t="s">
        <v>402</v>
      </c>
      <c r="IQ642" t="s">
        <v>3522</v>
      </c>
    </row>
    <row r="643" spans="1:305" x14ac:dyDescent="0.25">
      <c r="A643" t="s">
        <v>12292</v>
      </c>
      <c r="B643" t="str">
        <f>"801542172954"</f>
        <v>801542172954</v>
      </c>
      <c r="C643" t="s">
        <v>12293</v>
      </c>
      <c r="D643" t="s">
        <v>1592</v>
      </c>
      <c r="E643" t="s">
        <v>2006</v>
      </c>
      <c r="F643" t="s">
        <v>2007</v>
      </c>
      <c r="G643" t="str">
        <f>"73"</f>
        <v>73</v>
      </c>
      <c r="H643" t="str">
        <f t="shared" si="145"/>
        <v>92.25</v>
      </c>
      <c r="I643" t="str">
        <f t="shared" si="146"/>
        <v>48</v>
      </c>
      <c r="J643" t="str">
        <f>"188.38"</f>
        <v>188.38</v>
      </c>
      <c r="K643" t="s">
        <v>12294</v>
      </c>
      <c r="L643" t="s">
        <v>1017</v>
      </c>
      <c r="N643" t="s">
        <v>878</v>
      </c>
      <c r="O643" t="s">
        <v>809</v>
      </c>
      <c r="P643" t="s">
        <v>913</v>
      </c>
      <c r="Q643" t="s">
        <v>775</v>
      </c>
      <c r="T643" t="s">
        <v>373</v>
      </c>
      <c r="U643" t="s">
        <v>402</v>
      </c>
      <c r="V643" t="s">
        <v>12248</v>
      </c>
      <c r="W643" t="s">
        <v>12295</v>
      </c>
      <c r="X643" t="s">
        <v>12296</v>
      </c>
      <c r="Y643" t="s">
        <v>12297</v>
      </c>
      <c r="Z643" t="s">
        <v>12298</v>
      </c>
      <c r="AA643" t="s">
        <v>12299</v>
      </c>
      <c r="AB643" t="s">
        <v>12300</v>
      </c>
      <c r="AC643" t="s">
        <v>12301</v>
      </c>
      <c r="AD643" t="s">
        <v>12302</v>
      </c>
      <c r="AE643" t="s">
        <v>12303</v>
      </c>
      <c r="AF643" t="s">
        <v>12304</v>
      </c>
      <c r="AG643" t="s">
        <v>12305</v>
      </c>
      <c r="AH643" t="s">
        <v>12306</v>
      </c>
      <c r="AI643" t="s">
        <v>12307</v>
      </c>
      <c r="AJ643" t="s">
        <v>12308</v>
      </c>
      <c r="AK643" t="s">
        <v>12309</v>
      </c>
      <c r="AL643" t="s">
        <v>12310</v>
      </c>
      <c r="BA643" t="str">
        <f>"1599"</f>
        <v>1599</v>
      </c>
      <c r="BB643" t="str">
        <f>"675"</f>
        <v>675</v>
      </c>
      <c r="BC643" t="s">
        <v>665</v>
      </c>
      <c r="BD643" t="str">
        <f t="shared" si="147"/>
        <v>3</v>
      </c>
      <c r="BE643" t="s">
        <v>12265</v>
      </c>
      <c r="BF643" t="str">
        <f>"74.02"</f>
        <v>74.02</v>
      </c>
      <c r="BG643" t="str">
        <f>"49.61"</f>
        <v>49.61</v>
      </c>
      <c r="BH643" t="str">
        <f t="shared" si="148"/>
        <v>5.91</v>
      </c>
      <c r="BI643" t="str">
        <f>"68.34"</f>
        <v>68.34</v>
      </c>
      <c r="BJ643" t="s">
        <v>12266</v>
      </c>
      <c r="BK643" t="str">
        <f>"71.85"</f>
        <v>71.85</v>
      </c>
      <c r="BL643" t="str">
        <f t="shared" si="149"/>
        <v>15.94</v>
      </c>
      <c r="BM643" t="str">
        <f t="shared" si="150"/>
        <v>8.86</v>
      </c>
      <c r="BN643" t="str">
        <f>"67.68"</f>
        <v>67.68</v>
      </c>
      <c r="BO643" t="s">
        <v>12267</v>
      </c>
      <c r="BP643" t="str">
        <f t="shared" si="151"/>
        <v>85.43</v>
      </c>
      <c r="BQ643" t="str">
        <f t="shared" si="152"/>
        <v>15.16</v>
      </c>
      <c r="BR643" t="str">
        <f t="shared" si="153"/>
        <v>14.17</v>
      </c>
      <c r="BS643" t="str">
        <f>"86.86"</f>
        <v>86.86</v>
      </c>
      <c r="BY643" t="str">
        <f>"29.03"</f>
        <v>29.03</v>
      </c>
      <c r="BZ643" t="str">
        <f>"0.822"</f>
        <v>0.822</v>
      </c>
      <c r="CA643" t="s">
        <v>431</v>
      </c>
      <c r="CQ643" t="s">
        <v>631</v>
      </c>
      <c r="CR643" t="s">
        <v>400</v>
      </c>
      <c r="CS643">
        <v>0</v>
      </c>
      <c r="CT643" t="s">
        <v>400</v>
      </c>
      <c r="CV643">
        <v>0</v>
      </c>
      <c r="CX643" t="s">
        <v>1609</v>
      </c>
      <c r="CY643" t="s">
        <v>400</v>
      </c>
      <c r="DA643">
        <v>0</v>
      </c>
      <c r="DB643">
        <v>0</v>
      </c>
      <c r="DC643">
        <v>0</v>
      </c>
      <c r="DD643">
        <v>25000</v>
      </c>
      <c r="DK643" t="s">
        <v>12268</v>
      </c>
      <c r="DM643" t="s">
        <v>2028</v>
      </c>
      <c r="EG643" t="s">
        <v>1513</v>
      </c>
      <c r="EN643">
        <v>0</v>
      </c>
      <c r="HN643" t="s">
        <v>12269</v>
      </c>
      <c r="HO643" t="s">
        <v>12269</v>
      </c>
      <c r="HP643" t="s">
        <v>12269</v>
      </c>
      <c r="HQ643" t="s">
        <v>1612</v>
      </c>
      <c r="HR643" t="s">
        <v>3511</v>
      </c>
      <c r="HS643" t="s">
        <v>12270</v>
      </c>
      <c r="HT643" t="s">
        <v>4940</v>
      </c>
      <c r="HU643" t="s">
        <v>2072</v>
      </c>
      <c r="HV643" t="s">
        <v>12271</v>
      </c>
      <c r="HW643" t="s">
        <v>2171</v>
      </c>
      <c r="HX643" t="s">
        <v>4018</v>
      </c>
      <c r="HY643" t="s">
        <v>2193</v>
      </c>
      <c r="HZ643" t="s">
        <v>12272</v>
      </c>
      <c r="IA643" t="s">
        <v>12273</v>
      </c>
      <c r="IB643" t="s">
        <v>3511</v>
      </c>
      <c r="IC643" t="s">
        <v>402</v>
      </c>
      <c r="ID643" t="s">
        <v>5252</v>
      </c>
      <c r="IE643" t="s">
        <v>2037</v>
      </c>
      <c r="IF643" t="s">
        <v>2177</v>
      </c>
      <c r="IG643" t="s">
        <v>2007</v>
      </c>
      <c r="IM643" t="s">
        <v>395</v>
      </c>
      <c r="IN643" t="s">
        <v>12274</v>
      </c>
      <c r="IP643" t="s">
        <v>402</v>
      </c>
      <c r="IQ643" t="s">
        <v>3522</v>
      </c>
    </row>
    <row r="644" spans="1:305" x14ac:dyDescent="0.25">
      <c r="A644" t="s">
        <v>12311</v>
      </c>
      <c r="B644" t="str">
        <f>"801542172947"</f>
        <v>801542172947</v>
      </c>
      <c r="C644" t="s">
        <v>12293</v>
      </c>
      <c r="D644" t="s">
        <v>1592</v>
      </c>
      <c r="E644" t="s">
        <v>2006</v>
      </c>
      <c r="F644" t="s">
        <v>2040</v>
      </c>
      <c r="G644" t="str">
        <f>"89.25"</f>
        <v>89.25</v>
      </c>
      <c r="H644" t="str">
        <f t="shared" si="145"/>
        <v>92.25</v>
      </c>
      <c r="I644" t="str">
        <f t="shared" si="146"/>
        <v>48</v>
      </c>
      <c r="J644" t="str">
        <f>"234.79"</f>
        <v>234.79</v>
      </c>
      <c r="K644" t="s">
        <v>12294</v>
      </c>
      <c r="L644" t="s">
        <v>1017</v>
      </c>
      <c r="N644" t="s">
        <v>878</v>
      </c>
      <c r="O644" t="s">
        <v>809</v>
      </c>
      <c r="P644" t="s">
        <v>913</v>
      </c>
      <c r="Q644" t="s">
        <v>775</v>
      </c>
      <c r="T644" t="s">
        <v>373</v>
      </c>
      <c r="U644" t="s">
        <v>402</v>
      </c>
      <c r="V644" t="s">
        <v>12248</v>
      </c>
      <c r="W644" t="s">
        <v>12312</v>
      </c>
      <c r="X644" t="s">
        <v>12313</v>
      </c>
      <c r="Y644" t="s">
        <v>12314</v>
      </c>
      <c r="Z644" t="s">
        <v>12315</v>
      </c>
      <c r="AA644" t="s">
        <v>12316</v>
      </c>
      <c r="AB644" t="s">
        <v>12317</v>
      </c>
      <c r="AC644" t="s">
        <v>12318</v>
      </c>
      <c r="AD644" t="s">
        <v>12319</v>
      </c>
      <c r="AE644" t="s">
        <v>12320</v>
      </c>
      <c r="AF644" t="s">
        <v>12321</v>
      </c>
      <c r="AG644" t="s">
        <v>12322</v>
      </c>
      <c r="AH644" t="s">
        <v>12323</v>
      </c>
      <c r="AI644" t="s">
        <v>12324</v>
      </c>
      <c r="AJ644" t="s">
        <v>12325</v>
      </c>
      <c r="BA644" t="str">
        <f>"1699"</f>
        <v>1699</v>
      </c>
      <c r="BB644" t="str">
        <f>"715"</f>
        <v>715</v>
      </c>
      <c r="BC644" t="s">
        <v>665</v>
      </c>
      <c r="BD644" t="str">
        <f t="shared" si="147"/>
        <v>3</v>
      </c>
      <c r="BE644" t="s">
        <v>12265</v>
      </c>
      <c r="BF644" t="str">
        <f>"90.16"</f>
        <v>90.16</v>
      </c>
      <c r="BG644" t="str">
        <f>"49.41"</f>
        <v>49.41</v>
      </c>
      <c r="BH644" t="str">
        <f t="shared" si="148"/>
        <v>5.91</v>
      </c>
      <c r="BI644" t="str">
        <f>"94.8"</f>
        <v>94.8</v>
      </c>
      <c r="BJ644" t="s">
        <v>12266</v>
      </c>
      <c r="BK644" t="str">
        <f>"88.78"</f>
        <v>88.78</v>
      </c>
      <c r="BL644" t="str">
        <f t="shared" si="149"/>
        <v>15.94</v>
      </c>
      <c r="BM644" t="str">
        <f t="shared" si="150"/>
        <v>8.86</v>
      </c>
      <c r="BN644" t="str">
        <f>"85.98"</f>
        <v>85.98</v>
      </c>
      <c r="BO644" t="s">
        <v>12267</v>
      </c>
      <c r="BP644" t="str">
        <f t="shared" si="151"/>
        <v>85.43</v>
      </c>
      <c r="BQ644" t="str">
        <f t="shared" si="152"/>
        <v>15.16</v>
      </c>
      <c r="BR644" t="str">
        <f t="shared" si="153"/>
        <v>14.17</v>
      </c>
      <c r="BS644" t="str">
        <f>"94.8"</f>
        <v>94.8</v>
      </c>
      <c r="BY644" t="str">
        <f>"33.09"</f>
        <v>33.09</v>
      </c>
      <c r="BZ644" t="str">
        <f>"0.937"</f>
        <v>0.937</v>
      </c>
      <c r="CA644" t="s">
        <v>431</v>
      </c>
      <c r="CQ644" t="s">
        <v>631</v>
      </c>
      <c r="CR644" t="s">
        <v>400</v>
      </c>
      <c r="CS644">
        <v>0</v>
      </c>
      <c r="CT644" t="s">
        <v>400</v>
      </c>
      <c r="CV644">
        <v>0</v>
      </c>
      <c r="CX644" t="s">
        <v>1609</v>
      </c>
      <c r="CY644" t="s">
        <v>400</v>
      </c>
      <c r="DA644">
        <v>0</v>
      </c>
      <c r="DB644">
        <v>0</v>
      </c>
      <c r="DC644">
        <v>0</v>
      </c>
      <c r="DD644">
        <v>25000</v>
      </c>
      <c r="DK644" t="s">
        <v>12268</v>
      </c>
      <c r="DM644" t="s">
        <v>2028</v>
      </c>
      <c r="EG644" t="s">
        <v>1513</v>
      </c>
      <c r="EN644">
        <v>0</v>
      </c>
      <c r="HN644" t="s">
        <v>12269</v>
      </c>
      <c r="HO644" t="s">
        <v>12269</v>
      </c>
      <c r="HP644" t="s">
        <v>12269</v>
      </c>
      <c r="HQ644" t="s">
        <v>1612</v>
      </c>
      <c r="HR644" t="s">
        <v>3511</v>
      </c>
      <c r="HS644" t="s">
        <v>12290</v>
      </c>
      <c r="HT644" t="s">
        <v>4940</v>
      </c>
      <c r="HU644" t="s">
        <v>2072</v>
      </c>
      <c r="HV644" t="s">
        <v>12291</v>
      </c>
      <c r="HW644" t="s">
        <v>2171</v>
      </c>
      <c r="HX644" t="s">
        <v>4018</v>
      </c>
      <c r="HY644" t="s">
        <v>2173</v>
      </c>
      <c r="HZ644" t="s">
        <v>12272</v>
      </c>
      <c r="IA644" t="s">
        <v>12273</v>
      </c>
      <c r="IB644" t="s">
        <v>3511</v>
      </c>
      <c r="IC644" t="s">
        <v>402</v>
      </c>
      <c r="ID644" t="s">
        <v>5252</v>
      </c>
      <c r="IE644" t="s">
        <v>2037</v>
      </c>
      <c r="IF644" t="s">
        <v>2177</v>
      </c>
      <c r="IG644" t="s">
        <v>2040</v>
      </c>
      <c r="IM644" t="s">
        <v>395</v>
      </c>
      <c r="IN644" t="s">
        <v>12274</v>
      </c>
      <c r="IP644" t="s">
        <v>402</v>
      </c>
      <c r="IQ644" t="s">
        <v>3522</v>
      </c>
    </row>
    <row r="645" spans="1:305" x14ac:dyDescent="0.25">
      <c r="A645" t="s">
        <v>12326</v>
      </c>
      <c r="B645" t="str">
        <f>"198394018715"</f>
        <v>198394018715</v>
      </c>
      <c r="C645" t="s">
        <v>12327</v>
      </c>
      <c r="D645" t="s">
        <v>1592</v>
      </c>
      <c r="E645" t="s">
        <v>2006</v>
      </c>
      <c r="F645" t="s">
        <v>2007</v>
      </c>
      <c r="G645" t="str">
        <f>"73"</f>
        <v>73</v>
      </c>
      <c r="H645" t="str">
        <f t="shared" si="145"/>
        <v>92.25</v>
      </c>
      <c r="I645" t="str">
        <f t="shared" si="146"/>
        <v>48</v>
      </c>
      <c r="J645" t="str">
        <f>"188.38"</f>
        <v>188.38</v>
      </c>
      <c r="K645" t="s">
        <v>2150</v>
      </c>
      <c r="L645" t="s">
        <v>1017</v>
      </c>
      <c r="N645" t="s">
        <v>371</v>
      </c>
      <c r="O645" t="s">
        <v>775</v>
      </c>
      <c r="T645" t="s">
        <v>373</v>
      </c>
      <c r="U645" t="s">
        <v>402</v>
      </c>
      <c r="V645" t="s">
        <v>12248</v>
      </c>
      <c r="W645" t="s">
        <v>12328</v>
      </c>
      <c r="X645" t="s">
        <v>12329</v>
      </c>
      <c r="Y645" t="s">
        <v>12330</v>
      </c>
      <c r="Z645" t="s">
        <v>12331</v>
      </c>
      <c r="AA645" t="s">
        <v>12332</v>
      </c>
      <c r="AB645" t="s">
        <v>12333</v>
      </c>
      <c r="AC645" t="s">
        <v>12334</v>
      </c>
      <c r="AD645" t="s">
        <v>12335</v>
      </c>
      <c r="AE645" t="s">
        <v>12336</v>
      </c>
      <c r="AF645" t="s">
        <v>12337</v>
      </c>
      <c r="AG645" t="s">
        <v>12338</v>
      </c>
      <c r="BA645" t="str">
        <f>"1499"</f>
        <v>1499</v>
      </c>
      <c r="BB645" t="str">
        <f>"630"</f>
        <v>630</v>
      </c>
      <c r="BC645" t="s">
        <v>665</v>
      </c>
      <c r="BD645" t="str">
        <f t="shared" si="147"/>
        <v>3</v>
      </c>
      <c r="BE645" t="s">
        <v>12265</v>
      </c>
      <c r="BF645" t="str">
        <f>"74.02"</f>
        <v>74.02</v>
      </c>
      <c r="BG645" t="str">
        <f>"49.61"</f>
        <v>49.61</v>
      </c>
      <c r="BH645" t="str">
        <f t="shared" si="148"/>
        <v>5.91</v>
      </c>
      <c r="BI645" t="str">
        <f>"68.34"</f>
        <v>68.34</v>
      </c>
      <c r="BJ645" t="s">
        <v>12266</v>
      </c>
      <c r="BK645" t="str">
        <f>"71.85"</f>
        <v>71.85</v>
      </c>
      <c r="BL645" t="str">
        <f t="shared" si="149"/>
        <v>15.94</v>
      </c>
      <c r="BM645" t="str">
        <f t="shared" si="150"/>
        <v>8.86</v>
      </c>
      <c r="BN645" t="str">
        <f>"67.68"</f>
        <v>67.68</v>
      </c>
      <c r="BO645" t="s">
        <v>12267</v>
      </c>
      <c r="BP645" t="str">
        <f t="shared" si="151"/>
        <v>85.43</v>
      </c>
      <c r="BQ645" t="str">
        <f t="shared" si="152"/>
        <v>15.16</v>
      </c>
      <c r="BR645" t="str">
        <f t="shared" si="153"/>
        <v>14.17</v>
      </c>
      <c r="BS645" t="str">
        <f>"86.86"</f>
        <v>86.86</v>
      </c>
      <c r="BY645" t="str">
        <f>"29.03"</f>
        <v>29.03</v>
      </c>
      <c r="BZ645" t="str">
        <f>"0.822"</f>
        <v>0.822</v>
      </c>
      <c r="CA645" t="s">
        <v>390</v>
      </c>
      <c r="CQ645" t="s">
        <v>631</v>
      </c>
      <c r="CR645" t="s">
        <v>400</v>
      </c>
      <c r="CS645">
        <v>0</v>
      </c>
      <c r="CT645" t="s">
        <v>400</v>
      </c>
      <c r="CV645">
        <v>0</v>
      </c>
      <c r="CX645" t="s">
        <v>1609</v>
      </c>
      <c r="CY645" t="s">
        <v>400</v>
      </c>
      <c r="DA645">
        <v>0</v>
      </c>
      <c r="DB645">
        <v>0</v>
      </c>
      <c r="DC645">
        <v>0</v>
      </c>
      <c r="DD645">
        <v>15000</v>
      </c>
      <c r="DK645" t="s">
        <v>12268</v>
      </c>
      <c r="DM645" t="s">
        <v>2028</v>
      </c>
      <c r="EG645" t="s">
        <v>1513</v>
      </c>
      <c r="EN645">
        <v>0</v>
      </c>
      <c r="HN645" t="s">
        <v>12269</v>
      </c>
      <c r="HO645" t="s">
        <v>12269</v>
      </c>
      <c r="HP645" t="s">
        <v>12269</v>
      </c>
      <c r="HQ645" t="s">
        <v>1612</v>
      </c>
      <c r="HR645" t="s">
        <v>3511</v>
      </c>
      <c r="HS645" t="s">
        <v>12270</v>
      </c>
      <c r="HT645" t="s">
        <v>4940</v>
      </c>
      <c r="HU645" t="s">
        <v>2072</v>
      </c>
      <c r="HV645" t="s">
        <v>12271</v>
      </c>
      <c r="HW645" t="s">
        <v>2171</v>
      </c>
      <c r="HX645" t="s">
        <v>4018</v>
      </c>
      <c r="HY645" t="s">
        <v>2193</v>
      </c>
      <c r="HZ645" t="s">
        <v>12272</v>
      </c>
      <c r="IA645" t="s">
        <v>12273</v>
      </c>
      <c r="IB645" t="s">
        <v>3511</v>
      </c>
      <c r="IC645" t="s">
        <v>402</v>
      </c>
      <c r="ID645" t="s">
        <v>5252</v>
      </c>
      <c r="IE645" t="s">
        <v>2037</v>
      </c>
      <c r="IF645" t="s">
        <v>2177</v>
      </c>
      <c r="IG645" t="s">
        <v>2007</v>
      </c>
      <c r="IM645" t="s">
        <v>395</v>
      </c>
      <c r="IN645" t="s">
        <v>12274</v>
      </c>
      <c r="IP645" t="s">
        <v>402</v>
      </c>
      <c r="IQ645" t="s">
        <v>3522</v>
      </c>
    </row>
    <row r="646" spans="1:305" x14ac:dyDescent="0.25">
      <c r="A646" t="s">
        <v>12339</v>
      </c>
      <c r="B646" t="str">
        <f>"198394018708"</f>
        <v>198394018708</v>
      </c>
      <c r="C646" t="s">
        <v>12327</v>
      </c>
      <c r="D646" t="s">
        <v>1592</v>
      </c>
      <c r="E646" t="s">
        <v>2006</v>
      </c>
      <c r="F646" t="s">
        <v>2040</v>
      </c>
      <c r="G646" t="str">
        <f>"89.25"</f>
        <v>89.25</v>
      </c>
      <c r="H646" t="str">
        <f t="shared" si="145"/>
        <v>92.25</v>
      </c>
      <c r="I646" t="str">
        <f t="shared" si="146"/>
        <v>48</v>
      </c>
      <c r="J646" t="str">
        <f>"234.79"</f>
        <v>234.79</v>
      </c>
      <c r="K646" t="s">
        <v>2150</v>
      </c>
      <c r="L646" t="s">
        <v>1017</v>
      </c>
      <c r="N646" t="s">
        <v>371</v>
      </c>
      <c r="O646" t="s">
        <v>775</v>
      </c>
      <c r="T646" t="s">
        <v>373</v>
      </c>
      <c r="U646" t="s">
        <v>402</v>
      </c>
      <c r="V646" t="s">
        <v>12248</v>
      </c>
      <c r="W646" t="s">
        <v>12340</v>
      </c>
      <c r="X646" t="s">
        <v>12341</v>
      </c>
      <c r="Y646" t="s">
        <v>12342</v>
      </c>
      <c r="Z646" t="s">
        <v>12343</v>
      </c>
      <c r="AA646" t="s">
        <v>12344</v>
      </c>
      <c r="AB646" t="s">
        <v>12345</v>
      </c>
      <c r="AC646" t="s">
        <v>12346</v>
      </c>
      <c r="AD646" t="s">
        <v>12347</v>
      </c>
      <c r="AE646" t="s">
        <v>12348</v>
      </c>
      <c r="AF646" t="s">
        <v>12349</v>
      </c>
      <c r="AG646" t="s">
        <v>12350</v>
      </c>
      <c r="BA646" t="str">
        <f>"1599"</f>
        <v>1599</v>
      </c>
      <c r="BB646" t="str">
        <f>"675"</f>
        <v>675</v>
      </c>
      <c r="BC646" t="s">
        <v>665</v>
      </c>
      <c r="BD646" t="str">
        <f t="shared" si="147"/>
        <v>3</v>
      </c>
      <c r="BE646" t="s">
        <v>12265</v>
      </c>
      <c r="BF646" t="str">
        <f>"90.16"</f>
        <v>90.16</v>
      </c>
      <c r="BG646" t="str">
        <f>"49.41"</f>
        <v>49.41</v>
      </c>
      <c r="BH646" t="str">
        <f t="shared" si="148"/>
        <v>5.91</v>
      </c>
      <c r="BI646" t="str">
        <f>"94.8"</f>
        <v>94.8</v>
      </c>
      <c r="BJ646" t="s">
        <v>12266</v>
      </c>
      <c r="BK646" t="str">
        <f>"88.78"</f>
        <v>88.78</v>
      </c>
      <c r="BL646" t="str">
        <f t="shared" si="149"/>
        <v>15.94</v>
      </c>
      <c r="BM646" t="str">
        <f t="shared" si="150"/>
        <v>8.86</v>
      </c>
      <c r="BN646" t="str">
        <f>"85.98"</f>
        <v>85.98</v>
      </c>
      <c r="BO646" t="s">
        <v>12267</v>
      </c>
      <c r="BP646" t="str">
        <f t="shared" si="151"/>
        <v>85.43</v>
      </c>
      <c r="BQ646" t="str">
        <f t="shared" si="152"/>
        <v>15.16</v>
      </c>
      <c r="BR646" t="str">
        <f t="shared" si="153"/>
        <v>14.17</v>
      </c>
      <c r="BS646" t="str">
        <f>"94.8"</f>
        <v>94.8</v>
      </c>
      <c r="BY646" t="str">
        <f>"33.09"</f>
        <v>33.09</v>
      </c>
      <c r="BZ646" t="str">
        <f>"0.937"</f>
        <v>0.937</v>
      </c>
      <c r="CA646" t="s">
        <v>495</v>
      </c>
      <c r="CQ646" t="s">
        <v>631</v>
      </c>
      <c r="CR646" t="s">
        <v>400</v>
      </c>
      <c r="CS646">
        <v>0</v>
      </c>
      <c r="CT646" t="s">
        <v>400</v>
      </c>
      <c r="CV646">
        <v>0</v>
      </c>
      <c r="CX646" t="s">
        <v>1609</v>
      </c>
      <c r="CY646" t="s">
        <v>400</v>
      </c>
      <c r="DA646">
        <v>0</v>
      </c>
      <c r="DB646">
        <v>0</v>
      </c>
      <c r="DC646">
        <v>0</v>
      </c>
      <c r="DD646">
        <v>15000</v>
      </c>
      <c r="DK646" t="s">
        <v>12268</v>
      </c>
      <c r="DM646" t="s">
        <v>2028</v>
      </c>
      <c r="EG646" t="s">
        <v>1513</v>
      </c>
      <c r="EN646">
        <v>0</v>
      </c>
      <c r="HN646" t="s">
        <v>12269</v>
      </c>
      <c r="HO646" t="s">
        <v>12269</v>
      </c>
      <c r="HP646" t="s">
        <v>12269</v>
      </c>
      <c r="HQ646" t="s">
        <v>1612</v>
      </c>
      <c r="HR646" t="s">
        <v>3511</v>
      </c>
      <c r="HS646" t="s">
        <v>12290</v>
      </c>
      <c r="HT646" t="s">
        <v>4940</v>
      </c>
      <c r="HU646" t="s">
        <v>2072</v>
      </c>
      <c r="HV646" t="s">
        <v>12291</v>
      </c>
      <c r="HW646" t="s">
        <v>2171</v>
      </c>
      <c r="HX646" t="s">
        <v>4018</v>
      </c>
      <c r="HY646" t="s">
        <v>2173</v>
      </c>
      <c r="HZ646" t="s">
        <v>12272</v>
      </c>
      <c r="IA646" t="s">
        <v>12273</v>
      </c>
      <c r="IB646" t="s">
        <v>3511</v>
      </c>
      <c r="IC646" t="s">
        <v>402</v>
      </c>
      <c r="ID646" t="s">
        <v>5252</v>
      </c>
      <c r="IE646" t="s">
        <v>2037</v>
      </c>
      <c r="IF646" t="s">
        <v>2177</v>
      </c>
      <c r="IG646" t="s">
        <v>2040</v>
      </c>
      <c r="IM646" t="s">
        <v>395</v>
      </c>
      <c r="IN646" t="s">
        <v>12274</v>
      </c>
      <c r="IP646" t="s">
        <v>402</v>
      </c>
      <c r="IQ646" t="s">
        <v>3522</v>
      </c>
    </row>
    <row r="647" spans="1:305" x14ac:dyDescent="0.25">
      <c r="A647" t="s">
        <v>12351</v>
      </c>
      <c r="B647" t="str">
        <f>"801542248215"</f>
        <v>801542248215</v>
      </c>
      <c r="C647" t="s">
        <v>12352</v>
      </c>
      <c r="D647" t="s">
        <v>6787</v>
      </c>
      <c r="E647" t="s">
        <v>2006</v>
      </c>
      <c r="F647" t="s">
        <v>2007</v>
      </c>
      <c r="G647" t="str">
        <f>"67"</f>
        <v>67</v>
      </c>
      <c r="H647" t="str">
        <f>"90.25"</f>
        <v>90.25</v>
      </c>
      <c r="I647" t="str">
        <f>"52.75"</f>
        <v>52.75</v>
      </c>
      <c r="J647" t="str">
        <f>"220.46"</f>
        <v>220.46</v>
      </c>
      <c r="K647" t="s">
        <v>9691</v>
      </c>
      <c r="L647" t="s">
        <v>12353</v>
      </c>
      <c r="M647" t="s">
        <v>12354</v>
      </c>
      <c r="N647" t="s">
        <v>9693</v>
      </c>
      <c r="O647" t="s">
        <v>9694</v>
      </c>
      <c r="P647" t="s">
        <v>1171</v>
      </c>
      <c r="Q647" t="s">
        <v>372</v>
      </c>
      <c r="R647" t="s">
        <v>1970</v>
      </c>
      <c r="T647" t="s">
        <v>373</v>
      </c>
      <c r="U647" t="s">
        <v>402</v>
      </c>
      <c r="V647" t="s">
        <v>12355</v>
      </c>
      <c r="W647" t="s">
        <v>12356</v>
      </c>
      <c r="X647" t="s">
        <v>12357</v>
      </c>
      <c r="Y647" t="s">
        <v>12358</v>
      </c>
      <c r="Z647" t="s">
        <v>12359</v>
      </c>
      <c r="AA647" t="s">
        <v>12360</v>
      </c>
      <c r="AB647" t="s">
        <v>12361</v>
      </c>
      <c r="AC647" t="s">
        <v>12362</v>
      </c>
      <c r="AD647" t="s">
        <v>12363</v>
      </c>
      <c r="AE647" t="s">
        <v>12364</v>
      </c>
      <c r="AF647" t="s">
        <v>12365</v>
      </c>
      <c r="AG647" t="s">
        <v>12366</v>
      </c>
      <c r="AH647" t="s">
        <v>12367</v>
      </c>
      <c r="AI647" t="s">
        <v>12368</v>
      </c>
      <c r="AJ647" t="s">
        <v>12369</v>
      </c>
      <c r="AK647" t="s">
        <v>12370</v>
      </c>
      <c r="BA647" t="str">
        <f>"2599"</f>
        <v>2599</v>
      </c>
      <c r="BB647" t="str">
        <f>"1095"</f>
        <v>1095</v>
      </c>
      <c r="BC647" t="s">
        <v>665</v>
      </c>
      <c r="BD647" t="str">
        <f t="shared" si="147"/>
        <v>3</v>
      </c>
      <c r="BE647" t="s">
        <v>2163</v>
      </c>
      <c r="BF647" t="str">
        <f>"70.47"</f>
        <v>70.47</v>
      </c>
      <c r="BG647" t="str">
        <f>"7.68"</f>
        <v>7.68</v>
      </c>
      <c r="BH647" t="str">
        <f>"56.1"</f>
        <v>56.1</v>
      </c>
      <c r="BI647" t="str">
        <f>"106.33"</f>
        <v>106.33</v>
      </c>
      <c r="BJ647" t="s">
        <v>3245</v>
      </c>
      <c r="BK647" t="str">
        <f>"70.47"</f>
        <v>70.47</v>
      </c>
      <c r="BL647" t="str">
        <f>"7.68"</f>
        <v>7.68</v>
      </c>
      <c r="BM647" t="str">
        <f>"27.17"</f>
        <v>27.17</v>
      </c>
      <c r="BN647" t="str">
        <f>"55.12"</f>
        <v>55.12</v>
      </c>
      <c r="BO647" t="s">
        <v>12371</v>
      </c>
      <c r="BP647" t="str">
        <f>"88.58"</f>
        <v>88.58</v>
      </c>
      <c r="BQ647" t="str">
        <f>"11.02"</f>
        <v>11.02</v>
      </c>
      <c r="BR647" t="str">
        <f>"12.99"</f>
        <v>12.99</v>
      </c>
      <c r="BS647" t="str">
        <f>"97.86"</f>
        <v>97.86</v>
      </c>
      <c r="BY647" t="str">
        <f>"33.41"</f>
        <v>33.41</v>
      </c>
      <c r="BZ647" t="str">
        <f>"0.946"</f>
        <v>0.946</v>
      </c>
      <c r="CA647" t="s">
        <v>390</v>
      </c>
      <c r="CQ647" t="s">
        <v>399</v>
      </c>
      <c r="CR647" t="s">
        <v>400</v>
      </c>
      <c r="CS647">
        <v>0</v>
      </c>
      <c r="CT647" t="s">
        <v>400</v>
      </c>
      <c r="CV647">
        <v>0</v>
      </c>
      <c r="CX647" t="s">
        <v>403</v>
      </c>
      <c r="CY647" t="s">
        <v>400</v>
      </c>
      <c r="DA647">
        <v>0</v>
      </c>
      <c r="DB647">
        <v>0</v>
      </c>
      <c r="DC647">
        <v>0</v>
      </c>
      <c r="DD647">
        <v>15000</v>
      </c>
      <c r="DK647" t="s">
        <v>12372</v>
      </c>
      <c r="DM647" t="s">
        <v>2028</v>
      </c>
      <c r="EN647">
        <v>0</v>
      </c>
      <c r="HN647" t="s">
        <v>12373</v>
      </c>
      <c r="HO647" t="s">
        <v>12373</v>
      </c>
      <c r="HP647" t="s">
        <v>12373</v>
      </c>
      <c r="HQ647" t="s">
        <v>12374</v>
      </c>
      <c r="HR647" t="s">
        <v>12375</v>
      </c>
      <c r="HS647" t="s">
        <v>9383</v>
      </c>
      <c r="HT647" t="s">
        <v>12376</v>
      </c>
      <c r="HU647" t="s">
        <v>12375</v>
      </c>
      <c r="HV647" t="s">
        <v>9383</v>
      </c>
      <c r="HW647" t="s">
        <v>2171</v>
      </c>
      <c r="HX647" t="s">
        <v>674</v>
      </c>
      <c r="HY647" t="s">
        <v>5145</v>
      </c>
      <c r="HZ647" t="s">
        <v>12377</v>
      </c>
      <c r="IA647" t="s">
        <v>7701</v>
      </c>
      <c r="IB647" t="s">
        <v>1358</v>
      </c>
      <c r="IC647" t="s">
        <v>402</v>
      </c>
      <c r="ID647" t="s">
        <v>3519</v>
      </c>
      <c r="IE647" t="s">
        <v>2037</v>
      </c>
      <c r="IF647" t="s">
        <v>2177</v>
      </c>
      <c r="IG647" t="s">
        <v>2007</v>
      </c>
      <c r="IM647" t="s">
        <v>395</v>
      </c>
      <c r="IN647" t="s">
        <v>12378</v>
      </c>
      <c r="IP647" t="s">
        <v>402</v>
      </c>
      <c r="IQ647" t="s">
        <v>12379</v>
      </c>
      <c r="IT647" t="s">
        <v>2171</v>
      </c>
      <c r="IU647" t="s">
        <v>5145</v>
      </c>
    </row>
    <row r="648" spans="1:305" x14ac:dyDescent="0.25">
      <c r="A648" t="s">
        <v>12380</v>
      </c>
      <c r="B648" t="str">
        <f>"801542248208"</f>
        <v>801542248208</v>
      </c>
      <c r="C648" t="s">
        <v>12352</v>
      </c>
      <c r="D648" t="s">
        <v>6787</v>
      </c>
      <c r="E648" t="s">
        <v>2006</v>
      </c>
      <c r="F648" t="s">
        <v>2040</v>
      </c>
      <c r="G648" t="str">
        <f>"83.25"</f>
        <v>83.25</v>
      </c>
      <c r="H648" t="str">
        <f>"90.25"</f>
        <v>90.25</v>
      </c>
      <c r="I648" t="str">
        <f>"52.75"</f>
        <v>52.75</v>
      </c>
      <c r="J648" t="str">
        <f>"257.94"</f>
        <v>257.94</v>
      </c>
      <c r="K648" t="s">
        <v>9691</v>
      </c>
      <c r="L648" t="s">
        <v>12353</v>
      </c>
      <c r="M648" t="s">
        <v>12354</v>
      </c>
      <c r="N648" t="s">
        <v>9693</v>
      </c>
      <c r="O648" t="s">
        <v>9694</v>
      </c>
      <c r="P648" t="s">
        <v>1171</v>
      </c>
      <c r="Q648" t="s">
        <v>372</v>
      </c>
      <c r="R648" t="s">
        <v>1970</v>
      </c>
      <c r="T648" t="s">
        <v>373</v>
      </c>
      <c r="U648" t="s">
        <v>402</v>
      </c>
      <c r="V648" t="s">
        <v>12355</v>
      </c>
      <c r="W648" t="s">
        <v>12381</v>
      </c>
      <c r="X648" t="s">
        <v>12382</v>
      </c>
      <c r="Y648" t="s">
        <v>12383</v>
      </c>
      <c r="Z648" t="s">
        <v>12384</v>
      </c>
      <c r="AA648" t="s">
        <v>12385</v>
      </c>
      <c r="AB648" t="s">
        <v>12386</v>
      </c>
      <c r="AC648" t="s">
        <v>12387</v>
      </c>
      <c r="AD648" t="s">
        <v>12388</v>
      </c>
      <c r="AE648" t="s">
        <v>12389</v>
      </c>
      <c r="AF648" t="s">
        <v>12390</v>
      </c>
      <c r="AG648" t="s">
        <v>12391</v>
      </c>
      <c r="AH648" t="s">
        <v>12392</v>
      </c>
      <c r="AI648" t="s">
        <v>12393</v>
      </c>
      <c r="AJ648" t="s">
        <v>12394</v>
      </c>
      <c r="BA648" t="str">
        <f>"2999"</f>
        <v>2999</v>
      </c>
      <c r="BB648" t="str">
        <f>"1260"</f>
        <v>1260</v>
      </c>
      <c r="BC648" t="s">
        <v>665</v>
      </c>
      <c r="BD648" t="str">
        <f t="shared" si="147"/>
        <v>3</v>
      </c>
      <c r="BE648" t="s">
        <v>2163</v>
      </c>
      <c r="BF648" t="str">
        <f>"87.01"</f>
        <v>87.01</v>
      </c>
      <c r="BG648" t="str">
        <f>"7.48"</f>
        <v>7.48</v>
      </c>
      <c r="BH648" t="str">
        <f>"56.3"</f>
        <v>56.3</v>
      </c>
      <c r="BI648" t="str">
        <f>"122.36"</f>
        <v>122.36</v>
      </c>
      <c r="BJ648" t="s">
        <v>3245</v>
      </c>
      <c r="BK648" t="str">
        <f>"86.42"</f>
        <v>86.42</v>
      </c>
      <c r="BL648" t="str">
        <f>"7.87"</f>
        <v>7.87</v>
      </c>
      <c r="BM648" t="str">
        <f>"27.36"</f>
        <v>27.36</v>
      </c>
      <c r="BN648" t="str">
        <f>"63.93"</f>
        <v>63.93</v>
      </c>
      <c r="BO648" t="s">
        <v>12395</v>
      </c>
      <c r="BP648" t="str">
        <f>"87.8"</f>
        <v>87.8</v>
      </c>
      <c r="BQ648" t="str">
        <f>"11.42"</f>
        <v>11.42</v>
      </c>
      <c r="BR648" t="str">
        <f>"13.58"</f>
        <v>13.58</v>
      </c>
      <c r="BS648" t="str">
        <f>"120.15"</f>
        <v>120.15</v>
      </c>
      <c r="BY648" t="str">
        <f>"39.83"</f>
        <v>39.83</v>
      </c>
      <c r="BZ648" t="str">
        <f>"1.128"</f>
        <v>1.128</v>
      </c>
      <c r="CA648" t="s">
        <v>495</v>
      </c>
      <c r="CQ648" t="s">
        <v>399</v>
      </c>
      <c r="CR648" t="s">
        <v>400</v>
      </c>
      <c r="CS648">
        <v>0</v>
      </c>
      <c r="CT648" t="s">
        <v>400</v>
      </c>
      <c r="CV648">
        <v>0</v>
      </c>
      <c r="CX648" t="s">
        <v>403</v>
      </c>
      <c r="CY648" t="s">
        <v>400</v>
      </c>
      <c r="DA648">
        <v>0</v>
      </c>
      <c r="DB648">
        <v>0</v>
      </c>
      <c r="DC648">
        <v>0</v>
      </c>
      <c r="DD648">
        <v>15000</v>
      </c>
      <c r="DK648" t="s">
        <v>12372</v>
      </c>
      <c r="DM648" t="s">
        <v>2028</v>
      </c>
      <c r="EN648">
        <v>0</v>
      </c>
      <c r="HN648" t="s">
        <v>12373</v>
      </c>
      <c r="HO648" t="s">
        <v>12373</v>
      </c>
      <c r="HP648" t="s">
        <v>12373</v>
      </c>
      <c r="HQ648" t="s">
        <v>12374</v>
      </c>
      <c r="HR648" t="s">
        <v>12375</v>
      </c>
      <c r="HS648" t="s">
        <v>9775</v>
      </c>
      <c r="HT648" t="s">
        <v>12376</v>
      </c>
      <c r="HU648" t="s">
        <v>12375</v>
      </c>
      <c r="HV648" t="s">
        <v>9775</v>
      </c>
      <c r="HW648" t="s">
        <v>2171</v>
      </c>
      <c r="HX648" t="s">
        <v>674</v>
      </c>
      <c r="HY648" t="s">
        <v>3255</v>
      </c>
      <c r="HZ648" t="s">
        <v>12377</v>
      </c>
      <c r="IA648" t="s">
        <v>7701</v>
      </c>
      <c r="IB648" t="s">
        <v>1358</v>
      </c>
      <c r="IC648" t="s">
        <v>402</v>
      </c>
      <c r="ID648" t="s">
        <v>3519</v>
      </c>
      <c r="IE648" t="s">
        <v>2037</v>
      </c>
      <c r="IF648" t="s">
        <v>2177</v>
      </c>
      <c r="IG648" t="s">
        <v>2040</v>
      </c>
      <c r="IM648" t="s">
        <v>395</v>
      </c>
      <c r="IN648" t="s">
        <v>12378</v>
      </c>
      <c r="IP648" t="s">
        <v>402</v>
      </c>
      <c r="IQ648" t="s">
        <v>12379</v>
      </c>
      <c r="IT648" t="s">
        <v>2171</v>
      </c>
      <c r="IU648" t="s">
        <v>3255</v>
      </c>
    </row>
    <row r="649" spans="1:305" x14ac:dyDescent="0.25">
      <c r="A649" t="s">
        <v>12396</v>
      </c>
      <c r="B649" t="str">
        <f>"801542152611"</f>
        <v>801542152611</v>
      </c>
      <c r="C649" t="s">
        <v>12397</v>
      </c>
      <c r="D649" t="s">
        <v>5390</v>
      </c>
      <c r="E649" t="s">
        <v>1166</v>
      </c>
      <c r="F649" t="s">
        <v>12398</v>
      </c>
      <c r="G649" t="str">
        <f>"89"</f>
        <v>89</v>
      </c>
      <c r="H649" t="str">
        <f>"45.25"</f>
        <v>45.25</v>
      </c>
      <c r="I649" t="str">
        <f t="shared" ref="I649:I654" si="154">"30"</f>
        <v>30</v>
      </c>
      <c r="J649" t="str">
        <f>"308.64"</f>
        <v>308.64</v>
      </c>
      <c r="K649" t="s">
        <v>5427</v>
      </c>
      <c r="N649" t="s">
        <v>416</v>
      </c>
      <c r="T649" t="s">
        <v>373</v>
      </c>
      <c r="U649" t="s">
        <v>373</v>
      </c>
      <c r="V649" t="s">
        <v>12399</v>
      </c>
      <c r="W649" t="s">
        <v>12400</v>
      </c>
      <c r="X649" t="s">
        <v>12401</v>
      </c>
      <c r="Y649" t="s">
        <v>12402</v>
      </c>
      <c r="Z649" t="s">
        <v>12403</v>
      </c>
      <c r="AA649" t="s">
        <v>12404</v>
      </c>
      <c r="AB649" t="s">
        <v>12405</v>
      </c>
      <c r="AC649" t="s">
        <v>12406</v>
      </c>
      <c r="AD649" t="s">
        <v>12407</v>
      </c>
      <c r="AE649" t="s">
        <v>12408</v>
      </c>
      <c r="AF649" t="s">
        <v>12409</v>
      </c>
      <c r="AG649" t="s">
        <v>12410</v>
      </c>
      <c r="AH649" t="s">
        <v>12411</v>
      </c>
      <c r="AI649" t="s">
        <v>12412</v>
      </c>
      <c r="AJ649" t="s">
        <v>12413</v>
      </c>
      <c r="AK649" t="s">
        <v>12414</v>
      </c>
      <c r="AL649" t="s">
        <v>12415</v>
      </c>
      <c r="BA649" t="str">
        <f>"5799"</f>
        <v>5799</v>
      </c>
      <c r="BB649" t="str">
        <f>"2440"</f>
        <v>2440</v>
      </c>
      <c r="BC649" t="s">
        <v>388</v>
      </c>
      <c r="BD649" t="str">
        <f>"2"</f>
        <v>2</v>
      </c>
      <c r="BE649" t="s">
        <v>389</v>
      </c>
      <c r="BF649" t="str">
        <f>"45.67"</f>
        <v>45.67</v>
      </c>
      <c r="BG649" t="str">
        <f>"44.88"</f>
        <v>44.88</v>
      </c>
      <c r="BH649" t="str">
        <f>"31.1"</f>
        <v>31.1</v>
      </c>
      <c r="BI649" t="str">
        <f>"183.42"</f>
        <v>183.42</v>
      </c>
      <c r="BJ649" t="s">
        <v>389</v>
      </c>
      <c r="BK649" t="str">
        <f>"45.67"</f>
        <v>45.67</v>
      </c>
      <c r="BL649" t="str">
        <f>"44.88"</f>
        <v>44.88</v>
      </c>
      <c r="BM649" t="str">
        <f>"31.1"</f>
        <v>31.1</v>
      </c>
      <c r="BN649" t="str">
        <f>"183.42"</f>
        <v>183.42</v>
      </c>
      <c r="BY649" t="str">
        <f>"73.81"</f>
        <v>73.81</v>
      </c>
      <c r="BZ649" t="str">
        <f>"2.09"</f>
        <v>2.09</v>
      </c>
      <c r="CA649" t="s">
        <v>431</v>
      </c>
      <c r="CP649" t="s">
        <v>437</v>
      </c>
      <c r="CQ649" t="s">
        <v>438</v>
      </c>
      <c r="CX649" t="s">
        <v>403</v>
      </c>
      <c r="CY649" t="s">
        <v>302</v>
      </c>
      <c r="DD649">
        <v>0</v>
      </c>
      <c r="DE649" t="s">
        <v>439</v>
      </c>
      <c r="DI649">
        <v>4</v>
      </c>
      <c r="DJ649" t="s">
        <v>12398</v>
      </c>
      <c r="DK649" t="s">
        <v>12416</v>
      </c>
      <c r="DM649" t="s">
        <v>795</v>
      </c>
      <c r="EG649" t="s">
        <v>12417</v>
      </c>
      <c r="GP649" t="s">
        <v>11059</v>
      </c>
      <c r="GQ649" t="s">
        <v>12398</v>
      </c>
      <c r="KR649" t="s">
        <v>402</v>
      </c>
      <c r="KS649" t="s">
        <v>402</v>
      </c>
    </row>
    <row r="650" spans="1:305" x14ac:dyDescent="0.25">
      <c r="A650" t="s">
        <v>12418</v>
      </c>
      <c r="B650" t="str">
        <f>"801542152604"</f>
        <v>801542152604</v>
      </c>
      <c r="C650" t="s">
        <v>12419</v>
      </c>
      <c r="D650" t="s">
        <v>5390</v>
      </c>
      <c r="E650" t="s">
        <v>1166</v>
      </c>
      <c r="F650" t="s">
        <v>12398</v>
      </c>
      <c r="G650" t="str">
        <f>"89"</f>
        <v>89</v>
      </c>
      <c r="H650" t="str">
        <f>"45.25"</f>
        <v>45.25</v>
      </c>
      <c r="I650" t="str">
        <f t="shared" si="154"/>
        <v>30</v>
      </c>
      <c r="J650" t="str">
        <f>"308.64"</f>
        <v>308.64</v>
      </c>
      <c r="K650" t="s">
        <v>10431</v>
      </c>
      <c r="N650" t="s">
        <v>10433</v>
      </c>
      <c r="O650" t="s">
        <v>10434</v>
      </c>
      <c r="P650" t="s">
        <v>10435</v>
      </c>
      <c r="T650" t="s">
        <v>373</v>
      </c>
      <c r="U650" t="s">
        <v>402</v>
      </c>
      <c r="V650" t="s">
        <v>12420</v>
      </c>
      <c r="W650" t="s">
        <v>12421</v>
      </c>
      <c r="X650" t="s">
        <v>12422</v>
      </c>
      <c r="Y650" t="s">
        <v>12423</v>
      </c>
      <c r="Z650" t="s">
        <v>12424</v>
      </c>
      <c r="AA650" t="s">
        <v>12425</v>
      </c>
      <c r="AB650" t="s">
        <v>12426</v>
      </c>
      <c r="AC650" t="s">
        <v>12427</v>
      </c>
      <c r="AD650" t="s">
        <v>12428</v>
      </c>
      <c r="AE650" t="s">
        <v>12429</v>
      </c>
      <c r="AF650" t="s">
        <v>12430</v>
      </c>
      <c r="AG650" t="s">
        <v>12431</v>
      </c>
      <c r="AH650" t="s">
        <v>12432</v>
      </c>
      <c r="BA650" t="str">
        <f>"3799"</f>
        <v>3799</v>
      </c>
      <c r="BB650" t="str">
        <f>"1600"</f>
        <v>1600</v>
      </c>
      <c r="BC650" t="s">
        <v>388</v>
      </c>
      <c r="BD650" t="str">
        <f>"2"</f>
        <v>2</v>
      </c>
      <c r="BE650" t="s">
        <v>389</v>
      </c>
      <c r="BF650" t="str">
        <f>"45.67"</f>
        <v>45.67</v>
      </c>
      <c r="BG650" t="str">
        <f>"44.88"</f>
        <v>44.88</v>
      </c>
      <c r="BH650" t="str">
        <f>"31.1"</f>
        <v>31.1</v>
      </c>
      <c r="BI650" t="str">
        <f>"183.42"</f>
        <v>183.42</v>
      </c>
      <c r="BJ650" t="s">
        <v>389</v>
      </c>
      <c r="BK650" t="str">
        <f>"45.67"</f>
        <v>45.67</v>
      </c>
      <c r="BL650" t="str">
        <f>"44.88"</f>
        <v>44.88</v>
      </c>
      <c r="BM650" t="str">
        <f>"31.1"</f>
        <v>31.1</v>
      </c>
      <c r="BN650" t="str">
        <f>"183.42"</f>
        <v>183.42</v>
      </c>
      <c r="BY650" t="str">
        <f>"73.81"</f>
        <v>73.81</v>
      </c>
      <c r="BZ650" t="str">
        <f>"2.09"</f>
        <v>2.09</v>
      </c>
      <c r="CA650" t="s">
        <v>495</v>
      </c>
      <c r="CP650" t="s">
        <v>437</v>
      </c>
      <c r="CQ650" t="s">
        <v>631</v>
      </c>
      <c r="CX650" t="s">
        <v>403</v>
      </c>
      <c r="CY650" t="s">
        <v>302</v>
      </c>
      <c r="DD650">
        <v>25000</v>
      </c>
      <c r="DE650" t="s">
        <v>439</v>
      </c>
      <c r="DI650">
        <v>4</v>
      </c>
      <c r="DJ650" t="s">
        <v>12398</v>
      </c>
      <c r="DK650" t="s">
        <v>12416</v>
      </c>
      <c r="DM650" t="s">
        <v>795</v>
      </c>
      <c r="EG650" t="s">
        <v>12417</v>
      </c>
      <c r="GP650" t="s">
        <v>11059</v>
      </c>
      <c r="GQ650" t="s">
        <v>12398</v>
      </c>
      <c r="KR650" t="s">
        <v>402</v>
      </c>
      <c r="KS650" t="s">
        <v>402</v>
      </c>
    </row>
    <row r="651" spans="1:305" x14ac:dyDescent="0.25">
      <c r="A651" t="s">
        <v>12433</v>
      </c>
      <c r="B651" t="str">
        <f>"801542008048"</f>
        <v>801542008048</v>
      </c>
      <c r="C651" t="s">
        <v>12434</v>
      </c>
      <c r="D651" t="s">
        <v>5390</v>
      </c>
      <c r="E651" t="s">
        <v>1166</v>
      </c>
      <c r="F651" t="s">
        <v>12398</v>
      </c>
      <c r="G651" t="str">
        <f>"89"</f>
        <v>89</v>
      </c>
      <c r="H651" t="str">
        <f>"45.25"</f>
        <v>45.25</v>
      </c>
      <c r="I651" t="str">
        <f t="shared" si="154"/>
        <v>30</v>
      </c>
      <c r="J651" t="str">
        <f>"308.64"</f>
        <v>308.64</v>
      </c>
      <c r="K651" t="s">
        <v>12435</v>
      </c>
      <c r="N651" t="s">
        <v>1534</v>
      </c>
      <c r="O651" t="s">
        <v>12436</v>
      </c>
      <c r="T651" t="s">
        <v>373</v>
      </c>
      <c r="U651" t="s">
        <v>373</v>
      </c>
      <c r="V651" t="s">
        <v>12437</v>
      </c>
      <c r="W651" t="s">
        <v>12438</v>
      </c>
      <c r="X651" t="s">
        <v>12439</v>
      </c>
      <c r="Y651" t="s">
        <v>12440</v>
      </c>
      <c r="Z651" t="s">
        <v>12441</v>
      </c>
      <c r="AA651" t="s">
        <v>12442</v>
      </c>
      <c r="AB651" t="s">
        <v>12443</v>
      </c>
      <c r="BA651" t="str">
        <f>"3799"</f>
        <v>3799</v>
      </c>
      <c r="BB651" t="str">
        <f>"1600"</f>
        <v>1600</v>
      </c>
      <c r="BC651" t="s">
        <v>388</v>
      </c>
      <c r="BD651" t="str">
        <f>"2"</f>
        <v>2</v>
      </c>
      <c r="BE651" t="s">
        <v>389</v>
      </c>
      <c r="BF651" t="str">
        <f>"45.67"</f>
        <v>45.67</v>
      </c>
      <c r="BG651" t="str">
        <f>"44.88"</f>
        <v>44.88</v>
      </c>
      <c r="BH651" t="str">
        <f>"31.1"</f>
        <v>31.1</v>
      </c>
      <c r="BI651" t="str">
        <f>"183.42"</f>
        <v>183.42</v>
      </c>
      <c r="BJ651" t="s">
        <v>389</v>
      </c>
      <c r="BK651" t="str">
        <f>"45.67"</f>
        <v>45.67</v>
      </c>
      <c r="BL651" t="str">
        <f>"44.88"</f>
        <v>44.88</v>
      </c>
      <c r="BM651" t="str">
        <f>"31.1"</f>
        <v>31.1</v>
      </c>
      <c r="BN651" t="str">
        <f>"183.42"</f>
        <v>183.42</v>
      </c>
      <c r="BY651" t="str">
        <f>"73.81"</f>
        <v>73.81</v>
      </c>
      <c r="BZ651" t="str">
        <f>"2.09"</f>
        <v>2.09</v>
      </c>
      <c r="CA651" t="s">
        <v>495</v>
      </c>
      <c r="CP651" t="s">
        <v>437</v>
      </c>
      <c r="CQ651" t="s">
        <v>1152</v>
      </c>
      <c r="CX651" t="s">
        <v>403</v>
      </c>
      <c r="CY651" t="s">
        <v>302</v>
      </c>
      <c r="DD651">
        <v>15000</v>
      </c>
      <c r="DE651" t="s">
        <v>439</v>
      </c>
      <c r="DI651">
        <v>4</v>
      </c>
      <c r="DJ651" t="s">
        <v>12398</v>
      </c>
      <c r="DK651" t="s">
        <v>12416</v>
      </c>
      <c r="DM651" t="s">
        <v>795</v>
      </c>
      <c r="EG651" t="s">
        <v>12417</v>
      </c>
      <c r="GP651" t="s">
        <v>11059</v>
      </c>
      <c r="GQ651" t="s">
        <v>12398</v>
      </c>
      <c r="KR651" t="s">
        <v>402</v>
      </c>
      <c r="KS651" t="s">
        <v>402</v>
      </c>
    </row>
    <row r="652" spans="1:305" x14ac:dyDescent="0.25">
      <c r="A652" t="s">
        <v>12444</v>
      </c>
      <c r="B652" t="str">
        <f>"198394083454"</f>
        <v>198394083454</v>
      </c>
      <c r="C652" t="s">
        <v>12445</v>
      </c>
      <c r="D652" t="s">
        <v>5390</v>
      </c>
      <c r="E652" t="s">
        <v>1166</v>
      </c>
      <c r="F652" t="s">
        <v>12398</v>
      </c>
      <c r="G652" t="str">
        <f>"89"</f>
        <v>89</v>
      </c>
      <c r="H652" t="str">
        <f>"45.25"</f>
        <v>45.25</v>
      </c>
      <c r="I652" t="str">
        <f t="shared" si="154"/>
        <v>30</v>
      </c>
      <c r="J652" t="str">
        <f>"308.64"</f>
        <v>308.64</v>
      </c>
      <c r="K652" t="s">
        <v>911</v>
      </c>
      <c r="N652" t="s">
        <v>912</v>
      </c>
      <c r="O652" t="s">
        <v>913</v>
      </c>
      <c r="T652" t="s">
        <v>373</v>
      </c>
      <c r="U652" t="s">
        <v>402</v>
      </c>
      <c r="V652" t="s">
        <v>12446</v>
      </c>
      <c r="W652" t="s">
        <v>12447</v>
      </c>
      <c r="X652" t="s">
        <v>12448</v>
      </c>
      <c r="Y652" t="s">
        <v>12449</v>
      </c>
      <c r="Z652" t="s">
        <v>12450</v>
      </c>
      <c r="AA652" t="s">
        <v>12451</v>
      </c>
      <c r="AB652" t="s">
        <v>12452</v>
      </c>
      <c r="AC652" t="s">
        <v>12453</v>
      </c>
      <c r="AD652" t="s">
        <v>12454</v>
      </c>
      <c r="AE652" t="s">
        <v>12455</v>
      </c>
      <c r="AF652" t="s">
        <v>12456</v>
      </c>
      <c r="AG652" t="s">
        <v>12457</v>
      </c>
      <c r="AH652" t="s">
        <v>12458</v>
      </c>
      <c r="AI652" t="s">
        <v>12459</v>
      </c>
      <c r="AJ652" t="s">
        <v>12460</v>
      </c>
      <c r="AK652" t="s">
        <v>12461</v>
      </c>
      <c r="BA652" t="str">
        <f>"3799"</f>
        <v>3799</v>
      </c>
      <c r="BB652" t="str">
        <f>"1600"</f>
        <v>1600</v>
      </c>
      <c r="BC652" t="s">
        <v>388</v>
      </c>
      <c r="BD652" t="str">
        <f>"2"</f>
        <v>2</v>
      </c>
      <c r="BE652" t="s">
        <v>389</v>
      </c>
      <c r="BF652" t="str">
        <f>"45.67"</f>
        <v>45.67</v>
      </c>
      <c r="BG652" t="str">
        <f>"44.88"</f>
        <v>44.88</v>
      </c>
      <c r="BH652" t="str">
        <f>"31.1"</f>
        <v>31.1</v>
      </c>
      <c r="BI652" t="str">
        <f>"183.42"</f>
        <v>183.42</v>
      </c>
      <c r="BJ652" t="s">
        <v>389</v>
      </c>
      <c r="BK652" t="str">
        <f>"45.67"</f>
        <v>45.67</v>
      </c>
      <c r="BL652" t="str">
        <f>"44.88"</f>
        <v>44.88</v>
      </c>
      <c r="BM652" t="str">
        <f>"31.1"</f>
        <v>31.1</v>
      </c>
      <c r="BN652" t="str">
        <f>"183.42"</f>
        <v>183.42</v>
      </c>
      <c r="BY652" t="str">
        <f>"73.81"</f>
        <v>73.81</v>
      </c>
      <c r="BZ652" t="str">
        <f>"2.09"</f>
        <v>2.09</v>
      </c>
      <c r="CA652" t="s">
        <v>495</v>
      </c>
      <c r="CP652" t="s">
        <v>437</v>
      </c>
      <c r="CQ652" t="s">
        <v>399</v>
      </c>
      <c r="CX652" t="s">
        <v>403</v>
      </c>
      <c r="CY652" t="s">
        <v>302</v>
      </c>
      <c r="DD652">
        <v>50000</v>
      </c>
      <c r="DE652" t="s">
        <v>439</v>
      </c>
      <c r="DI652">
        <v>4</v>
      </c>
      <c r="DJ652" t="s">
        <v>12398</v>
      </c>
      <c r="DK652" t="s">
        <v>12416</v>
      </c>
      <c r="DM652" t="s">
        <v>795</v>
      </c>
      <c r="EG652" t="s">
        <v>12417</v>
      </c>
      <c r="GP652" t="s">
        <v>11059</v>
      </c>
      <c r="GQ652" t="s">
        <v>12398</v>
      </c>
      <c r="KR652" t="s">
        <v>402</v>
      </c>
      <c r="KS652" t="s">
        <v>402</v>
      </c>
    </row>
    <row r="653" spans="1:305" x14ac:dyDescent="0.25">
      <c r="A653" t="s">
        <v>12462</v>
      </c>
      <c r="B653" t="str">
        <f>"198394083461"</f>
        <v>198394083461</v>
      </c>
      <c r="C653" t="s">
        <v>12463</v>
      </c>
      <c r="D653" t="s">
        <v>5390</v>
      </c>
      <c r="E653" t="s">
        <v>1166</v>
      </c>
      <c r="F653" t="s">
        <v>12398</v>
      </c>
      <c r="G653" t="str">
        <f>"89"</f>
        <v>89</v>
      </c>
      <c r="H653" t="str">
        <f>"45.25"</f>
        <v>45.25</v>
      </c>
      <c r="I653" t="str">
        <f t="shared" si="154"/>
        <v>30</v>
      </c>
      <c r="J653" t="str">
        <f>"308.64"</f>
        <v>308.64</v>
      </c>
      <c r="K653" t="s">
        <v>1496</v>
      </c>
      <c r="N653" t="s">
        <v>416</v>
      </c>
      <c r="T653" t="s">
        <v>373</v>
      </c>
      <c r="U653" t="s">
        <v>373</v>
      </c>
      <c r="V653" t="s">
        <v>12399</v>
      </c>
      <c r="W653" t="s">
        <v>12464</v>
      </c>
      <c r="X653" t="s">
        <v>12465</v>
      </c>
      <c r="Y653" t="s">
        <v>12466</v>
      </c>
      <c r="Z653" t="s">
        <v>12467</v>
      </c>
      <c r="AA653" t="s">
        <v>12468</v>
      </c>
      <c r="AB653" t="s">
        <v>12469</v>
      </c>
      <c r="AC653" t="s">
        <v>12470</v>
      </c>
      <c r="AD653" t="s">
        <v>12471</v>
      </c>
      <c r="AE653" t="s">
        <v>12472</v>
      </c>
      <c r="AF653" t="s">
        <v>12473</v>
      </c>
      <c r="AG653" t="s">
        <v>12474</v>
      </c>
      <c r="AH653" t="s">
        <v>12475</v>
      </c>
      <c r="AI653" t="s">
        <v>12476</v>
      </c>
      <c r="AJ653" t="s">
        <v>12477</v>
      </c>
      <c r="BA653" t="str">
        <f>"5799"</f>
        <v>5799</v>
      </c>
      <c r="BB653" t="str">
        <f>"2440"</f>
        <v>2440</v>
      </c>
      <c r="BC653" t="s">
        <v>388</v>
      </c>
      <c r="BD653" t="str">
        <f>"2"</f>
        <v>2</v>
      </c>
      <c r="BE653" t="s">
        <v>389</v>
      </c>
      <c r="BF653" t="str">
        <f>"45.67"</f>
        <v>45.67</v>
      </c>
      <c r="BG653" t="str">
        <f>"44.88"</f>
        <v>44.88</v>
      </c>
      <c r="BH653" t="str">
        <f>"31.1"</f>
        <v>31.1</v>
      </c>
      <c r="BI653" t="str">
        <f>"183.42"</f>
        <v>183.42</v>
      </c>
      <c r="BJ653" t="s">
        <v>389</v>
      </c>
      <c r="BK653" t="str">
        <f>"45.67"</f>
        <v>45.67</v>
      </c>
      <c r="BL653" t="str">
        <f>"44.88"</f>
        <v>44.88</v>
      </c>
      <c r="BM653" t="str">
        <f>"31.1"</f>
        <v>31.1</v>
      </c>
      <c r="BN653" t="str">
        <f>"183.42"</f>
        <v>183.42</v>
      </c>
      <c r="BY653" t="str">
        <f>"73.81"</f>
        <v>73.81</v>
      </c>
      <c r="BZ653" t="str">
        <f>"2.09"</f>
        <v>2.09</v>
      </c>
      <c r="CA653" t="s">
        <v>495</v>
      </c>
      <c r="CP653" t="s">
        <v>437</v>
      </c>
      <c r="CQ653" t="s">
        <v>438</v>
      </c>
      <c r="CX653" t="s">
        <v>403</v>
      </c>
      <c r="CY653" t="s">
        <v>302</v>
      </c>
      <c r="DD653">
        <v>0</v>
      </c>
      <c r="DE653" t="s">
        <v>439</v>
      </c>
      <c r="DI653">
        <v>4</v>
      </c>
      <c r="DJ653" t="s">
        <v>12398</v>
      </c>
      <c r="DK653" t="s">
        <v>12416</v>
      </c>
      <c r="DM653" t="s">
        <v>795</v>
      </c>
      <c r="EG653" t="s">
        <v>12417</v>
      </c>
      <c r="GP653" t="s">
        <v>11059</v>
      </c>
      <c r="GQ653" t="s">
        <v>12398</v>
      </c>
      <c r="KR653" t="s">
        <v>402</v>
      </c>
      <c r="KS653" t="s">
        <v>402</v>
      </c>
    </row>
    <row r="654" spans="1:305" x14ac:dyDescent="0.25">
      <c r="A654" t="s">
        <v>12478</v>
      </c>
      <c r="B654" t="str">
        <f>"801542126766"</f>
        <v>801542126766</v>
      </c>
      <c r="C654" t="s">
        <v>12479</v>
      </c>
      <c r="D654" t="s">
        <v>8652</v>
      </c>
      <c r="E654" t="s">
        <v>930</v>
      </c>
      <c r="G654" t="str">
        <f>"94"</f>
        <v>94</v>
      </c>
      <c r="H654" t="str">
        <f>"18"</f>
        <v>18</v>
      </c>
      <c r="I654" t="str">
        <f t="shared" si="154"/>
        <v>30</v>
      </c>
      <c r="J654" t="str">
        <f>"235.01"</f>
        <v>235.01</v>
      </c>
      <c r="K654" t="s">
        <v>12480</v>
      </c>
      <c r="N654" t="s">
        <v>1399</v>
      </c>
      <c r="T654" t="s">
        <v>373</v>
      </c>
      <c r="U654" t="s">
        <v>373</v>
      </c>
      <c r="V654" t="s">
        <v>12481</v>
      </c>
      <c r="W654" t="s">
        <v>12482</v>
      </c>
      <c r="X654" t="s">
        <v>12483</v>
      </c>
      <c r="Y654" t="s">
        <v>12484</v>
      </c>
      <c r="Z654" t="s">
        <v>12485</v>
      </c>
      <c r="AA654" t="s">
        <v>12486</v>
      </c>
      <c r="AB654" t="s">
        <v>12487</v>
      </c>
      <c r="AC654" t="s">
        <v>12488</v>
      </c>
      <c r="AD654" t="s">
        <v>12489</v>
      </c>
      <c r="AE654" t="s">
        <v>12490</v>
      </c>
      <c r="AF654" t="s">
        <v>12491</v>
      </c>
      <c r="AG654" t="s">
        <v>12492</v>
      </c>
      <c r="AH654" t="s">
        <v>12493</v>
      </c>
      <c r="AI654" t="s">
        <v>12494</v>
      </c>
      <c r="AJ654" t="s">
        <v>12495</v>
      </c>
      <c r="BA654" t="str">
        <f>"2499"</f>
        <v>2499</v>
      </c>
      <c r="BB654" t="str">
        <f>"1050"</f>
        <v>1050</v>
      </c>
      <c r="BC654" t="s">
        <v>388</v>
      </c>
      <c r="BD654" t="str">
        <f t="shared" ref="BD654:BD661" si="155">"1"</f>
        <v>1</v>
      </c>
      <c r="BE654" t="s">
        <v>389</v>
      </c>
      <c r="BF654" t="str">
        <f>"96.85"</f>
        <v>96.85</v>
      </c>
      <c r="BG654" t="str">
        <f>"22.05"</f>
        <v>22.05</v>
      </c>
      <c r="BH654" t="str">
        <f>"33.86"</f>
        <v>33.86</v>
      </c>
      <c r="BI654" t="str">
        <f>"270.95"</f>
        <v>270.95</v>
      </c>
      <c r="BY654" t="str">
        <f>"41.85"</f>
        <v>41.85</v>
      </c>
      <c r="BZ654" t="str">
        <f>"1.185"</f>
        <v>1.185</v>
      </c>
      <c r="CA654" t="s">
        <v>431</v>
      </c>
      <c r="CE654" t="s">
        <v>3833</v>
      </c>
      <c r="CF654" t="s">
        <v>1291</v>
      </c>
      <c r="CG654" t="s">
        <v>9483</v>
      </c>
      <c r="CR654" t="s">
        <v>3806</v>
      </c>
      <c r="CS654">
        <v>3</v>
      </c>
      <c r="CT654" t="s">
        <v>1344</v>
      </c>
      <c r="CV654">
        <v>0</v>
      </c>
      <c r="CX654" t="s">
        <v>1241</v>
      </c>
      <c r="CY654" t="s">
        <v>954</v>
      </c>
      <c r="DA654">
        <v>18.14</v>
      </c>
      <c r="DB654">
        <v>40</v>
      </c>
      <c r="DC654">
        <v>2</v>
      </c>
      <c r="DK654" t="s">
        <v>12496</v>
      </c>
      <c r="DM654" t="s">
        <v>669</v>
      </c>
      <c r="DX654" t="s">
        <v>5881</v>
      </c>
      <c r="EM654" t="s">
        <v>402</v>
      </c>
      <c r="EN654">
        <v>2</v>
      </c>
      <c r="EZ654" t="s">
        <v>601</v>
      </c>
      <c r="FA654" t="s">
        <v>3518</v>
      </c>
      <c r="FB654" t="s">
        <v>950</v>
      </c>
      <c r="FC654" t="s">
        <v>3833</v>
      </c>
      <c r="FD654" t="s">
        <v>4614</v>
      </c>
      <c r="FE654" t="s">
        <v>9483</v>
      </c>
      <c r="FF654">
        <v>0</v>
      </c>
      <c r="FG654" t="s">
        <v>402</v>
      </c>
      <c r="FH654" t="s">
        <v>959</v>
      </c>
      <c r="FI654">
        <v>4</v>
      </c>
      <c r="FJ654" t="s">
        <v>960</v>
      </c>
      <c r="FK654" t="s">
        <v>1246</v>
      </c>
      <c r="FL654">
        <v>0</v>
      </c>
      <c r="FM654" t="s">
        <v>402</v>
      </c>
      <c r="FO654" t="s">
        <v>984</v>
      </c>
      <c r="FR654" t="s">
        <v>2696</v>
      </c>
      <c r="FT654" t="s">
        <v>3025</v>
      </c>
      <c r="FV654" t="s">
        <v>791</v>
      </c>
      <c r="FX654" t="s">
        <v>1008</v>
      </c>
      <c r="FZ654" t="s">
        <v>1018</v>
      </c>
      <c r="GA654" t="s">
        <v>402</v>
      </c>
      <c r="GX654" t="s">
        <v>1357</v>
      </c>
      <c r="HI654" t="s">
        <v>402</v>
      </c>
    </row>
    <row r="655" spans="1:305" x14ac:dyDescent="0.25">
      <c r="A655" t="s">
        <v>12497</v>
      </c>
      <c r="B655" t="str">
        <f>"801542170080"</f>
        <v>801542170080</v>
      </c>
      <c r="C655" t="s">
        <v>12498</v>
      </c>
      <c r="D655" t="s">
        <v>1420</v>
      </c>
      <c r="E655" t="s">
        <v>1021</v>
      </c>
      <c r="G655" t="str">
        <f>"83.75"</f>
        <v>83.75</v>
      </c>
      <c r="H655" t="str">
        <f>"18"</f>
        <v>18</v>
      </c>
      <c r="I655" t="str">
        <f>"25"</f>
        <v>25</v>
      </c>
      <c r="J655" t="str">
        <f>"159.83"</f>
        <v>159.83</v>
      </c>
      <c r="K655" t="s">
        <v>12499</v>
      </c>
      <c r="L655" t="s">
        <v>12500</v>
      </c>
      <c r="N655" t="s">
        <v>1970</v>
      </c>
      <c r="O655" t="s">
        <v>7902</v>
      </c>
      <c r="P655" t="s">
        <v>372</v>
      </c>
      <c r="T655" t="s">
        <v>373</v>
      </c>
      <c r="U655" t="s">
        <v>373</v>
      </c>
      <c r="V655" t="s">
        <v>12501</v>
      </c>
      <c r="W655" t="s">
        <v>12502</v>
      </c>
      <c r="X655" t="s">
        <v>12503</v>
      </c>
      <c r="Y655" t="s">
        <v>12504</v>
      </c>
      <c r="Z655" t="s">
        <v>12505</v>
      </c>
      <c r="AA655" t="s">
        <v>12506</v>
      </c>
      <c r="AB655" t="s">
        <v>12507</v>
      </c>
      <c r="AC655" t="s">
        <v>12508</v>
      </c>
      <c r="AD655" t="s">
        <v>12509</v>
      </c>
      <c r="AE655" t="s">
        <v>12510</v>
      </c>
      <c r="AF655" t="s">
        <v>12511</v>
      </c>
      <c r="AG655" t="s">
        <v>12512</v>
      </c>
      <c r="AH655" t="s">
        <v>12513</v>
      </c>
      <c r="AI655" t="s">
        <v>12514</v>
      </c>
      <c r="BA655" t="str">
        <f>"1899"</f>
        <v>1899</v>
      </c>
      <c r="BB655" t="str">
        <f>"800"</f>
        <v>800</v>
      </c>
      <c r="BC655" t="s">
        <v>665</v>
      </c>
      <c r="BD655" t="str">
        <f t="shared" si="155"/>
        <v>1</v>
      </c>
      <c r="BE655" t="s">
        <v>1266</v>
      </c>
      <c r="BF655" t="str">
        <f>"87.6"</f>
        <v>87.6</v>
      </c>
      <c r="BG655" t="str">
        <f>"21.85"</f>
        <v>21.85</v>
      </c>
      <c r="BH655" t="str">
        <f>"31.1"</f>
        <v>31.1</v>
      </c>
      <c r="BI655" t="str">
        <f>"199.52"</f>
        <v>199.52</v>
      </c>
      <c r="BY655" t="str">
        <f>"34.47"</f>
        <v>34.47</v>
      </c>
      <c r="BZ655" t="str">
        <f>"0.976"</f>
        <v>0.976</v>
      </c>
      <c r="CA655" t="s">
        <v>495</v>
      </c>
      <c r="CE655" t="s">
        <v>3833</v>
      </c>
      <c r="CF655" t="s">
        <v>12515</v>
      </c>
      <c r="CG655" t="s">
        <v>12516</v>
      </c>
      <c r="CR655" t="s">
        <v>1007</v>
      </c>
      <c r="CS655">
        <v>2</v>
      </c>
      <c r="CT655" t="s">
        <v>1312</v>
      </c>
      <c r="CV655">
        <v>0</v>
      </c>
      <c r="CX655" t="s">
        <v>1980</v>
      </c>
      <c r="CY655" t="s">
        <v>954</v>
      </c>
      <c r="DA655">
        <v>18.14</v>
      </c>
      <c r="DB655">
        <v>40</v>
      </c>
      <c r="DC655">
        <v>2</v>
      </c>
      <c r="DK655" t="s">
        <v>12517</v>
      </c>
      <c r="DX655" t="s">
        <v>3079</v>
      </c>
      <c r="EM655" t="s">
        <v>402</v>
      </c>
      <c r="EN655">
        <v>2</v>
      </c>
      <c r="EZ655" t="s">
        <v>5826</v>
      </c>
      <c r="FA655" t="s">
        <v>9379</v>
      </c>
      <c r="FB655" t="s">
        <v>3983</v>
      </c>
      <c r="FC655" t="s">
        <v>3833</v>
      </c>
      <c r="FD655" t="s">
        <v>4614</v>
      </c>
      <c r="FE655" t="s">
        <v>12516</v>
      </c>
      <c r="FH655" t="s">
        <v>959</v>
      </c>
      <c r="FI655">
        <v>4</v>
      </c>
      <c r="FJ655" t="s">
        <v>960</v>
      </c>
      <c r="FK655" t="s">
        <v>1611</v>
      </c>
      <c r="FM655" t="s">
        <v>402</v>
      </c>
      <c r="FO655" t="s">
        <v>5044</v>
      </c>
      <c r="FP655" t="s">
        <v>402</v>
      </c>
      <c r="FR655" t="s">
        <v>453</v>
      </c>
      <c r="FT655" t="s">
        <v>1015</v>
      </c>
      <c r="FV655" t="s">
        <v>12518</v>
      </c>
      <c r="FX655" t="s">
        <v>1017</v>
      </c>
      <c r="FZ655" t="s">
        <v>1018</v>
      </c>
      <c r="GA655" t="s">
        <v>402</v>
      </c>
      <c r="GE655">
        <v>0</v>
      </c>
      <c r="GX655" t="s">
        <v>392</v>
      </c>
      <c r="HI655" t="s">
        <v>402</v>
      </c>
    </row>
    <row r="656" spans="1:305" x14ac:dyDescent="0.25">
      <c r="A656" t="s">
        <v>12519</v>
      </c>
      <c r="B656" t="str">
        <f>"801542987596"</f>
        <v>801542987596</v>
      </c>
      <c r="C656" t="s">
        <v>12520</v>
      </c>
      <c r="D656" t="s">
        <v>9267</v>
      </c>
      <c r="E656" t="s">
        <v>930</v>
      </c>
      <c r="G656" t="str">
        <f>"82"</f>
        <v>82</v>
      </c>
      <c r="H656" t="str">
        <f>"18"</f>
        <v>18</v>
      </c>
      <c r="I656" t="str">
        <f>"30"</f>
        <v>30</v>
      </c>
      <c r="J656" t="str">
        <f>"216.05"</f>
        <v>216.05</v>
      </c>
      <c r="K656" t="s">
        <v>12521</v>
      </c>
      <c r="L656" t="s">
        <v>9067</v>
      </c>
      <c r="M656" t="s">
        <v>5580</v>
      </c>
      <c r="N656" t="s">
        <v>372</v>
      </c>
      <c r="O656" t="s">
        <v>1970</v>
      </c>
      <c r="P656" t="s">
        <v>555</v>
      </c>
      <c r="T656" t="s">
        <v>373</v>
      </c>
      <c r="U656" t="s">
        <v>373</v>
      </c>
      <c r="V656" t="s">
        <v>12522</v>
      </c>
      <c r="W656" t="s">
        <v>12523</v>
      </c>
      <c r="X656" t="s">
        <v>12524</v>
      </c>
      <c r="Y656" t="s">
        <v>12525</v>
      </c>
      <c r="Z656" t="s">
        <v>12526</v>
      </c>
      <c r="AA656" t="s">
        <v>12527</v>
      </c>
      <c r="AB656" t="s">
        <v>12528</v>
      </c>
      <c r="AC656" t="s">
        <v>12529</v>
      </c>
      <c r="AD656" t="s">
        <v>12530</v>
      </c>
      <c r="AE656" t="s">
        <v>12531</v>
      </c>
      <c r="AF656" t="s">
        <v>12532</v>
      </c>
      <c r="AG656" t="s">
        <v>12533</v>
      </c>
      <c r="AH656" t="s">
        <v>12534</v>
      </c>
      <c r="AI656" t="s">
        <v>12535</v>
      </c>
      <c r="AJ656" t="s">
        <v>12536</v>
      </c>
      <c r="AK656" t="s">
        <v>12537</v>
      </c>
      <c r="BA656" t="str">
        <f>"2299"</f>
        <v>2299</v>
      </c>
      <c r="BB656" t="str">
        <f>"970"</f>
        <v>970</v>
      </c>
      <c r="BC656" t="s">
        <v>388</v>
      </c>
      <c r="BD656" t="str">
        <f t="shared" si="155"/>
        <v>1</v>
      </c>
      <c r="BE656" t="s">
        <v>389</v>
      </c>
      <c r="BF656" t="str">
        <f>"85.75"</f>
        <v>85.75</v>
      </c>
      <c r="BG656" t="str">
        <f>"22.44"</f>
        <v>22.44</v>
      </c>
      <c r="BH656" t="str">
        <f>"33.46"</f>
        <v>33.46</v>
      </c>
      <c r="BI656" t="str">
        <f>"268.08"</f>
        <v>268.08</v>
      </c>
      <c r="BY656" t="str">
        <f>"37.26"</f>
        <v>37.26</v>
      </c>
      <c r="BZ656" t="str">
        <f>"1.055"</f>
        <v>1.055</v>
      </c>
      <c r="CA656" t="s">
        <v>495</v>
      </c>
      <c r="CE656" t="s">
        <v>511</v>
      </c>
      <c r="CF656" t="s">
        <v>1510</v>
      </c>
      <c r="CG656" t="s">
        <v>12538</v>
      </c>
      <c r="CR656" t="s">
        <v>5068</v>
      </c>
      <c r="CS656">
        <v>3</v>
      </c>
      <c r="CT656" t="s">
        <v>400</v>
      </c>
      <c r="CV656">
        <v>0</v>
      </c>
      <c r="CX656" t="s">
        <v>1241</v>
      </c>
      <c r="CY656" t="s">
        <v>954</v>
      </c>
      <c r="DA656">
        <v>18.14</v>
      </c>
      <c r="DB656">
        <v>40</v>
      </c>
      <c r="DC656">
        <v>2</v>
      </c>
      <c r="DK656" t="s">
        <v>12539</v>
      </c>
      <c r="DM656" t="s">
        <v>669</v>
      </c>
      <c r="DX656" t="s">
        <v>446</v>
      </c>
      <c r="EM656" t="s">
        <v>402</v>
      </c>
      <c r="EN656">
        <v>2</v>
      </c>
      <c r="EZ656" t="s">
        <v>2074</v>
      </c>
      <c r="FA656" t="s">
        <v>956</v>
      </c>
      <c r="FB656" t="s">
        <v>510</v>
      </c>
      <c r="FC656" t="s">
        <v>979</v>
      </c>
      <c r="FD656" t="s">
        <v>956</v>
      </c>
      <c r="FE656" t="s">
        <v>12538</v>
      </c>
      <c r="FF656">
        <v>0</v>
      </c>
      <c r="FG656" t="s">
        <v>402</v>
      </c>
      <c r="FH656" t="s">
        <v>959</v>
      </c>
      <c r="FI656">
        <v>4</v>
      </c>
      <c r="FJ656" t="s">
        <v>960</v>
      </c>
      <c r="FK656" t="s">
        <v>1246</v>
      </c>
      <c r="FL656">
        <v>0</v>
      </c>
      <c r="FM656" t="s">
        <v>402</v>
      </c>
      <c r="FO656" t="s">
        <v>5044</v>
      </c>
      <c r="FR656" t="s">
        <v>453</v>
      </c>
      <c r="FT656" t="s">
        <v>800</v>
      </c>
      <c r="FV656" t="s">
        <v>2696</v>
      </c>
      <c r="FX656" t="s">
        <v>1017</v>
      </c>
      <c r="FZ656" t="s">
        <v>953</v>
      </c>
      <c r="GB656" t="s">
        <v>511</v>
      </c>
      <c r="GC656" t="s">
        <v>1510</v>
      </c>
      <c r="GD656" t="s">
        <v>12538</v>
      </c>
      <c r="GX656" t="s">
        <v>475</v>
      </c>
      <c r="HI656" t="s">
        <v>402</v>
      </c>
    </row>
    <row r="657" spans="1:280" x14ac:dyDescent="0.25">
      <c r="A657" t="s">
        <v>12540</v>
      </c>
      <c r="B657" t="str">
        <f>"801542057756"</f>
        <v>801542057756</v>
      </c>
      <c r="C657" t="s">
        <v>12541</v>
      </c>
      <c r="D657" t="s">
        <v>1165</v>
      </c>
      <c r="E657" t="s">
        <v>2244</v>
      </c>
      <c r="G657" t="str">
        <f>"54"</f>
        <v>54</v>
      </c>
      <c r="H657" t="str">
        <f>"72"</f>
        <v>72</v>
      </c>
      <c r="I657" t="str">
        <f>"34"</f>
        <v>34</v>
      </c>
      <c r="J657" t="str">
        <f>"160.27"</f>
        <v>160.27</v>
      </c>
      <c r="K657" t="s">
        <v>6109</v>
      </c>
      <c r="N657" t="s">
        <v>1916</v>
      </c>
      <c r="O657" t="s">
        <v>1917</v>
      </c>
      <c r="T657" t="s">
        <v>373</v>
      </c>
      <c r="U657" t="s">
        <v>402</v>
      </c>
      <c r="V657" t="s">
        <v>12542</v>
      </c>
      <c r="W657" t="s">
        <v>12543</v>
      </c>
      <c r="X657" t="s">
        <v>12544</v>
      </c>
      <c r="Y657" t="s">
        <v>12545</v>
      </c>
      <c r="Z657" t="s">
        <v>12546</v>
      </c>
      <c r="AA657" t="s">
        <v>12547</v>
      </c>
      <c r="AB657" t="s">
        <v>12548</v>
      </c>
      <c r="AC657" t="s">
        <v>12549</v>
      </c>
      <c r="AD657" t="s">
        <v>12550</v>
      </c>
      <c r="AE657" t="s">
        <v>12551</v>
      </c>
      <c r="AF657" t="s">
        <v>12552</v>
      </c>
      <c r="AG657" t="s">
        <v>12553</v>
      </c>
      <c r="AH657" t="s">
        <v>12554</v>
      </c>
      <c r="AI657" t="s">
        <v>12555</v>
      </c>
      <c r="BA657" t="str">
        <f>"2399"</f>
        <v>2399</v>
      </c>
      <c r="BB657" t="str">
        <f>"1010"</f>
        <v>1010</v>
      </c>
      <c r="BC657" t="s">
        <v>1149</v>
      </c>
      <c r="BD657" t="str">
        <f t="shared" si="155"/>
        <v>1</v>
      </c>
      <c r="BE657" t="s">
        <v>389</v>
      </c>
      <c r="BF657" t="str">
        <f>"57.87"</f>
        <v>57.87</v>
      </c>
      <c r="BG657" t="str">
        <f>"72.83"</f>
        <v>72.83</v>
      </c>
      <c r="BH657" t="str">
        <f>"27.56"</f>
        <v>27.56</v>
      </c>
      <c r="BI657" t="str">
        <f>"167.88"</f>
        <v>167.88</v>
      </c>
      <c r="BY657" t="str">
        <f>"67.2"</f>
        <v>67.2</v>
      </c>
      <c r="BZ657" t="str">
        <f>"1.903"</f>
        <v>1.903</v>
      </c>
      <c r="CA657" t="s">
        <v>390</v>
      </c>
      <c r="CH657" t="s">
        <v>823</v>
      </c>
      <c r="CI657" t="s">
        <v>635</v>
      </c>
      <c r="CJ657" t="s">
        <v>1161</v>
      </c>
      <c r="CK657" t="s">
        <v>12556</v>
      </c>
      <c r="CL657" t="s">
        <v>856</v>
      </c>
      <c r="CN657">
        <v>0</v>
      </c>
      <c r="CO657">
        <v>1</v>
      </c>
      <c r="CP657" t="s">
        <v>437</v>
      </c>
      <c r="CQ657" t="s">
        <v>631</v>
      </c>
      <c r="CU657" t="s">
        <v>4808</v>
      </c>
      <c r="CV657" t="s">
        <v>4809</v>
      </c>
      <c r="CY657" t="s">
        <v>403</v>
      </c>
      <c r="CZ657" t="s">
        <v>400</v>
      </c>
      <c r="DA657">
        <v>0</v>
      </c>
      <c r="DE657">
        <v>25000</v>
      </c>
      <c r="DF657" t="s">
        <v>439</v>
      </c>
      <c r="DG657" t="s">
        <v>406</v>
      </c>
      <c r="DH657" t="s">
        <v>5549</v>
      </c>
      <c r="DI657">
        <v>1</v>
      </c>
      <c r="DJ657">
        <v>1</v>
      </c>
      <c r="DL657" t="s">
        <v>12557</v>
      </c>
      <c r="DM657">
        <v>2</v>
      </c>
      <c r="DN657" t="s">
        <v>538</v>
      </c>
      <c r="DO657" t="s">
        <v>603</v>
      </c>
      <c r="DP657" t="s">
        <v>1040</v>
      </c>
      <c r="DQ657" t="s">
        <v>3633</v>
      </c>
      <c r="DU657" t="s">
        <v>1037</v>
      </c>
      <c r="DV657" t="s">
        <v>1037</v>
      </c>
      <c r="DW657" t="s">
        <v>1151</v>
      </c>
      <c r="DX657" t="s">
        <v>2146</v>
      </c>
      <c r="DY657" t="s">
        <v>1040</v>
      </c>
      <c r="DZ657" t="s">
        <v>3545</v>
      </c>
      <c r="EA657" t="s">
        <v>12558</v>
      </c>
      <c r="EB657" t="s">
        <v>1040</v>
      </c>
      <c r="EE657" t="s">
        <v>406</v>
      </c>
      <c r="EF657" t="s">
        <v>5549</v>
      </c>
      <c r="EG657" t="s">
        <v>4808</v>
      </c>
      <c r="EH657" t="s">
        <v>4809</v>
      </c>
      <c r="EI657" t="s">
        <v>1513</v>
      </c>
      <c r="EJ657" t="s">
        <v>5549</v>
      </c>
      <c r="ER657" t="s">
        <v>2146</v>
      </c>
      <c r="ES657" t="s">
        <v>1161</v>
      </c>
      <c r="EV657" t="s">
        <v>832</v>
      </c>
      <c r="IZ657" t="s">
        <v>450</v>
      </c>
      <c r="JA657" t="s">
        <v>449</v>
      </c>
      <c r="JB657" t="s">
        <v>449</v>
      </c>
      <c r="JE657" t="s">
        <v>402</v>
      </c>
    </row>
    <row r="658" spans="1:280" x14ac:dyDescent="0.25">
      <c r="A658" t="s">
        <v>12559</v>
      </c>
      <c r="B658" t="str">
        <f>"801542057732"</f>
        <v>801542057732</v>
      </c>
      <c r="C658" t="s">
        <v>12560</v>
      </c>
      <c r="D658" t="s">
        <v>1165</v>
      </c>
      <c r="E658" t="s">
        <v>2244</v>
      </c>
      <c r="G658" t="str">
        <f>"54"</f>
        <v>54</v>
      </c>
      <c r="H658" t="str">
        <f>"72"</f>
        <v>72</v>
      </c>
      <c r="I658" t="str">
        <f>"34"</f>
        <v>34</v>
      </c>
      <c r="J658" t="str">
        <f>"160.27"</f>
        <v>160.27</v>
      </c>
      <c r="K658" t="s">
        <v>12561</v>
      </c>
      <c r="N658" t="s">
        <v>371</v>
      </c>
      <c r="T658" t="s">
        <v>373</v>
      </c>
      <c r="U658" t="s">
        <v>402</v>
      </c>
      <c r="V658" t="s">
        <v>12562</v>
      </c>
      <c r="W658" t="s">
        <v>12563</v>
      </c>
      <c r="X658" t="s">
        <v>12564</v>
      </c>
      <c r="Y658" t="s">
        <v>12565</v>
      </c>
      <c r="Z658" t="s">
        <v>12566</v>
      </c>
      <c r="AA658" t="s">
        <v>12567</v>
      </c>
      <c r="AB658" t="s">
        <v>12568</v>
      </c>
      <c r="AC658" t="s">
        <v>12569</v>
      </c>
      <c r="AD658" t="s">
        <v>12570</v>
      </c>
      <c r="AE658" t="s">
        <v>12571</v>
      </c>
      <c r="AF658" t="s">
        <v>12572</v>
      </c>
      <c r="AG658" t="s">
        <v>12573</v>
      </c>
      <c r="AH658" t="s">
        <v>12574</v>
      </c>
      <c r="AI658" t="s">
        <v>12575</v>
      </c>
      <c r="BA658" t="str">
        <f>"2299"</f>
        <v>2299</v>
      </c>
      <c r="BB658" t="str">
        <f>"970"</f>
        <v>970</v>
      </c>
      <c r="BC658" t="s">
        <v>1149</v>
      </c>
      <c r="BD658" t="str">
        <f t="shared" si="155"/>
        <v>1</v>
      </c>
      <c r="BE658" t="s">
        <v>389</v>
      </c>
      <c r="BF658" t="str">
        <f>"57.87"</f>
        <v>57.87</v>
      </c>
      <c r="BG658" t="str">
        <f>"72.83"</f>
        <v>72.83</v>
      </c>
      <c r="BH658" t="str">
        <f>"27.56"</f>
        <v>27.56</v>
      </c>
      <c r="BI658" t="str">
        <f>"167.88"</f>
        <v>167.88</v>
      </c>
      <c r="BY658" t="str">
        <f>"67.2"</f>
        <v>67.2</v>
      </c>
      <c r="BZ658" t="str">
        <f>"1.903"</f>
        <v>1.903</v>
      </c>
      <c r="CA658" t="s">
        <v>390</v>
      </c>
      <c r="CH658" t="s">
        <v>823</v>
      </c>
      <c r="CI658" t="s">
        <v>635</v>
      </c>
      <c r="CJ658" t="s">
        <v>1161</v>
      </c>
      <c r="CK658" t="s">
        <v>12556</v>
      </c>
      <c r="CL658" t="s">
        <v>856</v>
      </c>
      <c r="CN658">
        <v>0</v>
      </c>
      <c r="CO658">
        <v>1</v>
      </c>
      <c r="CP658" t="s">
        <v>437</v>
      </c>
      <c r="CQ658" t="s">
        <v>1152</v>
      </c>
      <c r="CU658" t="s">
        <v>4808</v>
      </c>
      <c r="CV658" t="s">
        <v>4809</v>
      </c>
      <c r="CY658" t="s">
        <v>403</v>
      </c>
      <c r="CZ658" t="s">
        <v>400</v>
      </c>
      <c r="DA658">
        <v>0</v>
      </c>
      <c r="DE658">
        <v>20000</v>
      </c>
      <c r="DF658" t="s">
        <v>439</v>
      </c>
      <c r="DG658" t="s">
        <v>406</v>
      </c>
      <c r="DH658" t="s">
        <v>5549</v>
      </c>
      <c r="DI658">
        <v>1</v>
      </c>
      <c r="DJ658">
        <v>1</v>
      </c>
      <c r="DL658" t="s">
        <v>12557</v>
      </c>
      <c r="DM658">
        <v>2</v>
      </c>
      <c r="DN658" t="s">
        <v>538</v>
      </c>
      <c r="DO658" t="s">
        <v>603</v>
      </c>
      <c r="DP658" t="s">
        <v>1040</v>
      </c>
      <c r="DQ658" t="s">
        <v>3633</v>
      </c>
      <c r="DU658" t="s">
        <v>1037</v>
      </c>
      <c r="DV658" t="s">
        <v>1037</v>
      </c>
      <c r="DW658" t="s">
        <v>1151</v>
      </c>
      <c r="DX658" t="s">
        <v>2146</v>
      </c>
      <c r="DY658" t="s">
        <v>1040</v>
      </c>
      <c r="DZ658" t="s">
        <v>3545</v>
      </c>
      <c r="EA658" t="s">
        <v>12558</v>
      </c>
      <c r="EB658" t="s">
        <v>1040</v>
      </c>
      <c r="EE658" t="s">
        <v>406</v>
      </c>
      <c r="EF658" t="s">
        <v>5549</v>
      </c>
      <c r="EG658" t="s">
        <v>4808</v>
      </c>
      <c r="EH658" t="s">
        <v>4809</v>
      </c>
      <c r="EI658" t="s">
        <v>1513</v>
      </c>
      <c r="EJ658" t="s">
        <v>5549</v>
      </c>
      <c r="ER658" t="s">
        <v>2146</v>
      </c>
      <c r="ES658" t="s">
        <v>1161</v>
      </c>
      <c r="EV658" t="s">
        <v>832</v>
      </c>
      <c r="IZ658" t="s">
        <v>450</v>
      </c>
      <c r="JA658" t="s">
        <v>449</v>
      </c>
      <c r="JB658" t="s">
        <v>449</v>
      </c>
      <c r="JE658" t="s">
        <v>402</v>
      </c>
    </row>
    <row r="659" spans="1:280" x14ac:dyDescent="0.25">
      <c r="A659" t="s">
        <v>12576</v>
      </c>
      <c r="B659" t="str">
        <f>"801542057749"</f>
        <v>801542057749</v>
      </c>
      <c r="C659" t="s">
        <v>12577</v>
      </c>
      <c r="D659" t="s">
        <v>1165</v>
      </c>
      <c r="E659" t="s">
        <v>2244</v>
      </c>
      <c r="G659" t="str">
        <f>"54"</f>
        <v>54</v>
      </c>
      <c r="H659" t="str">
        <f>"72"</f>
        <v>72</v>
      </c>
      <c r="I659" t="str">
        <f>"34"</f>
        <v>34</v>
      </c>
      <c r="J659" t="str">
        <f>"160.27"</f>
        <v>160.27</v>
      </c>
      <c r="K659" t="s">
        <v>12578</v>
      </c>
      <c r="N659" t="s">
        <v>1170</v>
      </c>
      <c r="O659" t="s">
        <v>12579</v>
      </c>
      <c r="P659" t="s">
        <v>12580</v>
      </c>
      <c r="T659" t="s">
        <v>373</v>
      </c>
      <c r="U659" t="s">
        <v>402</v>
      </c>
      <c r="V659" t="s">
        <v>12581</v>
      </c>
      <c r="W659" t="s">
        <v>12582</v>
      </c>
      <c r="X659" t="s">
        <v>12583</v>
      </c>
      <c r="Y659" t="s">
        <v>12584</v>
      </c>
      <c r="Z659" t="s">
        <v>12585</v>
      </c>
      <c r="AA659" t="s">
        <v>12586</v>
      </c>
      <c r="AB659" t="s">
        <v>12587</v>
      </c>
      <c r="AC659" t="s">
        <v>12588</v>
      </c>
      <c r="AD659" t="s">
        <v>12589</v>
      </c>
      <c r="AE659" t="s">
        <v>12590</v>
      </c>
      <c r="AF659" t="s">
        <v>12591</v>
      </c>
      <c r="AG659" t="s">
        <v>12592</v>
      </c>
      <c r="AH659" t="s">
        <v>12593</v>
      </c>
      <c r="AI659" t="s">
        <v>12594</v>
      </c>
      <c r="BA659" t="str">
        <f>"2299"</f>
        <v>2299</v>
      </c>
      <c r="BB659" t="str">
        <f>"970"</f>
        <v>970</v>
      </c>
      <c r="BC659" t="s">
        <v>1149</v>
      </c>
      <c r="BD659" t="str">
        <f t="shared" si="155"/>
        <v>1</v>
      </c>
      <c r="BE659" t="s">
        <v>389</v>
      </c>
      <c r="BF659" t="str">
        <f>"57.87"</f>
        <v>57.87</v>
      </c>
      <c r="BG659" t="str">
        <f>"72.83"</f>
        <v>72.83</v>
      </c>
      <c r="BH659" t="str">
        <f>"27.56"</f>
        <v>27.56</v>
      </c>
      <c r="BI659" t="str">
        <f>"167.88"</f>
        <v>167.88</v>
      </c>
      <c r="BY659" t="str">
        <f>"67.2"</f>
        <v>67.2</v>
      </c>
      <c r="BZ659" t="str">
        <f>"1.903"</f>
        <v>1.903</v>
      </c>
      <c r="CA659" t="s">
        <v>390</v>
      </c>
      <c r="CH659" t="s">
        <v>823</v>
      </c>
      <c r="CI659" t="s">
        <v>635</v>
      </c>
      <c r="CJ659" t="s">
        <v>1161</v>
      </c>
      <c r="CK659" t="s">
        <v>12556</v>
      </c>
      <c r="CL659" t="s">
        <v>856</v>
      </c>
      <c r="CN659">
        <v>0</v>
      </c>
      <c r="CO659">
        <v>1</v>
      </c>
      <c r="CP659" t="s">
        <v>437</v>
      </c>
      <c r="CQ659" t="s">
        <v>2743</v>
      </c>
      <c r="CU659" t="s">
        <v>4808</v>
      </c>
      <c r="CV659" t="s">
        <v>4809</v>
      </c>
      <c r="CY659" t="s">
        <v>403</v>
      </c>
      <c r="CZ659" t="s">
        <v>400</v>
      </c>
      <c r="DA659">
        <v>0</v>
      </c>
      <c r="DE659">
        <v>15000</v>
      </c>
      <c r="DF659" t="s">
        <v>439</v>
      </c>
      <c r="DG659" t="s">
        <v>406</v>
      </c>
      <c r="DH659" t="s">
        <v>5549</v>
      </c>
      <c r="DI659">
        <v>1</v>
      </c>
      <c r="DJ659">
        <v>1</v>
      </c>
      <c r="DL659" t="s">
        <v>12557</v>
      </c>
      <c r="DM659">
        <v>2</v>
      </c>
      <c r="DN659" t="s">
        <v>538</v>
      </c>
      <c r="DO659" t="s">
        <v>603</v>
      </c>
      <c r="DP659" t="s">
        <v>1040</v>
      </c>
      <c r="DQ659" t="s">
        <v>3633</v>
      </c>
      <c r="DU659" t="s">
        <v>1037</v>
      </c>
      <c r="DV659" t="s">
        <v>1037</v>
      </c>
      <c r="DW659" t="s">
        <v>1151</v>
      </c>
      <c r="DX659" t="s">
        <v>2146</v>
      </c>
      <c r="DY659" t="s">
        <v>1040</v>
      </c>
      <c r="DZ659" t="s">
        <v>3545</v>
      </c>
      <c r="EA659" t="s">
        <v>12558</v>
      </c>
      <c r="EB659" t="s">
        <v>1040</v>
      </c>
      <c r="EE659" t="s">
        <v>406</v>
      </c>
      <c r="EF659" t="s">
        <v>5549</v>
      </c>
      <c r="EG659" t="s">
        <v>4808</v>
      </c>
      <c r="EH659" t="s">
        <v>4809</v>
      </c>
      <c r="EI659" t="s">
        <v>1513</v>
      </c>
      <c r="EJ659" t="s">
        <v>5549</v>
      </c>
      <c r="ER659" t="s">
        <v>2146</v>
      </c>
      <c r="ES659" t="s">
        <v>1161</v>
      </c>
      <c r="EV659" t="s">
        <v>832</v>
      </c>
      <c r="IZ659" t="s">
        <v>450</v>
      </c>
      <c r="JA659" t="s">
        <v>449</v>
      </c>
      <c r="JB659" t="s">
        <v>449</v>
      </c>
      <c r="JE659" t="s">
        <v>402</v>
      </c>
    </row>
    <row r="660" spans="1:280" x14ac:dyDescent="0.25">
      <c r="A660" t="s">
        <v>12595</v>
      </c>
      <c r="B660" t="str">
        <f>"801542331665"</f>
        <v>801542331665</v>
      </c>
      <c r="C660" t="s">
        <v>12596</v>
      </c>
      <c r="D660" t="s">
        <v>1276</v>
      </c>
      <c r="E660" t="s">
        <v>964</v>
      </c>
      <c r="G660" t="str">
        <f>"35"</f>
        <v>35</v>
      </c>
      <c r="H660" t="str">
        <f>"18"</f>
        <v>18</v>
      </c>
      <c r="I660" t="str">
        <f>"35"</f>
        <v>35</v>
      </c>
      <c r="J660" t="str">
        <f>"100.09"</f>
        <v>100.09</v>
      </c>
      <c r="K660" t="s">
        <v>10072</v>
      </c>
      <c r="L660" t="s">
        <v>414</v>
      </c>
      <c r="N660" t="s">
        <v>1970</v>
      </c>
      <c r="O660" t="s">
        <v>416</v>
      </c>
      <c r="P660" t="s">
        <v>372</v>
      </c>
      <c r="T660" t="s">
        <v>373</v>
      </c>
      <c r="U660" t="s">
        <v>373</v>
      </c>
      <c r="V660" t="s">
        <v>12597</v>
      </c>
      <c r="W660" t="s">
        <v>12598</v>
      </c>
      <c r="X660" t="s">
        <v>12599</v>
      </c>
      <c r="Y660" t="s">
        <v>12600</v>
      </c>
      <c r="Z660" t="s">
        <v>12601</v>
      </c>
      <c r="AA660" t="s">
        <v>12602</v>
      </c>
      <c r="AB660" t="s">
        <v>12603</v>
      </c>
      <c r="AC660" t="s">
        <v>12604</v>
      </c>
      <c r="AD660" t="s">
        <v>12605</v>
      </c>
      <c r="AE660" t="s">
        <v>12606</v>
      </c>
      <c r="AF660" t="s">
        <v>12607</v>
      </c>
      <c r="AG660" t="s">
        <v>12608</v>
      </c>
      <c r="AH660" t="s">
        <v>12609</v>
      </c>
      <c r="AI660" t="s">
        <v>12610</v>
      </c>
      <c r="BA660" t="str">
        <f>"999"</f>
        <v>999</v>
      </c>
      <c r="BB660" t="str">
        <f>"420"</f>
        <v>420</v>
      </c>
      <c r="BC660" t="s">
        <v>665</v>
      </c>
      <c r="BD660" t="str">
        <f t="shared" si="155"/>
        <v>1</v>
      </c>
      <c r="BE660" t="s">
        <v>12611</v>
      </c>
      <c r="BF660" t="str">
        <f>"38.98"</f>
        <v>38.98</v>
      </c>
      <c r="BG660" t="str">
        <f>"22.05"</f>
        <v>22.05</v>
      </c>
      <c r="BH660" t="str">
        <f>"36.22"</f>
        <v>36.22</v>
      </c>
      <c r="BI660" t="str">
        <f>"126.99"</f>
        <v>126.99</v>
      </c>
      <c r="BY660" t="str">
        <f>"18.01"</f>
        <v>18.01</v>
      </c>
      <c r="BZ660" t="str">
        <f>"0.51"</f>
        <v>0.51</v>
      </c>
      <c r="CA660" t="s">
        <v>390</v>
      </c>
      <c r="CE660" t="s">
        <v>10091</v>
      </c>
      <c r="CF660" t="s">
        <v>5547</v>
      </c>
      <c r="CG660" t="s">
        <v>12612</v>
      </c>
      <c r="CR660" t="s">
        <v>400</v>
      </c>
      <c r="CS660">
        <v>0</v>
      </c>
      <c r="CT660" t="s">
        <v>400</v>
      </c>
      <c r="CV660">
        <v>0</v>
      </c>
      <c r="CX660" t="s">
        <v>1980</v>
      </c>
      <c r="CY660" t="s">
        <v>954</v>
      </c>
      <c r="DA660">
        <v>18.14</v>
      </c>
      <c r="DB660">
        <v>40</v>
      </c>
      <c r="DC660">
        <v>1</v>
      </c>
      <c r="DJ660" t="s">
        <v>982</v>
      </c>
      <c r="DK660" t="s">
        <v>10092</v>
      </c>
      <c r="DX660" t="s">
        <v>4244</v>
      </c>
      <c r="EM660" t="s">
        <v>402</v>
      </c>
      <c r="EN660">
        <v>1</v>
      </c>
      <c r="EZ660" t="s">
        <v>12613</v>
      </c>
      <c r="FA660" t="s">
        <v>956</v>
      </c>
      <c r="FB660" t="s">
        <v>2073</v>
      </c>
      <c r="FC660" t="s">
        <v>10091</v>
      </c>
      <c r="FD660" t="s">
        <v>956</v>
      </c>
      <c r="FE660" t="s">
        <v>12612</v>
      </c>
      <c r="FF660">
        <v>0</v>
      </c>
      <c r="FH660" t="s">
        <v>959</v>
      </c>
      <c r="FI660">
        <v>2</v>
      </c>
      <c r="FJ660" t="s">
        <v>960</v>
      </c>
      <c r="FK660" t="s">
        <v>961</v>
      </c>
      <c r="FL660">
        <v>0</v>
      </c>
      <c r="FM660" t="s">
        <v>402</v>
      </c>
      <c r="FN660" t="s">
        <v>3601</v>
      </c>
      <c r="FO660" t="s">
        <v>984</v>
      </c>
      <c r="FQ660">
        <v>0</v>
      </c>
      <c r="GX660" t="s">
        <v>1357</v>
      </c>
      <c r="HI660" t="s">
        <v>402</v>
      </c>
    </row>
    <row r="661" spans="1:280" x14ac:dyDescent="0.25">
      <c r="A661" t="s">
        <v>12614</v>
      </c>
      <c r="B661" t="str">
        <f>"801542143855"</f>
        <v>801542143855</v>
      </c>
      <c r="C661" t="s">
        <v>12615</v>
      </c>
      <c r="D661" t="s">
        <v>9267</v>
      </c>
      <c r="E661" t="s">
        <v>4074</v>
      </c>
      <c r="G661" t="str">
        <f>"94"</f>
        <v>94</v>
      </c>
      <c r="H661" t="str">
        <f>"22"</f>
        <v>22</v>
      </c>
      <c r="I661" t="str">
        <f>"31"</f>
        <v>31</v>
      </c>
      <c r="J661" t="str">
        <f>"138.67"</f>
        <v>138.67</v>
      </c>
      <c r="K661" t="s">
        <v>12616</v>
      </c>
      <c r="L661" t="s">
        <v>1987</v>
      </c>
      <c r="N661" t="s">
        <v>519</v>
      </c>
      <c r="O661" t="s">
        <v>555</v>
      </c>
      <c r="T661" t="s">
        <v>373</v>
      </c>
      <c r="U661" t="s">
        <v>373</v>
      </c>
      <c r="V661" t="s">
        <v>12617</v>
      </c>
      <c r="W661" t="s">
        <v>12618</v>
      </c>
      <c r="X661" t="s">
        <v>12619</v>
      </c>
      <c r="Y661" t="s">
        <v>12620</v>
      </c>
      <c r="Z661" t="s">
        <v>12621</v>
      </c>
      <c r="AA661" t="s">
        <v>12622</v>
      </c>
      <c r="AB661" t="s">
        <v>12623</v>
      </c>
      <c r="AC661" t="s">
        <v>12624</v>
      </c>
      <c r="AD661" t="s">
        <v>12625</v>
      </c>
      <c r="AE661" t="s">
        <v>12626</v>
      </c>
      <c r="AF661" t="s">
        <v>12627</v>
      </c>
      <c r="AG661" t="s">
        <v>12628</v>
      </c>
      <c r="AH661" t="s">
        <v>12629</v>
      </c>
      <c r="AI661" t="s">
        <v>12630</v>
      </c>
      <c r="AJ661" t="s">
        <v>12631</v>
      </c>
      <c r="AK661" t="s">
        <v>12632</v>
      </c>
      <c r="AL661" t="s">
        <v>12633</v>
      </c>
      <c r="AM661" t="s">
        <v>12634</v>
      </c>
      <c r="BA661" t="str">
        <f>"2599"</f>
        <v>2599</v>
      </c>
      <c r="BB661" t="str">
        <f>"1095"</f>
        <v>1095</v>
      </c>
      <c r="BC661" t="s">
        <v>388</v>
      </c>
      <c r="BD661" t="str">
        <f t="shared" si="155"/>
        <v>1</v>
      </c>
      <c r="BE661" t="s">
        <v>12635</v>
      </c>
      <c r="BF661" t="str">
        <f>"96.85"</f>
        <v>96.85</v>
      </c>
      <c r="BG661" t="str">
        <f>"25.2"</f>
        <v>25.2</v>
      </c>
      <c r="BH661" t="str">
        <f>"11.02"</f>
        <v>11.02</v>
      </c>
      <c r="BI661" t="str">
        <f>"160.05"</f>
        <v>160.05</v>
      </c>
      <c r="BY661" t="str">
        <f>"15.57"</f>
        <v>15.57</v>
      </c>
      <c r="BZ661" t="str">
        <f>"0.441"</f>
        <v>0.441</v>
      </c>
      <c r="CA661" t="s">
        <v>495</v>
      </c>
      <c r="CR661" t="s">
        <v>400</v>
      </c>
      <c r="CS661">
        <v>0</v>
      </c>
      <c r="CT661" t="s">
        <v>400</v>
      </c>
      <c r="CV661">
        <v>0</v>
      </c>
      <c r="CX661" t="s">
        <v>667</v>
      </c>
      <c r="CY661" t="s">
        <v>5478</v>
      </c>
      <c r="DC661">
        <v>0</v>
      </c>
      <c r="DJ661" t="s">
        <v>408</v>
      </c>
      <c r="DK661" t="s">
        <v>12636</v>
      </c>
      <c r="DM661" t="s">
        <v>669</v>
      </c>
      <c r="DX661" t="s">
        <v>1852</v>
      </c>
      <c r="DY661" t="s">
        <v>950</v>
      </c>
      <c r="DZ661" t="s">
        <v>642</v>
      </c>
      <c r="EI661" t="s">
        <v>1491</v>
      </c>
      <c r="EJ661" t="s">
        <v>2792</v>
      </c>
      <c r="EK661" t="s">
        <v>12637</v>
      </c>
      <c r="EL661" t="s">
        <v>956</v>
      </c>
      <c r="EM661" t="s">
        <v>402</v>
      </c>
      <c r="EN661">
        <v>0</v>
      </c>
      <c r="EO661">
        <v>2</v>
      </c>
      <c r="EX661" t="s">
        <v>450</v>
      </c>
      <c r="FI661">
        <v>0</v>
      </c>
      <c r="FJ661" t="s">
        <v>1012</v>
      </c>
      <c r="JQ661" t="s">
        <v>6873</v>
      </c>
      <c r="JR661" t="s">
        <v>601</v>
      </c>
      <c r="JS661" t="s">
        <v>12638</v>
      </c>
      <c r="JT661" t="s">
        <v>12639</v>
      </c>
    </row>
    <row r="662" spans="1:280" x14ac:dyDescent="0.25">
      <c r="A662" t="s">
        <v>12640</v>
      </c>
      <c r="B662" t="str">
        <f>"801542061722"</f>
        <v>801542061722</v>
      </c>
      <c r="C662" t="s">
        <v>12641</v>
      </c>
      <c r="D662" t="s">
        <v>1098</v>
      </c>
      <c r="E662" t="s">
        <v>459</v>
      </c>
      <c r="G662" t="str">
        <f>"22"</f>
        <v>22</v>
      </c>
      <c r="H662" t="str">
        <f>"22"</f>
        <v>22</v>
      </c>
      <c r="I662" t="str">
        <f>"21"</f>
        <v>21</v>
      </c>
      <c r="J662" t="str">
        <f>"36.59"</f>
        <v>36.59</v>
      </c>
      <c r="K662" t="s">
        <v>12642</v>
      </c>
      <c r="N662" t="s">
        <v>1101</v>
      </c>
      <c r="T662" t="s">
        <v>373</v>
      </c>
      <c r="U662" t="s">
        <v>373</v>
      </c>
      <c r="V662" t="s">
        <v>12643</v>
      </c>
      <c r="W662" t="s">
        <v>12644</v>
      </c>
      <c r="X662" t="s">
        <v>12645</v>
      </c>
      <c r="Y662" t="s">
        <v>12646</v>
      </c>
      <c r="Z662" t="s">
        <v>12647</v>
      </c>
      <c r="AA662" t="s">
        <v>12648</v>
      </c>
      <c r="AB662" t="s">
        <v>12649</v>
      </c>
      <c r="AC662" t="s">
        <v>12650</v>
      </c>
      <c r="AD662" t="s">
        <v>12651</v>
      </c>
      <c r="BA662" t="str">
        <f>"499"</f>
        <v>499</v>
      </c>
      <c r="BB662" t="str">
        <f>"210"</f>
        <v>210</v>
      </c>
      <c r="BC662" t="s">
        <v>949</v>
      </c>
      <c r="BD662" t="str">
        <f>"2"</f>
        <v>2</v>
      </c>
      <c r="BE662" t="s">
        <v>1089</v>
      </c>
      <c r="BF662" t="str">
        <f>"25.5"</f>
        <v>25.5</v>
      </c>
      <c r="BG662" t="str">
        <f>"4.75"</f>
        <v>4.75</v>
      </c>
      <c r="BH662" t="str">
        <f>"25.5"</f>
        <v>25.5</v>
      </c>
      <c r="BI662" t="str">
        <f>"22.05"</f>
        <v>22.05</v>
      </c>
      <c r="BJ662" t="s">
        <v>1090</v>
      </c>
      <c r="BK662" t="str">
        <f>"16"</f>
        <v>16</v>
      </c>
      <c r="BL662" t="str">
        <f>"16"</f>
        <v>16</v>
      </c>
      <c r="BM662" t="str">
        <f>"23.5"</f>
        <v>23.5</v>
      </c>
      <c r="BN662" t="str">
        <f>"23.37"</f>
        <v>23.37</v>
      </c>
      <c r="BY662" t="str">
        <f>"5.3"</f>
        <v>5.3</v>
      </c>
      <c r="BZ662" t="str">
        <f>"0.15"</f>
        <v>0.15</v>
      </c>
      <c r="CA662" t="s">
        <v>431</v>
      </c>
      <c r="CR662" t="s">
        <v>400</v>
      </c>
      <c r="CS662">
        <v>0</v>
      </c>
      <c r="CT662" t="s">
        <v>400</v>
      </c>
      <c r="CV662">
        <v>0</v>
      </c>
      <c r="CY662" t="s">
        <v>400</v>
      </c>
      <c r="DC662">
        <v>0</v>
      </c>
      <c r="DJ662" t="s">
        <v>471</v>
      </c>
      <c r="DK662" t="s">
        <v>12652</v>
      </c>
      <c r="DM662" t="s">
        <v>473</v>
      </c>
      <c r="DX662" t="s">
        <v>637</v>
      </c>
      <c r="EI662" t="s">
        <v>2908</v>
      </c>
      <c r="EJ662" t="s">
        <v>12056</v>
      </c>
      <c r="EK662" t="s">
        <v>2908</v>
      </c>
      <c r="EL662" t="s">
        <v>5482</v>
      </c>
      <c r="EN662">
        <v>0</v>
      </c>
      <c r="EO662">
        <v>0</v>
      </c>
      <c r="EX662" t="s">
        <v>799</v>
      </c>
    </row>
    <row r="663" spans="1:280" x14ac:dyDescent="0.25">
      <c r="A663" t="s">
        <v>12653</v>
      </c>
      <c r="B663" t="str">
        <f>"801542162696"</f>
        <v>801542162696</v>
      </c>
      <c r="C663" t="s">
        <v>12654</v>
      </c>
      <c r="D663" t="s">
        <v>1139</v>
      </c>
      <c r="E663" t="s">
        <v>2244</v>
      </c>
      <c r="G663" t="str">
        <f>"48"</f>
        <v>48</v>
      </c>
      <c r="H663" t="str">
        <f>"67.5"</f>
        <v>67.5</v>
      </c>
      <c r="I663" t="str">
        <f>"32.5"</f>
        <v>32.5</v>
      </c>
      <c r="J663" t="str">
        <f>"134.48"</f>
        <v>134.48</v>
      </c>
      <c r="K663" t="s">
        <v>3028</v>
      </c>
      <c r="L663" t="s">
        <v>3000</v>
      </c>
      <c r="N663" t="s">
        <v>371</v>
      </c>
      <c r="O663" t="s">
        <v>3001</v>
      </c>
      <c r="T663" t="s">
        <v>373</v>
      </c>
      <c r="U663" t="s">
        <v>373</v>
      </c>
      <c r="V663" t="s">
        <v>12655</v>
      </c>
      <c r="W663" t="s">
        <v>12656</v>
      </c>
      <c r="X663" t="s">
        <v>12657</v>
      </c>
      <c r="Y663" t="s">
        <v>12658</v>
      </c>
      <c r="Z663" t="s">
        <v>12659</v>
      </c>
      <c r="AA663" t="s">
        <v>12660</v>
      </c>
      <c r="AB663" t="s">
        <v>12661</v>
      </c>
      <c r="AC663" t="s">
        <v>12662</v>
      </c>
      <c r="AD663" t="s">
        <v>12663</v>
      </c>
      <c r="AE663" t="s">
        <v>12664</v>
      </c>
      <c r="AF663" t="s">
        <v>12665</v>
      </c>
      <c r="AG663" t="s">
        <v>12666</v>
      </c>
      <c r="AH663" t="s">
        <v>12667</v>
      </c>
      <c r="AI663" t="s">
        <v>12668</v>
      </c>
      <c r="BA663" t="str">
        <f>"1999"</f>
        <v>1999</v>
      </c>
      <c r="BB663" t="str">
        <f>"840"</f>
        <v>840</v>
      </c>
      <c r="BC663" t="s">
        <v>1149</v>
      </c>
      <c r="BD663" t="str">
        <f t="shared" ref="BD663:BD674" si="156">"1"</f>
        <v>1</v>
      </c>
      <c r="BE663" t="s">
        <v>389</v>
      </c>
      <c r="BF663" t="str">
        <f>"47"</f>
        <v>47</v>
      </c>
      <c r="BG663" t="str">
        <f>"70"</f>
        <v>70</v>
      </c>
      <c r="BH663" t="str">
        <f>"27.5"</f>
        <v>27.5</v>
      </c>
      <c r="BI663" t="str">
        <f>"141.09"</f>
        <v>141.09</v>
      </c>
      <c r="BY663" t="str">
        <f>"52.37"</f>
        <v>52.37</v>
      </c>
      <c r="BZ663" t="str">
        <f>"1.483"</f>
        <v>1.483</v>
      </c>
      <c r="CA663" t="s">
        <v>495</v>
      </c>
      <c r="CH663" t="s">
        <v>3545</v>
      </c>
      <c r="CI663" t="s">
        <v>635</v>
      </c>
      <c r="CJ663" t="s">
        <v>7242</v>
      </c>
      <c r="CK663" t="s">
        <v>12669</v>
      </c>
      <c r="CL663" t="s">
        <v>602</v>
      </c>
      <c r="CN663">
        <v>0</v>
      </c>
      <c r="CO663">
        <v>1</v>
      </c>
      <c r="CP663" t="s">
        <v>437</v>
      </c>
      <c r="CQ663" t="s">
        <v>399</v>
      </c>
      <c r="CU663" t="s">
        <v>2143</v>
      </c>
      <c r="CX663" t="s">
        <v>403</v>
      </c>
      <c r="CY663" t="s">
        <v>400</v>
      </c>
      <c r="CZ663">
        <v>0</v>
      </c>
      <c r="DD663">
        <v>100000</v>
      </c>
      <c r="DE663" t="s">
        <v>439</v>
      </c>
      <c r="DF663" t="s">
        <v>406</v>
      </c>
      <c r="DG663" t="s">
        <v>454</v>
      </c>
      <c r="DH663">
        <v>1</v>
      </c>
      <c r="DI663">
        <v>1</v>
      </c>
      <c r="DK663" t="s">
        <v>3636</v>
      </c>
      <c r="DL663">
        <v>0</v>
      </c>
      <c r="DM663" t="s">
        <v>538</v>
      </c>
      <c r="DN663" t="s">
        <v>2083</v>
      </c>
      <c r="DO663" t="s">
        <v>3025</v>
      </c>
      <c r="DP663" t="s">
        <v>3023</v>
      </c>
      <c r="DT663" t="s">
        <v>475</v>
      </c>
      <c r="DU663" t="s">
        <v>830</v>
      </c>
      <c r="DV663" t="s">
        <v>511</v>
      </c>
      <c r="DW663" t="s">
        <v>6873</v>
      </c>
      <c r="DX663" t="s">
        <v>827</v>
      </c>
      <c r="DY663" t="s">
        <v>1161</v>
      </c>
      <c r="DZ663" t="s">
        <v>789</v>
      </c>
      <c r="EA663" t="s">
        <v>3025</v>
      </c>
      <c r="ED663" t="s">
        <v>406</v>
      </c>
      <c r="EE663" t="s">
        <v>454</v>
      </c>
      <c r="EF663" t="s">
        <v>831</v>
      </c>
      <c r="EG663" t="s">
        <v>1710</v>
      </c>
      <c r="EP663" t="s">
        <v>2141</v>
      </c>
      <c r="EQ663" t="s">
        <v>7242</v>
      </c>
      <c r="ET663" t="s">
        <v>832</v>
      </c>
    </row>
    <row r="664" spans="1:280" x14ac:dyDescent="0.25">
      <c r="A664" t="s">
        <v>12670</v>
      </c>
      <c r="B664" t="str">
        <f>"801542162719"</f>
        <v>801542162719</v>
      </c>
      <c r="C664" t="s">
        <v>12671</v>
      </c>
      <c r="D664" t="s">
        <v>1139</v>
      </c>
      <c r="E664" t="s">
        <v>2244</v>
      </c>
      <c r="G664" t="str">
        <f>"48"</f>
        <v>48</v>
      </c>
      <c r="H664" t="str">
        <f>"67.5"</f>
        <v>67.5</v>
      </c>
      <c r="I664" t="str">
        <f>"32.5"</f>
        <v>32.5</v>
      </c>
      <c r="J664" t="str">
        <f>"134.48"</f>
        <v>134.48</v>
      </c>
      <c r="K664" t="s">
        <v>12672</v>
      </c>
      <c r="L664" t="s">
        <v>3000</v>
      </c>
      <c r="N664" t="s">
        <v>10433</v>
      </c>
      <c r="O664" t="s">
        <v>12673</v>
      </c>
      <c r="P664" t="s">
        <v>621</v>
      </c>
      <c r="Q664" t="s">
        <v>3001</v>
      </c>
      <c r="T664" t="s">
        <v>373</v>
      </c>
      <c r="U664" t="s">
        <v>402</v>
      </c>
      <c r="V664" t="s">
        <v>12674</v>
      </c>
      <c r="W664" t="s">
        <v>12675</v>
      </c>
      <c r="X664" t="s">
        <v>12676</v>
      </c>
      <c r="Y664" t="s">
        <v>12677</v>
      </c>
      <c r="Z664" t="s">
        <v>12678</v>
      </c>
      <c r="AA664" t="s">
        <v>12679</v>
      </c>
      <c r="AB664" t="s">
        <v>12680</v>
      </c>
      <c r="AC664" t="s">
        <v>12681</v>
      </c>
      <c r="AD664" t="s">
        <v>12682</v>
      </c>
      <c r="AE664" t="s">
        <v>12683</v>
      </c>
      <c r="AF664" t="s">
        <v>12684</v>
      </c>
      <c r="AG664" t="s">
        <v>12685</v>
      </c>
      <c r="AH664" t="s">
        <v>12686</v>
      </c>
      <c r="BA664" t="str">
        <f>"2599"</f>
        <v>2599</v>
      </c>
      <c r="BB664" t="str">
        <f>"1095"</f>
        <v>1095</v>
      </c>
      <c r="BC664" t="s">
        <v>1149</v>
      </c>
      <c r="BD664" t="str">
        <f t="shared" si="156"/>
        <v>1</v>
      </c>
      <c r="BE664" t="s">
        <v>389</v>
      </c>
      <c r="BF664" t="str">
        <f>"47"</f>
        <v>47</v>
      </c>
      <c r="BG664" t="str">
        <f>"70"</f>
        <v>70</v>
      </c>
      <c r="BH664" t="str">
        <f>"27.5"</f>
        <v>27.5</v>
      </c>
      <c r="BI664" t="str">
        <f>"141.09"</f>
        <v>141.09</v>
      </c>
      <c r="BY664" t="str">
        <f>"52.37"</f>
        <v>52.37</v>
      </c>
      <c r="BZ664" t="str">
        <f>"1.483"</f>
        <v>1.483</v>
      </c>
      <c r="CA664" t="s">
        <v>495</v>
      </c>
      <c r="CH664" t="s">
        <v>3545</v>
      </c>
      <c r="CI664" t="s">
        <v>635</v>
      </c>
      <c r="CJ664" t="s">
        <v>7242</v>
      </c>
      <c r="CK664" t="s">
        <v>12669</v>
      </c>
      <c r="CL664" t="s">
        <v>602</v>
      </c>
      <c r="CN664">
        <v>0</v>
      </c>
      <c r="CO664">
        <v>1</v>
      </c>
      <c r="CP664" t="s">
        <v>437</v>
      </c>
      <c r="CQ664" t="s">
        <v>399</v>
      </c>
      <c r="CU664" t="s">
        <v>2143</v>
      </c>
      <c r="CX664" t="s">
        <v>403</v>
      </c>
      <c r="CY664" t="s">
        <v>400</v>
      </c>
      <c r="CZ664">
        <v>0</v>
      </c>
      <c r="DD664">
        <v>15000</v>
      </c>
      <c r="DE664" t="s">
        <v>439</v>
      </c>
      <c r="DF664" t="s">
        <v>406</v>
      </c>
      <c r="DG664" t="s">
        <v>454</v>
      </c>
      <c r="DH664">
        <v>1</v>
      </c>
      <c r="DI664">
        <v>1</v>
      </c>
      <c r="DK664" t="s">
        <v>3636</v>
      </c>
      <c r="DL664">
        <v>0</v>
      </c>
      <c r="DM664" t="s">
        <v>538</v>
      </c>
      <c r="DN664" t="s">
        <v>2083</v>
      </c>
      <c r="DO664" t="s">
        <v>3025</v>
      </c>
      <c r="DP664" t="s">
        <v>3023</v>
      </c>
      <c r="DT664" t="s">
        <v>475</v>
      </c>
      <c r="DU664" t="s">
        <v>830</v>
      </c>
      <c r="DV664" t="s">
        <v>511</v>
      </c>
      <c r="DW664" t="s">
        <v>6873</v>
      </c>
      <c r="DX664" t="s">
        <v>827</v>
      </c>
      <c r="DY664" t="s">
        <v>1161</v>
      </c>
      <c r="DZ664" t="s">
        <v>789</v>
      </c>
      <c r="EA664" t="s">
        <v>3025</v>
      </c>
      <c r="ED664" t="s">
        <v>406</v>
      </c>
      <c r="EE664" t="s">
        <v>454</v>
      </c>
      <c r="EF664" t="s">
        <v>831</v>
      </c>
      <c r="EG664" t="s">
        <v>1710</v>
      </c>
      <c r="EP664" t="s">
        <v>2141</v>
      </c>
      <c r="EQ664" t="s">
        <v>7242</v>
      </c>
      <c r="ET664" t="s">
        <v>832</v>
      </c>
    </row>
    <row r="665" spans="1:280" x14ac:dyDescent="0.25">
      <c r="A665" t="s">
        <v>12687</v>
      </c>
      <c r="B665" t="str">
        <f>"801542146139"</f>
        <v>801542146139</v>
      </c>
      <c r="C665" t="s">
        <v>12688</v>
      </c>
      <c r="D665" t="s">
        <v>835</v>
      </c>
      <c r="E665" t="s">
        <v>367</v>
      </c>
      <c r="F665" t="s">
        <v>368</v>
      </c>
      <c r="G665" t="str">
        <f>"90"</f>
        <v>90</v>
      </c>
      <c r="H665" t="str">
        <f>"25"</f>
        <v>25</v>
      </c>
      <c r="I665" t="str">
        <f>"21.75"</f>
        <v>21.75</v>
      </c>
      <c r="J665" t="str">
        <f>"147.71"</f>
        <v>147.71</v>
      </c>
      <c r="K665" t="s">
        <v>12689</v>
      </c>
      <c r="L665" t="s">
        <v>1857</v>
      </c>
      <c r="N665" t="s">
        <v>1949</v>
      </c>
      <c r="O665" t="s">
        <v>1950</v>
      </c>
      <c r="P665" t="s">
        <v>1535</v>
      </c>
      <c r="Q665" t="s">
        <v>775</v>
      </c>
      <c r="T665" t="s">
        <v>373</v>
      </c>
      <c r="U665" t="s">
        <v>402</v>
      </c>
      <c r="V665" t="s">
        <v>12690</v>
      </c>
      <c r="W665" t="s">
        <v>12691</v>
      </c>
      <c r="X665" t="s">
        <v>12692</v>
      </c>
      <c r="Y665" t="s">
        <v>12693</v>
      </c>
      <c r="Z665" t="s">
        <v>12694</v>
      </c>
      <c r="AA665" t="s">
        <v>12695</v>
      </c>
      <c r="AB665" t="s">
        <v>12696</v>
      </c>
      <c r="AC665" t="s">
        <v>12697</v>
      </c>
      <c r="AD665" t="s">
        <v>12698</v>
      </c>
      <c r="AE665" t="s">
        <v>12699</v>
      </c>
      <c r="AF665" t="s">
        <v>12700</v>
      </c>
      <c r="BA665" t="str">
        <f>"1749"</f>
        <v>1749</v>
      </c>
      <c r="BB665" t="str">
        <f>"735"</f>
        <v>735</v>
      </c>
      <c r="BC665" t="s">
        <v>388</v>
      </c>
      <c r="BD665" t="str">
        <f t="shared" si="156"/>
        <v>1</v>
      </c>
      <c r="BE665" t="s">
        <v>389</v>
      </c>
      <c r="BF665" t="str">
        <f>"95.28"</f>
        <v>95.28</v>
      </c>
      <c r="BG665" t="str">
        <f>"27.95"</f>
        <v>27.95</v>
      </c>
      <c r="BH665" t="str">
        <f>"26.18"</f>
        <v>26.18</v>
      </c>
      <c r="BI665" t="str">
        <f>"202.83"</f>
        <v>202.83</v>
      </c>
      <c r="BY665" t="str">
        <f>"40.36"</f>
        <v>40.36</v>
      </c>
      <c r="BZ665" t="str">
        <f>"1.143"</f>
        <v>1.143</v>
      </c>
      <c r="CA665" t="s">
        <v>495</v>
      </c>
      <c r="CH665" t="s">
        <v>638</v>
      </c>
      <c r="CI665" t="s">
        <v>607</v>
      </c>
      <c r="CJ665" t="s">
        <v>3712</v>
      </c>
      <c r="CK665" t="s">
        <v>638</v>
      </c>
      <c r="CL665" t="s">
        <v>1554</v>
      </c>
      <c r="CM665" t="s">
        <v>3712</v>
      </c>
      <c r="CN665">
        <v>0</v>
      </c>
      <c r="CO665">
        <v>0</v>
      </c>
      <c r="CP665" t="s">
        <v>398</v>
      </c>
      <c r="CQ665" t="s">
        <v>631</v>
      </c>
      <c r="CR665" t="s">
        <v>400</v>
      </c>
      <c r="CS665">
        <v>0</v>
      </c>
      <c r="CT665" t="s">
        <v>400</v>
      </c>
      <c r="CU665" t="s">
        <v>2029</v>
      </c>
      <c r="CV665">
        <v>0</v>
      </c>
      <c r="CX665" t="s">
        <v>403</v>
      </c>
      <c r="CY665" t="s">
        <v>400</v>
      </c>
      <c r="CZ665">
        <v>0</v>
      </c>
      <c r="DA665">
        <v>0</v>
      </c>
      <c r="DB665">
        <v>0</v>
      </c>
      <c r="DC665">
        <v>0</v>
      </c>
      <c r="DD665">
        <v>25000</v>
      </c>
      <c r="DE665" t="s">
        <v>570</v>
      </c>
      <c r="DF665" t="s">
        <v>406</v>
      </c>
      <c r="DG665" t="s">
        <v>407</v>
      </c>
      <c r="DH665">
        <v>1</v>
      </c>
      <c r="DI665">
        <v>4</v>
      </c>
      <c r="DJ665" t="s">
        <v>408</v>
      </c>
      <c r="DK665" t="s">
        <v>12701</v>
      </c>
      <c r="DL665">
        <v>0</v>
      </c>
      <c r="DM665" t="s">
        <v>795</v>
      </c>
      <c r="DN665" t="s">
        <v>1557</v>
      </c>
      <c r="DO665" t="s">
        <v>447</v>
      </c>
      <c r="DP665" t="s">
        <v>640</v>
      </c>
      <c r="DT665" t="s">
        <v>450</v>
      </c>
      <c r="DX665" t="s">
        <v>2263</v>
      </c>
      <c r="DY665" t="s">
        <v>827</v>
      </c>
      <c r="DZ665" t="s">
        <v>3712</v>
      </c>
    </row>
    <row r="666" spans="1:280" x14ac:dyDescent="0.25">
      <c r="A666" t="s">
        <v>12702</v>
      </c>
      <c r="B666" t="str">
        <f>"801542100728"</f>
        <v>801542100728</v>
      </c>
      <c r="C666" t="s">
        <v>12703</v>
      </c>
      <c r="D666" t="s">
        <v>5513</v>
      </c>
      <c r="E666" t="s">
        <v>413</v>
      </c>
      <c r="G666" t="str">
        <f>"90.5"</f>
        <v>90.5</v>
      </c>
      <c r="H666" t="str">
        <f>"34.5"</f>
        <v>34.5</v>
      </c>
      <c r="I666" t="str">
        <f>"29.5"</f>
        <v>29.5</v>
      </c>
      <c r="J666" t="str">
        <f>"134.04"</f>
        <v>134.04</v>
      </c>
      <c r="K666" t="s">
        <v>414</v>
      </c>
      <c r="L666" t="s">
        <v>1857</v>
      </c>
      <c r="N666" t="s">
        <v>416</v>
      </c>
      <c r="O666" t="s">
        <v>417</v>
      </c>
      <c r="T666" t="s">
        <v>373</v>
      </c>
      <c r="U666" t="s">
        <v>373</v>
      </c>
      <c r="V666" t="s">
        <v>12704</v>
      </c>
      <c r="W666" t="s">
        <v>12705</v>
      </c>
      <c r="X666" t="s">
        <v>12706</v>
      </c>
      <c r="Y666" t="s">
        <v>12707</v>
      </c>
      <c r="Z666" t="s">
        <v>12708</v>
      </c>
      <c r="AA666" t="s">
        <v>12709</v>
      </c>
      <c r="AB666" t="s">
        <v>12710</v>
      </c>
      <c r="AC666" t="s">
        <v>12711</v>
      </c>
      <c r="AD666" t="s">
        <v>12712</v>
      </c>
      <c r="AE666" t="s">
        <v>12713</v>
      </c>
      <c r="AF666" t="s">
        <v>12714</v>
      </c>
      <c r="AG666" t="s">
        <v>12715</v>
      </c>
      <c r="AH666" t="s">
        <v>12716</v>
      </c>
      <c r="BA666" t="str">
        <f>"5199"</f>
        <v>5199</v>
      </c>
      <c r="BB666" t="str">
        <f>"2185"</f>
        <v>2185</v>
      </c>
      <c r="BC666" t="s">
        <v>388</v>
      </c>
      <c r="BD666" t="str">
        <f t="shared" si="156"/>
        <v>1</v>
      </c>
      <c r="BE666" t="s">
        <v>389</v>
      </c>
      <c r="BF666" t="str">
        <f>"90.94"</f>
        <v>90.94</v>
      </c>
      <c r="BG666" t="str">
        <f>"35.43"</f>
        <v>35.43</v>
      </c>
      <c r="BH666" t="str">
        <f t="shared" ref="BH666:BH671" si="157">"31.1"</f>
        <v>31.1</v>
      </c>
      <c r="BI666" t="str">
        <f>"173.5"</f>
        <v>173.5</v>
      </c>
      <c r="BY666" t="str">
        <f>"57.99"</f>
        <v>57.99</v>
      </c>
      <c r="BZ666" t="str">
        <f>"1.642"</f>
        <v>1.642</v>
      </c>
      <c r="CA666" t="s">
        <v>495</v>
      </c>
      <c r="CH666" t="s">
        <v>548</v>
      </c>
      <c r="CI666" t="s">
        <v>830</v>
      </c>
      <c r="CJ666" t="s">
        <v>2141</v>
      </c>
      <c r="CK666" t="s">
        <v>9037</v>
      </c>
      <c r="CL666" t="s">
        <v>2379</v>
      </c>
      <c r="CM666" t="s">
        <v>12717</v>
      </c>
      <c r="CN666">
        <v>0</v>
      </c>
      <c r="CO666">
        <v>1</v>
      </c>
      <c r="CP666" t="s">
        <v>437</v>
      </c>
      <c r="CQ666" t="s">
        <v>438</v>
      </c>
      <c r="CU666" t="s">
        <v>793</v>
      </c>
      <c r="CX666" t="s">
        <v>403</v>
      </c>
      <c r="CY666" t="s">
        <v>400</v>
      </c>
      <c r="CZ666">
        <v>0</v>
      </c>
      <c r="DD666">
        <v>0</v>
      </c>
      <c r="DE666" t="s">
        <v>439</v>
      </c>
      <c r="DF666" t="s">
        <v>406</v>
      </c>
      <c r="DG666" t="s">
        <v>407</v>
      </c>
      <c r="DH666">
        <v>2</v>
      </c>
      <c r="DI666">
        <v>4</v>
      </c>
      <c r="DK666" t="s">
        <v>8453</v>
      </c>
      <c r="DL666">
        <v>0</v>
      </c>
      <c r="DM666" t="s">
        <v>795</v>
      </c>
      <c r="DN666" t="s">
        <v>432</v>
      </c>
      <c r="DO666" t="s">
        <v>640</v>
      </c>
      <c r="DP666" t="s">
        <v>6784</v>
      </c>
      <c r="DT666" t="s">
        <v>3025</v>
      </c>
      <c r="DX666" t="s">
        <v>2383</v>
      </c>
      <c r="DY666" t="s">
        <v>4245</v>
      </c>
      <c r="DZ666" t="s">
        <v>12718</v>
      </c>
      <c r="EA666" t="s">
        <v>573</v>
      </c>
      <c r="ED666" t="s">
        <v>632</v>
      </c>
      <c r="EE666" t="s">
        <v>454</v>
      </c>
      <c r="EG666" t="s">
        <v>615</v>
      </c>
      <c r="EM666" t="s">
        <v>402</v>
      </c>
      <c r="ET666" t="s">
        <v>832</v>
      </c>
    </row>
    <row r="667" spans="1:280" x14ac:dyDescent="0.25">
      <c r="A667" t="s">
        <v>12719</v>
      </c>
      <c r="B667" t="str">
        <f>"801542156268"</f>
        <v>801542156268</v>
      </c>
      <c r="C667" t="s">
        <v>12720</v>
      </c>
      <c r="D667" t="s">
        <v>5513</v>
      </c>
      <c r="E667" t="s">
        <v>413</v>
      </c>
      <c r="G667" t="str">
        <f>"90.5"</f>
        <v>90.5</v>
      </c>
      <c r="H667" t="str">
        <f>"34.5"</f>
        <v>34.5</v>
      </c>
      <c r="I667" t="str">
        <f>"29.5"</f>
        <v>29.5</v>
      </c>
      <c r="J667" t="str">
        <f>"134.04"</f>
        <v>134.04</v>
      </c>
      <c r="K667" t="s">
        <v>806</v>
      </c>
      <c r="L667" t="s">
        <v>1857</v>
      </c>
      <c r="N667" t="s">
        <v>808</v>
      </c>
      <c r="O667" t="s">
        <v>809</v>
      </c>
      <c r="P667" t="s">
        <v>810</v>
      </c>
      <c r="Q667" t="s">
        <v>417</v>
      </c>
      <c r="T667" t="s">
        <v>373</v>
      </c>
      <c r="U667" t="s">
        <v>402</v>
      </c>
      <c r="V667" t="s">
        <v>12721</v>
      </c>
      <c r="W667" t="s">
        <v>12722</v>
      </c>
      <c r="X667" t="s">
        <v>12723</v>
      </c>
      <c r="Y667" t="s">
        <v>12724</v>
      </c>
      <c r="Z667" t="s">
        <v>12725</v>
      </c>
      <c r="AA667" t="s">
        <v>12726</v>
      </c>
      <c r="AB667" t="s">
        <v>12727</v>
      </c>
      <c r="AC667" t="s">
        <v>12728</v>
      </c>
      <c r="AD667" t="s">
        <v>12729</v>
      </c>
      <c r="AE667" t="s">
        <v>12730</v>
      </c>
      <c r="AF667" t="s">
        <v>12731</v>
      </c>
      <c r="AG667" t="s">
        <v>12732</v>
      </c>
      <c r="AH667" t="s">
        <v>12733</v>
      </c>
      <c r="BA667" t="str">
        <f>"2799"</f>
        <v>2799</v>
      </c>
      <c r="BB667" t="str">
        <f>"1180"</f>
        <v>1180</v>
      </c>
      <c r="BC667" t="s">
        <v>388</v>
      </c>
      <c r="BD667" t="str">
        <f t="shared" si="156"/>
        <v>1</v>
      </c>
      <c r="BE667" t="s">
        <v>389</v>
      </c>
      <c r="BF667" t="str">
        <f>"90.94"</f>
        <v>90.94</v>
      </c>
      <c r="BG667" t="str">
        <f>"35.43"</f>
        <v>35.43</v>
      </c>
      <c r="BH667" t="str">
        <f t="shared" si="157"/>
        <v>31.1</v>
      </c>
      <c r="BI667" t="str">
        <f>"173.5"</f>
        <v>173.5</v>
      </c>
      <c r="BY667" t="str">
        <f>"57.99"</f>
        <v>57.99</v>
      </c>
      <c r="BZ667" t="str">
        <f>"1.642"</f>
        <v>1.642</v>
      </c>
      <c r="CA667" t="s">
        <v>390</v>
      </c>
      <c r="CH667" t="s">
        <v>548</v>
      </c>
      <c r="CI667" t="s">
        <v>830</v>
      </c>
      <c r="CJ667" t="s">
        <v>2141</v>
      </c>
      <c r="CK667" t="s">
        <v>9037</v>
      </c>
      <c r="CL667" t="s">
        <v>2379</v>
      </c>
      <c r="CM667" t="s">
        <v>12717</v>
      </c>
      <c r="CN667">
        <v>0</v>
      </c>
      <c r="CO667">
        <v>1</v>
      </c>
      <c r="CP667" t="s">
        <v>437</v>
      </c>
      <c r="CQ667" t="s">
        <v>631</v>
      </c>
      <c r="CU667" t="s">
        <v>793</v>
      </c>
      <c r="CX667" t="s">
        <v>403</v>
      </c>
      <c r="CY667" t="s">
        <v>400</v>
      </c>
      <c r="CZ667">
        <v>0</v>
      </c>
      <c r="DD667">
        <v>25000</v>
      </c>
      <c r="DE667" t="s">
        <v>439</v>
      </c>
      <c r="DF667" t="s">
        <v>406</v>
      </c>
      <c r="DG667" t="s">
        <v>407</v>
      </c>
      <c r="DH667">
        <v>2</v>
      </c>
      <c r="DI667">
        <v>4</v>
      </c>
      <c r="DK667" t="s">
        <v>8453</v>
      </c>
      <c r="DL667">
        <v>0</v>
      </c>
      <c r="DM667" t="s">
        <v>795</v>
      </c>
      <c r="DN667" t="s">
        <v>432</v>
      </c>
      <c r="DO667" t="s">
        <v>640</v>
      </c>
      <c r="DP667" t="s">
        <v>6784</v>
      </c>
      <c r="DT667" t="s">
        <v>3025</v>
      </c>
      <c r="DX667" t="s">
        <v>2383</v>
      </c>
      <c r="DY667" t="s">
        <v>4245</v>
      </c>
      <c r="DZ667" t="s">
        <v>12718</v>
      </c>
      <c r="EA667" t="s">
        <v>573</v>
      </c>
      <c r="ED667" t="s">
        <v>632</v>
      </c>
      <c r="EE667" t="s">
        <v>454</v>
      </c>
      <c r="EG667" t="s">
        <v>615</v>
      </c>
      <c r="EM667" t="s">
        <v>402</v>
      </c>
      <c r="ET667" t="s">
        <v>832</v>
      </c>
    </row>
    <row r="668" spans="1:280" x14ac:dyDescent="0.25">
      <c r="A668" t="s">
        <v>12734</v>
      </c>
      <c r="B668" t="str">
        <f>"801542100711"</f>
        <v>801542100711</v>
      </c>
      <c r="C668" t="s">
        <v>12735</v>
      </c>
      <c r="D668" t="s">
        <v>5513</v>
      </c>
      <c r="E668" t="s">
        <v>413</v>
      </c>
      <c r="G668" t="str">
        <f>"90.5"</f>
        <v>90.5</v>
      </c>
      <c r="H668" t="str">
        <f>"34.5"</f>
        <v>34.5</v>
      </c>
      <c r="I668" t="str">
        <f>"29.5"</f>
        <v>29.5</v>
      </c>
      <c r="J668" t="str">
        <f>"134.04"</f>
        <v>134.04</v>
      </c>
      <c r="K668" t="s">
        <v>8437</v>
      </c>
      <c r="L668" t="s">
        <v>1857</v>
      </c>
      <c r="N668" t="s">
        <v>371</v>
      </c>
      <c r="O668" t="s">
        <v>417</v>
      </c>
      <c r="T668" t="s">
        <v>373</v>
      </c>
      <c r="U668" t="s">
        <v>373</v>
      </c>
      <c r="V668" t="s">
        <v>12704</v>
      </c>
      <c r="W668" t="s">
        <v>12736</v>
      </c>
      <c r="X668" t="s">
        <v>12737</v>
      </c>
      <c r="Y668" t="s">
        <v>12738</v>
      </c>
      <c r="Z668" t="s">
        <v>12739</v>
      </c>
      <c r="AA668" t="s">
        <v>12740</v>
      </c>
      <c r="AB668" t="s">
        <v>12741</v>
      </c>
      <c r="AC668" t="s">
        <v>12742</v>
      </c>
      <c r="AD668" t="s">
        <v>12743</v>
      </c>
      <c r="AE668" t="s">
        <v>12744</v>
      </c>
      <c r="AF668" t="s">
        <v>12745</v>
      </c>
      <c r="AG668" t="s">
        <v>12746</v>
      </c>
      <c r="AH668" t="s">
        <v>12747</v>
      </c>
      <c r="BA668" t="str">
        <f>"2599"</f>
        <v>2599</v>
      </c>
      <c r="BB668" t="str">
        <f>"1095"</f>
        <v>1095</v>
      </c>
      <c r="BC668" t="s">
        <v>388</v>
      </c>
      <c r="BD668" t="str">
        <f t="shared" si="156"/>
        <v>1</v>
      </c>
      <c r="BE668" t="s">
        <v>389</v>
      </c>
      <c r="BF668" t="str">
        <f>"90.94"</f>
        <v>90.94</v>
      </c>
      <c r="BG668" t="str">
        <f>"35.43"</f>
        <v>35.43</v>
      </c>
      <c r="BH668" t="str">
        <f t="shared" si="157"/>
        <v>31.1</v>
      </c>
      <c r="BI668" t="str">
        <f>"173.5"</f>
        <v>173.5</v>
      </c>
      <c r="BY668" t="str">
        <f>"57.99"</f>
        <v>57.99</v>
      </c>
      <c r="BZ668" t="str">
        <f>"1.642"</f>
        <v>1.642</v>
      </c>
      <c r="CA668" t="s">
        <v>495</v>
      </c>
      <c r="CH668" t="s">
        <v>548</v>
      </c>
      <c r="CI668" t="s">
        <v>830</v>
      </c>
      <c r="CJ668" t="s">
        <v>2141</v>
      </c>
      <c r="CK668" t="s">
        <v>9037</v>
      </c>
      <c r="CL668" t="s">
        <v>2379</v>
      </c>
      <c r="CM668" t="s">
        <v>12717</v>
      </c>
      <c r="CN668">
        <v>0</v>
      </c>
      <c r="CO668">
        <v>1</v>
      </c>
      <c r="CP668" t="s">
        <v>437</v>
      </c>
      <c r="CQ668" t="s">
        <v>399</v>
      </c>
      <c r="CU668" t="s">
        <v>793</v>
      </c>
      <c r="CX668" t="s">
        <v>403</v>
      </c>
      <c r="CY668" t="s">
        <v>400</v>
      </c>
      <c r="CZ668">
        <v>0</v>
      </c>
      <c r="DD668">
        <v>100000</v>
      </c>
      <c r="DE668" t="s">
        <v>439</v>
      </c>
      <c r="DF668" t="s">
        <v>406</v>
      </c>
      <c r="DG668" t="s">
        <v>407</v>
      </c>
      <c r="DH668">
        <v>2</v>
      </c>
      <c r="DI668">
        <v>4</v>
      </c>
      <c r="DK668" t="s">
        <v>8453</v>
      </c>
      <c r="DL668">
        <v>0</v>
      </c>
      <c r="DM668" t="s">
        <v>795</v>
      </c>
      <c r="DN668" t="s">
        <v>432</v>
      </c>
      <c r="DO668" t="s">
        <v>640</v>
      </c>
      <c r="DP668" t="s">
        <v>6784</v>
      </c>
      <c r="DT668" t="s">
        <v>3025</v>
      </c>
      <c r="DX668" t="s">
        <v>2383</v>
      </c>
      <c r="DY668" t="s">
        <v>4245</v>
      </c>
      <c r="DZ668" t="s">
        <v>12718</v>
      </c>
      <c r="EA668" t="s">
        <v>573</v>
      </c>
      <c r="ED668" t="s">
        <v>632</v>
      </c>
      <c r="EE668" t="s">
        <v>454</v>
      </c>
      <c r="EG668" t="s">
        <v>615</v>
      </c>
      <c r="EM668" t="s">
        <v>402</v>
      </c>
      <c r="ET668" t="s">
        <v>832</v>
      </c>
    </row>
    <row r="669" spans="1:280" x14ac:dyDescent="0.25">
      <c r="A669" t="s">
        <v>12748</v>
      </c>
      <c r="B669" t="str">
        <f>"801542081218"</f>
        <v>801542081218</v>
      </c>
      <c r="C669" t="s">
        <v>12749</v>
      </c>
      <c r="D669" t="s">
        <v>583</v>
      </c>
      <c r="E669" t="s">
        <v>515</v>
      </c>
      <c r="F669" t="s">
        <v>516</v>
      </c>
      <c r="G669" t="str">
        <f>"30"</f>
        <v>30</v>
      </c>
      <c r="H669" t="str">
        <f>"36"</f>
        <v>36</v>
      </c>
      <c r="I669" t="str">
        <f>"32"</f>
        <v>32</v>
      </c>
      <c r="J669" t="str">
        <f>"70.55"</f>
        <v>70.55</v>
      </c>
      <c r="K669" t="s">
        <v>1856</v>
      </c>
      <c r="N669" t="s">
        <v>371</v>
      </c>
      <c r="T669" t="s">
        <v>373</v>
      </c>
      <c r="U669" t="s">
        <v>402</v>
      </c>
      <c r="V669" t="s">
        <v>12750</v>
      </c>
      <c r="W669" t="s">
        <v>12751</v>
      </c>
      <c r="X669" t="s">
        <v>12752</v>
      </c>
      <c r="Y669" t="s">
        <v>12753</v>
      </c>
      <c r="Z669" t="s">
        <v>12754</v>
      </c>
      <c r="AA669" t="s">
        <v>12755</v>
      </c>
      <c r="AB669" t="s">
        <v>12756</v>
      </c>
      <c r="AC669" t="s">
        <v>12757</v>
      </c>
      <c r="AD669" t="s">
        <v>12758</v>
      </c>
      <c r="AE669" t="s">
        <v>12759</v>
      </c>
      <c r="AF669" t="s">
        <v>12760</v>
      </c>
      <c r="AG669" t="s">
        <v>12761</v>
      </c>
      <c r="AH669" t="s">
        <v>12762</v>
      </c>
      <c r="BA669" t="str">
        <f>"1249"</f>
        <v>1249</v>
      </c>
      <c r="BB669" t="str">
        <f>"525"</f>
        <v>525</v>
      </c>
      <c r="BC669" t="s">
        <v>388</v>
      </c>
      <c r="BD669" t="str">
        <f t="shared" si="156"/>
        <v>1</v>
      </c>
      <c r="BE669" t="s">
        <v>12763</v>
      </c>
      <c r="BF669" t="str">
        <f>"31.89"</f>
        <v>31.89</v>
      </c>
      <c r="BG669" t="str">
        <f>"36.61"</f>
        <v>36.61</v>
      </c>
      <c r="BH669" t="str">
        <f t="shared" si="157"/>
        <v>31.1</v>
      </c>
      <c r="BI669" t="str">
        <f>"92.59"</f>
        <v>92.59</v>
      </c>
      <c r="BY669" t="str">
        <f>"19.03"</f>
        <v>19.03</v>
      </c>
      <c r="BZ669" t="str">
        <f>"0.539"</f>
        <v>0.539</v>
      </c>
      <c r="CA669" t="s">
        <v>495</v>
      </c>
      <c r="CH669" t="s">
        <v>609</v>
      </c>
      <c r="CI669" t="s">
        <v>474</v>
      </c>
      <c r="CJ669" t="s">
        <v>638</v>
      </c>
      <c r="CK669" t="s">
        <v>601</v>
      </c>
      <c r="CL669" t="s">
        <v>449</v>
      </c>
      <c r="CM669" t="s">
        <v>638</v>
      </c>
      <c r="CN669">
        <v>0</v>
      </c>
      <c r="CO669">
        <v>1</v>
      </c>
      <c r="CP669" t="s">
        <v>437</v>
      </c>
      <c r="CQ669" t="s">
        <v>631</v>
      </c>
      <c r="CU669" t="s">
        <v>604</v>
      </c>
      <c r="CX669" t="s">
        <v>403</v>
      </c>
      <c r="CY669" t="s">
        <v>1753</v>
      </c>
      <c r="CZ669">
        <v>0</v>
      </c>
      <c r="DD669">
        <v>25000</v>
      </c>
      <c r="DE669" t="s">
        <v>439</v>
      </c>
      <c r="DF669" t="s">
        <v>406</v>
      </c>
      <c r="DG669" t="s">
        <v>407</v>
      </c>
      <c r="DH669">
        <v>1</v>
      </c>
      <c r="DI669">
        <v>1</v>
      </c>
      <c r="DK669" t="s">
        <v>1851</v>
      </c>
      <c r="DL669">
        <v>0</v>
      </c>
      <c r="DM669" t="s">
        <v>538</v>
      </c>
      <c r="DN669" t="s">
        <v>603</v>
      </c>
      <c r="DO669" t="s">
        <v>3025</v>
      </c>
      <c r="DP669" t="s">
        <v>636</v>
      </c>
      <c r="DT669" t="s">
        <v>1852</v>
      </c>
      <c r="DU669" t="s">
        <v>797</v>
      </c>
      <c r="DV669" t="s">
        <v>449</v>
      </c>
      <c r="DW669" t="s">
        <v>638</v>
      </c>
      <c r="DX669" t="s">
        <v>827</v>
      </c>
      <c r="DY669" t="s">
        <v>2241</v>
      </c>
      <c r="DZ669" t="s">
        <v>2241</v>
      </c>
      <c r="EA669" t="s">
        <v>1039</v>
      </c>
      <c r="ED669" t="s">
        <v>406</v>
      </c>
      <c r="EE669" t="s">
        <v>407</v>
      </c>
      <c r="EF669" t="s">
        <v>614</v>
      </c>
      <c r="EG669" t="s">
        <v>615</v>
      </c>
      <c r="ER669">
        <v>0</v>
      </c>
      <c r="ES669">
        <v>0</v>
      </c>
      <c r="EU669">
        <v>0</v>
      </c>
      <c r="HM669" t="s">
        <v>1754</v>
      </c>
    </row>
    <row r="670" spans="1:280" x14ac:dyDescent="0.25">
      <c r="A670" t="s">
        <v>12764</v>
      </c>
      <c r="B670" t="str">
        <f>"801542183677"</f>
        <v>801542183677</v>
      </c>
      <c r="C670" t="s">
        <v>12765</v>
      </c>
      <c r="D670" t="s">
        <v>583</v>
      </c>
      <c r="E670" t="s">
        <v>515</v>
      </c>
      <c r="F670" t="s">
        <v>516</v>
      </c>
      <c r="G670" t="str">
        <f>"30"</f>
        <v>30</v>
      </c>
      <c r="H670" t="str">
        <f>"36"</f>
        <v>36</v>
      </c>
      <c r="I670" t="str">
        <f>"32"</f>
        <v>32</v>
      </c>
      <c r="J670" t="str">
        <f>"70.55"</f>
        <v>70.55</v>
      </c>
      <c r="K670" t="s">
        <v>863</v>
      </c>
      <c r="N670" t="s">
        <v>416</v>
      </c>
      <c r="T670" t="s">
        <v>373</v>
      </c>
      <c r="U670" t="s">
        <v>373</v>
      </c>
      <c r="V670" t="s">
        <v>12766</v>
      </c>
      <c r="W670" t="s">
        <v>12767</v>
      </c>
      <c r="X670" t="s">
        <v>12768</v>
      </c>
      <c r="Y670" t="s">
        <v>12769</v>
      </c>
      <c r="Z670" t="s">
        <v>12770</v>
      </c>
      <c r="AA670" t="s">
        <v>12771</v>
      </c>
      <c r="AB670" t="s">
        <v>12772</v>
      </c>
      <c r="AC670" t="s">
        <v>12773</v>
      </c>
      <c r="AD670" t="s">
        <v>12774</v>
      </c>
      <c r="AE670" t="s">
        <v>12775</v>
      </c>
      <c r="AF670" t="s">
        <v>12776</v>
      </c>
      <c r="BA670" t="str">
        <f>"2299"</f>
        <v>2299</v>
      </c>
      <c r="BB670" t="str">
        <f>"970"</f>
        <v>970</v>
      </c>
      <c r="BC670" t="s">
        <v>388</v>
      </c>
      <c r="BD670" t="str">
        <f t="shared" si="156"/>
        <v>1</v>
      </c>
      <c r="BE670" t="s">
        <v>12763</v>
      </c>
      <c r="BF670" t="str">
        <f>"31.89"</f>
        <v>31.89</v>
      </c>
      <c r="BG670" t="str">
        <f>"36.61"</f>
        <v>36.61</v>
      </c>
      <c r="BH670" t="str">
        <f t="shared" si="157"/>
        <v>31.1</v>
      </c>
      <c r="BI670" t="str">
        <f>"92.59"</f>
        <v>92.59</v>
      </c>
      <c r="BY670" t="str">
        <f>"19.03"</f>
        <v>19.03</v>
      </c>
      <c r="BZ670" t="str">
        <f>"0.539"</f>
        <v>0.539</v>
      </c>
      <c r="CA670" t="s">
        <v>495</v>
      </c>
      <c r="CH670" t="s">
        <v>609</v>
      </c>
      <c r="CI670" t="s">
        <v>474</v>
      </c>
      <c r="CJ670" t="s">
        <v>638</v>
      </c>
      <c r="CK670" t="s">
        <v>601</v>
      </c>
      <c r="CL670" t="s">
        <v>449</v>
      </c>
      <c r="CM670" t="s">
        <v>638</v>
      </c>
      <c r="CN670">
        <v>0</v>
      </c>
      <c r="CO670">
        <v>1</v>
      </c>
      <c r="CP670" t="s">
        <v>437</v>
      </c>
      <c r="CQ670" t="s">
        <v>438</v>
      </c>
      <c r="CU670" t="s">
        <v>604</v>
      </c>
      <c r="CX670" t="s">
        <v>403</v>
      </c>
      <c r="CY670" t="s">
        <v>1753</v>
      </c>
      <c r="CZ670">
        <v>0</v>
      </c>
      <c r="DD670">
        <v>0</v>
      </c>
      <c r="DE670" t="s">
        <v>439</v>
      </c>
      <c r="DF670" t="s">
        <v>406</v>
      </c>
      <c r="DG670" t="s">
        <v>407</v>
      </c>
      <c r="DH670">
        <v>1</v>
      </c>
      <c r="DI670">
        <v>1</v>
      </c>
      <c r="DK670" t="s">
        <v>1851</v>
      </c>
      <c r="DL670">
        <v>0</v>
      </c>
      <c r="DM670" t="s">
        <v>538</v>
      </c>
      <c r="DN670" t="s">
        <v>603</v>
      </c>
      <c r="DO670" t="s">
        <v>3025</v>
      </c>
      <c r="DP670" t="s">
        <v>636</v>
      </c>
      <c r="DT670" t="s">
        <v>1852</v>
      </c>
      <c r="DU670" t="s">
        <v>797</v>
      </c>
      <c r="DV670" t="s">
        <v>449</v>
      </c>
      <c r="DW670" t="s">
        <v>638</v>
      </c>
      <c r="DX670" t="s">
        <v>827</v>
      </c>
      <c r="DY670" t="s">
        <v>2241</v>
      </c>
      <c r="DZ670" t="s">
        <v>2241</v>
      </c>
      <c r="EA670" t="s">
        <v>1039</v>
      </c>
      <c r="ED670" t="s">
        <v>406</v>
      </c>
      <c r="EE670" t="s">
        <v>407</v>
      </c>
      <c r="EF670" t="s">
        <v>614</v>
      </c>
      <c r="EG670" t="s">
        <v>615</v>
      </c>
      <c r="ER670">
        <v>0</v>
      </c>
      <c r="ES670">
        <v>0</v>
      </c>
      <c r="EU670">
        <v>0</v>
      </c>
      <c r="HM670" t="s">
        <v>1754</v>
      </c>
    </row>
    <row r="671" spans="1:280" x14ac:dyDescent="0.25">
      <c r="A671" t="s">
        <v>12777</v>
      </c>
      <c r="B671" t="str">
        <f>"801542081249"</f>
        <v>801542081249</v>
      </c>
      <c r="C671" t="s">
        <v>12778</v>
      </c>
      <c r="D671" t="s">
        <v>583</v>
      </c>
      <c r="E671" t="s">
        <v>515</v>
      </c>
      <c r="F671" t="s">
        <v>516</v>
      </c>
      <c r="G671" t="str">
        <f>"30"</f>
        <v>30</v>
      </c>
      <c r="H671" t="str">
        <f>"36"</f>
        <v>36</v>
      </c>
      <c r="I671" t="str">
        <f>"32"</f>
        <v>32</v>
      </c>
      <c r="J671" t="str">
        <f>"70.55"</f>
        <v>70.55</v>
      </c>
      <c r="K671" t="s">
        <v>5427</v>
      </c>
      <c r="N671" t="s">
        <v>416</v>
      </c>
      <c r="T671" t="s">
        <v>373</v>
      </c>
      <c r="U671" t="s">
        <v>373</v>
      </c>
      <c r="V671" t="s">
        <v>12779</v>
      </c>
      <c r="W671" t="s">
        <v>12780</v>
      </c>
      <c r="X671" t="s">
        <v>12781</v>
      </c>
      <c r="Y671" t="s">
        <v>12782</v>
      </c>
      <c r="Z671" t="s">
        <v>12783</v>
      </c>
      <c r="AA671" t="s">
        <v>12784</v>
      </c>
      <c r="AB671" t="s">
        <v>12785</v>
      </c>
      <c r="AC671" t="s">
        <v>12786</v>
      </c>
      <c r="AD671" t="s">
        <v>12787</v>
      </c>
      <c r="AE671" t="s">
        <v>12788</v>
      </c>
      <c r="AF671" t="s">
        <v>12789</v>
      </c>
      <c r="AG671" t="s">
        <v>12790</v>
      </c>
      <c r="AH671" t="s">
        <v>12791</v>
      </c>
      <c r="BA671" t="str">
        <f>"2299"</f>
        <v>2299</v>
      </c>
      <c r="BB671" t="str">
        <f>"970"</f>
        <v>970</v>
      </c>
      <c r="BC671" t="s">
        <v>388</v>
      </c>
      <c r="BD671" t="str">
        <f t="shared" si="156"/>
        <v>1</v>
      </c>
      <c r="BE671" t="s">
        <v>12792</v>
      </c>
      <c r="BF671" t="str">
        <f>"31.89"</f>
        <v>31.89</v>
      </c>
      <c r="BG671" t="str">
        <f>"36.61"</f>
        <v>36.61</v>
      </c>
      <c r="BH671" t="str">
        <f t="shared" si="157"/>
        <v>31.1</v>
      </c>
      <c r="BI671" t="str">
        <f>"92.59"</f>
        <v>92.59</v>
      </c>
      <c r="BY671" t="str">
        <f>"19.03"</f>
        <v>19.03</v>
      </c>
      <c r="BZ671" t="str">
        <f>"0.539"</f>
        <v>0.539</v>
      </c>
      <c r="CA671" t="s">
        <v>431</v>
      </c>
      <c r="CH671" t="s">
        <v>609</v>
      </c>
      <c r="CI671" t="s">
        <v>474</v>
      </c>
      <c r="CJ671" t="s">
        <v>638</v>
      </c>
      <c r="CK671" t="s">
        <v>601</v>
      </c>
      <c r="CL671" t="s">
        <v>449</v>
      </c>
      <c r="CM671" t="s">
        <v>638</v>
      </c>
      <c r="CN671">
        <v>0</v>
      </c>
      <c r="CO671">
        <v>1</v>
      </c>
      <c r="CP671" t="s">
        <v>437</v>
      </c>
      <c r="CQ671" t="s">
        <v>438</v>
      </c>
      <c r="CU671" t="s">
        <v>604</v>
      </c>
      <c r="CX671" t="s">
        <v>403</v>
      </c>
      <c r="CY671" t="s">
        <v>1753</v>
      </c>
      <c r="CZ671">
        <v>0</v>
      </c>
      <c r="DD671">
        <v>0</v>
      </c>
      <c r="DE671" t="s">
        <v>439</v>
      </c>
      <c r="DF671" t="s">
        <v>406</v>
      </c>
      <c r="DG671" t="s">
        <v>407</v>
      </c>
      <c r="DH671">
        <v>1</v>
      </c>
      <c r="DI671">
        <v>1</v>
      </c>
      <c r="DK671" t="s">
        <v>1851</v>
      </c>
      <c r="DL671">
        <v>0</v>
      </c>
      <c r="DM671" t="s">
        <v>538</v>
      </c>
      <c r="DN671" t="s">
        <v>603</v>
      </c>
      <c r="DO671" t="s">
        <v>3025</v>
      </c>
      <c r="DP671" t="s">
        <v>636</v>
      </c>
      <c r="DT671" t="s">
        <v>1852</v>
      </c>
      <c r="DU671" t="s">
        <v>797</v>
      </c>
      <c r="DV671" t="s">
        <v>449</v>
      </c>
      <c r="DW671" t="s">
        <v>638</v>
      </c>
      <c r="DX671" t="s">
        <v>827</v>
      </c>
      <c r="DY671" t="s">
        <v>2241</v>
      </c>
      <c r="DZ671" t="s">
        <v>2241</v>
      </c>
      <c r="EA671" t="s">
        <v>1039</v>
      </c>
      <c r="ED671" t="s">
        <v>406</v>
      </c>
      <c r="EE671" t="s">
        <v>407</v>
      </c>
      <c r="EF671" t="s">
        <v>614</v>
      </c>
      <c r="EG671" t="s">
        <v>615</v>
      </c>
      <c r="ER671">
        <v>0</v>
      </c>
      <c r="ES671">
        <v>0</v>
      </c>
      <c r="EU671">
        <v>0</v>
      </c>
      <c r="HM671" t="s">
        <v>1754</v>
      </c>
    </row>
    <row r="672" spans="1:280" x14ac:dyDescent="0.25">
      <c r="A672" t="s">
        <v>12793</v>
      </c>
      <c r="B672" t="str">
        <f>"801542350635"</f>
        <v>801542350635</v>
      </c>
      <c r="C672" t="s">
        <v>12794</v>
      </c>
      <c r="D672" t="s">
        <v>1276</v>
      </c>
      <c r="E672" t="s">
        <v>930</v>
      </c>
      <c r="G672" t="str">
        <f>"84"</f>
        <v>84</v>
      </c>
      <c r="H672" t="str">
        <f>"17"</f>
        <v>17</v>
      </c>
      <c r="I672" t="str">
        <f>"30"</f>
        <v>30</v>
      </c>
      <c r="J672" t="str">
        <f>"222.66"</f>
        <v>222.66</v>
      </c>
      <c r="K672" t="s">
        <v>10403</v>
      </c>
      <c r="L672" t="s">
        <v>12795</v>
      </c>
      <c r="M672" t="s">
        <v>12796</v>
      </c>
      <c r="N672" t="s">
        <v>372</v>
      </c>
      <c r="O672" t="s">
        <v>1970</v>
      </c>
      <c r="P672" t="s">
        <v>555</v>
      </c>
      <c r="T672" t="s">
        <v>373</v>
      </c>
      <c r="U672" t="s">
        <v>373</v>
      </c>
      <c r="V672" t="s">
        <v>12797</v>
      </c>
      <c r="W672" t="s">
        <v>12798</v>
      </c>
      <c r="X672" t="s">
        <v>12799</v>
      </c>
      <c r="Y672" t="s">
        <v>12800</v>
      </c>
      <c r="Z672" t="s">
        <v>12801</v>
      </c>
      <c r="AA672" t="s">
        <v>12802</v>
      </c>
      <c r="AB672" t="s">
        <v>12803</v>
      </c>
      <c r="AC672" t="s">
        <v>12804</v>
      </c>
      <c r="AD672" t="s">
        <v>12805</v>
      </c>
      <c r="AE672" t="s">
        <v>12806</v>
      </c>
      <c r="AF672" t="s">
        <v>12807</v>
      </c>
      <c r="AG672" t="s">
        <v>12808</v>
      </c>
      <c r="AH672" t="s">
        <v>12809</v>
      </c>
      <c r="AI672" t="s">
        <v>12810</v>
      </c>
      <c r="AJ672" t="s">
        <v>12811</v>
      </c>
      <c r="AK672" t="s">
        <v>12812</v>
      </c>
      <c r="AL672" t="s">
        <v>12813</v>
      </c>
      <c r="AM672" t="s">
        <v>12814</v>
      </c>
      <c r="AN672" t="s">
        <v>12815</v>
      </c>
      <c r="AO672" t="s">
        <v>12816</v>
      </c>
      <c r="BA672" t="str">
        <f>"1899"</f>
        <v>1899</v>
      </c>
      <c r="BB672" t="str">
        <f>"800"</f>
        <v>800</v>
      </c>
      <c r="BC672" t="s">
        <v>665</v>
      </c>
      <c r="BD672" t="str">
        <f t="shared" si="156"/>
        <v>1</v>
      </c>
      <c r="BE672" t="s">
        <v>12817</v>
      </c>
      <c r="BF672" t="str">
        <f>"86.81"</f>
        <v>86.81</v>
      </c>
      <c r="BG672" t="str">
        <f>"20.87"</f>
        <v>20.87</v>
      </c>
      <c r="BH672" t="str">
        <f>"32.68"</f>
        <v>32.68</v>
      </c>
      <c r="BI672" t="str">
        <f>"266.76"</f>
        <v>266.76</v>
      </c>
      <c r="BY672" t="str">
        <f>"34.26"</f>
        <v>34.26</v>
      </c>
      <c r="BZ672" t="str">
        <f>"0.97"</f>
        <v>0.97</v>
      </c>
      <c r="CA672" t="s">
        <v>390</v>
      </c>
      <c r="CE672" t="s">
        <v>8980</v>
      </c>
      <c r="CF672" t="s">
        <v>567</v>
      </c>
      <c r="CG672" t="s">
        <v>12818</v>
      </c>
      <c r="CR672" t="s">
        <v>400</v>
      </c>
      <c r="CS672">
        <v>0</v>
      </c>
      <c r="CT672" t="s">
        <v>400</v>
      </c>
      <c r="CV672">
        <v>0</v>
      </c>
      <c r="CX672" t="s">
        <v>1018</v>
      </c>
      <c r="CY672" t="s">
        <v>954</v>
      </c>
      <c r="DA672">
        <v>18.14</v>
      </c>
      <c r="DB672">
        <v>40</v>
      </c>
      <c r="DC672">
        <v>2</v>
      </c>
      <c r="DK672" t="s">
        <v>12819</v>
      </c>
      <c r="DM672" t="s">
        <v>669</v>
      </c>
      <c r="DX672" t="s">
        <v>5881</v>
      </c>
      <c r="EM672" t="s">
        <v>402</v>
      </c>
      <c r="EN672">
        <v>2</v>
      </c>
      <c r="EZ672" t="s">
        <v>2071</v>
      </c>
      <c r="FA672" t="s">
        <v>4614</v>
      </c>
      <c r="FB672" t="s">
        <v>743</v>
      </c>
      <c r="FC672" t="s">
        <v>8980</v>
      </c>
      <c r="FD672" t="s">
        <v>956</v>
      </c>
      <c r="FE672" t="s">
        <v>12818</v>
      </c>
      <c r="FF672">
        <v>0</v>
      </c>
      <c r="FG672" t="s">
        <v>402</v>
      </c>
      <c r="FI672">
        <v>4</v>
      </c>
      <c r="FJ672" t="s">
        <v>960</v>
      </c>
      <c r="FK672" t="s">
        <v>961</v>
      </c>
      <c r="FL672">
        <v>0</v>
      </c>
      <c r="FM672" t="s">
        <v>402</v>
      </c>
      <c r="FO672" t="s">
        <v>984</v>
      </c>
      <c r="GB672" t="s">
        <v>8980</v>
      </c>
      <c r="GC672" t="s">
        <v>567</v>
      </c>
      <c r="GD672" t="s">
        <v>12818</v>
      </c>
      <c r="GX672" t="s">
        <v>392</v>
      </c>
      <c r="HI672" t="s">
        <v>402</v>
      </c>
    </row>
    <row r="673" spans="1:263" x14ac:dyDescent="0.25">
      <c r="A673" t="s">
        <v>12820</v>
      </c>
      <c r="B673" t="str">
        <f>"198394060011"</f>
        <v>198394060011</v>
      </c>
      <c r="C673" t="s">
        <v>12821</v>
      </c>
      <c r="D673" t="s">
        <v>1276</v>
      </c>
      <c r="E673" t="s">
        <v>930</v>
      </c>
      <c r="G673" t="str">
        <f>"94"</f>
        <v>94</v>
      </c>
      <c r="H673" t="str">
        <f>"20"</f>
        <v>20</v>
      </c>
      <c r="I673" t="str">
        <f>"30"</f>
        <v>30</v>
      </c>
      <c r="J673" t="str">
        <f>"222.66"</f>
        <v>222.66</v>
      </c>
      <c r="K673" t="s">
        <v>12822</v>
      </c>
      <c r="L673" t="s">
        <v>12823</v>
      </c>
      <c r="N673" t="s">
        <v>1463</v>
      </c>
      <c r="O673" t="s">
        <v>372</v>
      </c>
      <c r="T673" t="s">
        <v>373</v>
      </c>
      <c r="U673" t="s">
        <v>373</v>
      </c>
      <c r="V673" t="s">
        <v>12824</v>
      </c>
      <c r="W673" t="s">
        <v>12825</v>
      </c>
      <c r="X673" t="s">
        <v>12826</v>
      </c>
      <c r="Y673" t="s">
        <v>12827</v>
      </c>
      <c r="Z673" t="s">
        <v>12828</v>
      </c>
      <c r="AA673" t="s">
        <v>12829</v>
      </c>
      <c r="AB673" t="s">
        <v>12830</v>
      </c>
      <c r="AC673" t="s">
        <v>12831</v>
      </c>
      <c r="AD673" t="s">
        <v>12832</v>
      </c>
      <c r="AE673" t="s">
        <v>12833</v>
      </c>
      <c r="AF673" t="s">
        <v>12834</v>
      </c>
      <c r="AG673" t="s">
        <v>12835</v>
      </c>
      <c r="AH673" t="s">
        <v>12836</v>
      </c>
      <c r="AI673" t="s">
        <v>12837</v>
      </c>
      <c r="AJ673" t="s">
        <v>12838</v>
      </c>
      <c r="BA673" t="str">
        <f>"2599"</f>
        <v>2599</v>
      </c>
      <c r="BB673" t="str">
        <f>"1095"</f>
        <v>1095</v>
      </c>
      <c r="BC673" t="s">
        <v>665</v>
      </c>
      <c r="BD673" t="str">
        <f t="shared" si="156"/>
        <v>1</v>
      </c>
      <c r="BE673" t="s">
        <v>12839</v>
      </c>
      <c r="BF673" t="str">
        <f>"97.56"</f>
        <v>97.56</v>
      </c>
      <c r="BG673" t="str">
        <f>"23.54"</f>
        <v>23.54</v>
      </c>
      <c r="BH673" t="str">
        <f>"36.3"</f>
        <v>36.3</v>
      </c>
      <c r="BI673" t="str">
        <f>"273.37"</f>
        <v>273.37</v>
      </c>
      <c r="BY673" t="str">
        <f>"48.24"</f>
        <v>48.24</v>
      </c>
      <c r="BZ673" t="str">
        <f>"1.366"</f>
        <v>1.366</v>
      </c>
      <c r="CA673" t="s">
        <v>431</v>
      </c>
      <c r="CE673" t="s">
        <v>391</v>
      </c>
      <c r="CF673" t="s">
        <v>12840</v>
      </c>
      <c r="CG673" t="s">
        <v>12841</v>
      </c>
      <c r="CR673" t="s">
        <v>400</v>
      </c>
      <c r="CS673">
        <v>0</v>
      </c>
      <c r="CT673" t="s">
        <v>400</v>
      </c>
      <c r="CV673">
        <v>0</v>
      </c>
      <c r="CX673" t="s">
        <v>1980</v>
      </c>
      <c r="CY673" t="s">
        <v>954</v>
      </c>
      <c r="DA673">
        <v>18.14</v>
      </c>
      <c r="DB673">
        <v>40</v>
      </c>
      <c r="DC673">
        <v>3</v>
      </c>
      <c r="DK673" t="s">
        <v>12842</v>
      </c>
      <c r="DM673" t="s">
        <v>669</v>
      </c>
      <c r="DX673" t="s">
        <v>12843</v>
      </c>
      <c r="EM673" t="s">
        <v>402</v>
      </c>
      <c r="EN673">
        <v>3</v>
      </c>
      <c r="EZ673" t="s">
        <v>12844</v>
      </c>
      <c r="FA673" t="s">
        <v>956</v>
      </c>
      <c r="FB673" t="s">
        <v>12845</v>
      </c>
      <c r="FC673" t="s">
        <v>391</v>
      </c>
      <c r="FD673" t="s">
        <v>4614</v>
      </c>
      <c r="FE673" t="s">
        <v>12841</v>
      </c>
      <c r="FF673">
        <v>0</v>
      </c>
      <c r="FI673">
        <v>6</v>
      </c>
      <c r="FJ673" t="s">
        <v>960</v>
      </c>
      <c r="FK673" t="s">
        <v>1246</v>
      </c>
      <c r="FL673">
        <v>0</v>
      </c>
      <c r="FM673" t="s">
        <v>402</v>
      </c>
      <c r="FO673" t="s">
        <v>984</v>
      </c>
      <c r="GB673" t="s">
        <v>391</v>
      </c>
      <c r="GC673" t="s">
        <v>12840</v>
      </c>
      <c r="GD673" t="s">
        <v>10319</v>
      </c>
      <c r="GR673" t="s">
        <v>391</v>
      </c>
      <c r="GT673" t="s">
        <v>12840</v>
      </c>
      <c r="GV673" t="s">
        <v>12841</v>
      </c>
      <c r="GX673" t="s">
        <v>392</v>
      </c>
      <c r="HE673" t="s">
        <v>391</v>
      </c>
      <c r="HF673" t="s">
        <v>4614</v>
      </c>
      <c r="HG673" t="s">
        <v>10319</v>
      </c>
      <c r="HI673" t="s">
        <v>402</v>
      </c>
    </row>
    <row r="674" spans="1:263" x14ac:dyDescent="0.25">
      <c r="A674" t="s">
        <v>12846</v>
      </c>
      <c r="B674" t="str">
        <f>"801542363048"</f>
        <v>801542363048</v>
      </c>
      <c r="C674" t="s">
        <v>12847</v>
      </c>
      <c r="D674" t="s">
        <v>12848</v>
      </c>
      <c r="E674" t="s">
        <v>930</v>
      </c>
      <c r="G674" t="str">
        <f>"96"</f>
        <v>96</v>
      </c>
      <c r="H674" t="str">
        <f>"20"</f>
        <v>20</v>
      </c>
      <c r="I674" t="str">
        <f>"33"</f>
        <v>33</v>
      </c>
      <c r="J674" t="str">
        <f>"224.45"</f>
        <v>224.45</v>
      </c>
      <c r="K674" t="s">
        <v>12849</v>
      </c>
      <c r="N674" t="s">
        <v>1970</v>
      </c>
      <c r="T674" t="s">
        <v>373</v>
      </c>
      <c r="U674" t="s">
        <v>373</v>
      </c>
      <c r="V674" t="s">
        <v>12850</v>
      </c>
      <c r="W674" t="s">
        <v>12851</v>
      </c>
      <c r="X674" t="s">
        <v>12852</v>
      </c>
      <c r="Y674" t="s">
        <v>12853</v>
      </c>
      <c r="Z674" t="s">
        <v>12854</v>
      </c>
      <c r="AA674" t="s">
        <v>12855</v>
      </c>
      <c r="AB674" t="s">
        <v>12856</v>
      </c>
      <c r="AC674" t="s">
        <v>12857</v>
      </c>
      <c r="AD674" t="s">
        <v>12858</v>
      </c>
      <c r="AE674" t="s">
        <v>12859</v>
      </c>
      <c r="AF674" t="s">
        <v>12860</v>
      </c>
      <c r="AG674" t="s">
        <v>12861</v>
      </c>
      <c r="AH674" t="s">
        <v>12862</v>
      </c>
      <c r="AI674" t="s">
        <v>12863</v>
      </c>
      <c r="AJ674" t="s">
        <v>12864</v>
      </c>
      <c r="AK674" t="s">
        <v>12865</v>
      </c>
      <c r="AL674" t="s">
        <v>12866</v>
      </c>
      <c r="AM674" t="s">
        <v>12867</v>
      </c>
      <c r="AN674" t="s">
        <v>12868</v>
      </c>
      <c r="AO674" t="s">
        <v>12869</v>
      </c>
      <c r="AP674" t="s">
        <v>12870</v>
      </c>
      <c r="BA674" t="str">
        <f>"2299"</f>
        <v>2299</v>
      </c>
      <c r="BB674" t="str">
        <f>"970"</f>
        <v>970</v>
      </c>
      <c r="BC674" t="s">
        <v>949</v>
      </c>
      <c r="BD674" t="str">
        <f t="shared" si="156"/>
        <v>1</v>
      </c>
      <c r="BE674" t="s">
        <v>389</v>
      </c>
      <c r="BF674" t="str">
        <f>"99.5"</f>
        <v>99.5</v>
      </c>
      <c r="BG674" t="str">
        <f>"24"</f>
        <v>24</v>
      </c>
      <c r="BH674" t="str">
        <f>"38.5"</f>
        <v>38.5</v>
      </c>
      <c r="BI674" t="str">
        <f>"321.76"</f>
        <v>321.76</v>
      </c>
      <c r="BY674" t="str">
        <f>"53.22"</f>
        <v>53.22</v>
      </c>
      <c r="BZ674" t="str">
        <f>"1.507"</f>
        <v>1.507</v>
      </c>
      <c r="CA674" t="s">
        <v>431</v>
      </c>
      <c r="CE674" t="s">
        <v>449</v>
      </c>
      <c r="CF674" t="s">
        <v>1092</v>
      </c>
      <c r="CG674" t="s">
        <v>3482</v>
      </c>
      <c r="CR674" t="s">
        <v>400</v>
      </c>
      <c r="CS674">
        <v>0</v>
      </c>
      <c r="CT674" t="s">
        <v>400</v>
      </c>
      <c r="CV674">
        <v>0</v>
      </c>
      <c r="CX674" t="s">
        <v>12871</v>
      </c>
      <c r="CY674" t="s">
        <v>954</v>
      </c>
      <c r="DA674">
        <v>18.14</v>
      </c>
      <c r="DB674">
        <v>40</v>
      </c>
      <c r="DC674">
        <v>3</v>
      </c>
      <c r="DK674" t="s">
        <v>12872</v>
      </c>
      <c r="DM674" t="s">
        <v>669</v>
      </c>
      <c r="DX674" t="s">
        <v>1852</v>
      </c>
      <c r="EM674" t="s">
        <v>402</v>
      </c>
      <c r="EN674">
        <v>3</v>
      </c>
      <c r="EZ674" t="s">
        <v>2083</v>
      </c>
      <c r="FA674" t="s">
        <v>3483</v>
      </c>
      <c r="FB674" t="s">
        <v>4976</v>
      </c>
      <c r="FC674" t="s">
        <v>511</v>
      </c>
      <c r="FD674" t="s">
        <v>3483</v>
      </c>
      <c r="FE674" t="s">
        <v>3482</v>
      </c>
      <c r="FF674">
        <v>0</v>
      </c>
      <c r="FG674" t="s">
        <v>402</v>
      </c>
      <c r="FI674">
        <v>6</v>
      </c>
      <c r="FJ674" t="s">
        <v>960</v>
      </c>
      <c r="FK674" t="s">
        <v>1246</v>
      </c>
      <c r="FL674">
        <v>0</v>
      </c>
      <c r="FM674" t="s">
        <v>402</v>
      </c>
      <c r="FO674" t="s">
        <v>984</v>
      </c>
      <c r="GB674" t="s">
        <v>449</v>
      </c>
      <c r="GC674" t="s">
        <v>1092</v>
      </c>
      <c r="GD674" t="s">
        <v>3482</v>
      </c>
      <c r="GR674" t="s">
        <v>449</v>
      </c>
      <c r="GT674" t="s">
        <v>1092</v>
      </c>
      <c r="GV674" t="s">
        <v>3482</v>
      </c>
    </row>
    <row r="675" spans="1:263" x14ac:dyDescent="0.25">
      <c r="A675" t="s">
        <v>12873</v>
      </c>
      <c r="B675" t="str">
        <f>"801542150693"</f>
        <v>801542150693</v>
      </c>
      <c r="C675" t="s">
        <v>12874</v>
      </c>
      <c r="D675" t="s">
        <v>5460</v>
      </c>
      <c r="E675" t="s">
        <v>2006</v>
      </c>
      <c r="F675" t="s">
        <v>2007</v>
      </c>
      <c r="G675" t="str">
        <f>"65"</f>
        <v>65</v>
      </c>
      <c r="H675" t="str">
        <f>"88.5"</f>
        <v>88.5</v>
      </c>
      <c r="I675" t="str">
        <f>"54"</f>
        <v>54</v>
      </c>
      <c r="J675" t="str">
        <f>"196.21"</f>
        <v>196.21</v>
      </c>
      <c r="K675" t="s">
        <v>12875</v>
      </c>
      <c r="L675" t="s">
        <v>12876</v>
      </c>
      <c r="M675" t="s">
        <v>12202</v>
      </c>
      <c r="N675" t="s">
        <v>12877</v>
      </c>
      <c r="O675" t="s">
        <v>12878</v>
      </c>
      <c r="P675" t="s">
        <v>1424</v>
      </c>
      <c r="Q675" t="s">
        <v>1423</v>
      </c>
      <c r="T675" t="s">
        <v>373</v>
      </c>
      <c r="U675" t="s">
        <v>402</v>
      </c>
      <c r="V675" t="s">
        <v>12879</v>
      </c>
      <c r="W675" t="s">
        <v>12880</v>
      </c>
      <c r="X675" t="s">
        <v>12881</v>
      </c>
      <c r="Y675" t="s">
        <v>12882</v>
      </c>
      <c r="Z675" t="s">
        <v>12883</v>
      </c>
      <c r="AA675" t="s">
        <v>12884</v>
      </c>
      <c r="AB675" t="s">
        <v>12885</v>
      </c>
      <c r="AC675" t="s">
        <v>12886</v>
      </c>
      <c r="AD675" t="s">
        <v>12887</v>
      </c>
      <c r="AE675" t="s">
        <v>12888</v>
      </c>
      <c r="AF675" t="s">
        <v>12889</v>
      </c>
      <c r="AG675" t="s">
        <v>12890</v>
      </c>
      <c r="AH675" t="s">
        <v>12891</v>
      </c>
      <c r="AI675" t="s">
        <v>12892</v>
      </c>
      <c r="BA675" t="str">
        <f>"2099"</f>
        <v>2099</v>
      </c>
      <c r="BB675" t="str">
        <f>"885"</f>
        <v>885</v>
      </c>
      <c r="BC675" t="s">
        <v>665</v>
      </c>
      <c r="BD675" t="str">
        <f t="shared" ref="BD675:BD680" si="158">"2"</f>
        <v>2</v>
      </c>
      <c r="BE675" t="s">
        <v>6809</v>
      </c>
      <c r="BF675" t="str">
        <f>"69.69"</f>
        <v>69.69</v>
      </c>
      <c r="BG675" t="str">
        <f>"59.06"</f>
        <v>59.06</v>
      </c>
      <c r="BH675" t="str">
        <f>"9.25"</f>
        <v>9.25</v>
      </c>
      <c r="BI675" t="str">
        <f>"125.66"</f>
        <v>125.66</v>
      </c>
      <c r="BJ675" t="s">
        <v>12893</v>
      </c>
      <c r="BK675" t="str">
        <f>"89.76"</f>
        <v>89.76</v>
      </c>
      <c r="BL675" t="str">
        <f>"15.75"</f>
        <v>15.75</v>
      </c>
      <c r="BM675" t="str">
        <f>"13.98"</f>
        <v>13.98</v>
      </c>
      <c r="BN675" t="str">
        <f>"110.23"</f>
        <v>110.23</v>
      </c>
      <c r="BY675" t="str">
        <f>"33.48"</f>
        <v>33.48</v>
      </c>
      <c r="BZ675" t="str">
        <f>"0.948"</f>
        <v>0.948</v>
      </c>
      <c r="CA675" t="s">
        <v>495</v>
      </c>
      <c r="CQ675" t="s">
        <v>631</v>
      </c>
      <c r="CR675" t="s">
        <v>400</v>
      </c>
      <c r="CS675">
        <v>0</v>
      </c>
      <c r="CT675" t="s">
        <v>400</v>
      </c>
      <c r="CV675">
        <v>0</v>
      </c>
      <c r="CX675" t="s">
        <v>667</v>
      </c>
      <c r="CY675" t="s">
        <v>400</v>
      </c>
      <c r="DA675">
        <v>0</v>
      </c>
      <c r="DB675">
        <v>0</v>
      </c>
      <c r="DC675">
        <v>0</v>
      </c>
      <c r="DD675">
        <v>25000</v>
      </c>
      <c r="DK675" t="s">
        <v>12220</v>
      </c>
      <c r="DM675" t="s">
        <v>2028</v>
      </c>
      <c r="EN675">
        <v>0</v>
      </c>
      <c r="ET675" t="s">
        <v>549</v>
      </c>
      <c r="HN675" t="s">
        <v>3079</v>
      </c>
      <c r="HO675" t="s">
        <v>3079</v>
      </c>
      <c r="HP675" t="s">
        <v>3079</v>
      </c>
      <c r="HQ675" t="s">
        <v>638</v>
      </c>
      <c r="HR675" t="s">
        <v>392</v>
      </c>
      <c r="HS675" t="s">
        <v>12894</v>
      </c>
      <c r="HT675" t="s">
        <v>12895</v>
      </c>
      <c r="HU675" t="s">
        <v>5881</v>
      </c>
      <c r="HV675" t="s">
        <v>12894</v>
      </c>
      <c r="HW675" t="s">
        <v>2171</v>
      </c>
      <c r="HX675" t="s">
        <v>392</v>
      </c>
      <c r="HY675" t="s">
        <v>5145</v>
      </c>
      <c r="HZ675" t="s">
        <v>3188</v>
      </c>
      <c r="IA675" t="s">
        <v>12896</v>
      </c>
      <c r="IB675" t="s">
        <v>392</v>
      </c>
      <c r="IC675" t="s">
        <v>402</v>
      </c>
      <c r="ID675" t="s">
        <v>3519</v>
      </c>
      <c r="IE675" t="s">
        <v>2037</v>
      </c>
      <c r="IF675" t="s">
        <v>2177</v>
      </c>
      <c r="IG675" t="s">
        <v>2007</v>
      </c>
      <c r="IM675" t="s">
        <v>395</v>
      </c>
      <c r="IN675" t="s">
        <v>3252</v>
      </c>
      <c r="IP675" t="s">
        <v>402</v>
      </c>
      <c r="IQ675" t="s">
        <v>3522</v>
      </c>
    </row>
    <row r="676" spans="1:263" x14ac:dyDescent="0.25">
      <c r="A676" t="s">
        <v>12897</v>
      </c>
      <c r="B676" t="str">
        <f>"801542150679"</f>
        <v>801542150679</v>
      </c>
      <c r="C676" t="s">
        <v>12874</v>
      </c>
      <c r="D676" t="s">
        <v>5460</v>
      </c>
      <c r="E676" t="s">
        <v>2006</v>
      </c>
      <c r="F676" t="s">
        <v>2040</v>
      </c>
      <c r="G676" t="str">
        <f>"81"</f>
        <v>81</v>
      </c>
      <c r="H676" t="str">
        <f>"88.5"</f>
        <v>88.5</v>
      </c>
      <c r="I676" t="str">
        <f>"54"</f>
        <v>54</v>
      </c>
      <c r="J676" t="str">
        <f>"248.02"</f>
        <v>248.02</v>
      </c>
      <c r="K676" t="s">
        <v>12875</v>
      </c>
      <c r="L676" t="s">
        <v>12876</v>
      </c>
      <c r="M676" t="s">
        <v>12202</v>
      </c>
      <c r="N676" t="s">
        <v>12877</v>
      </c>
      <c r="O676" t="s">
        <v>12878</v>
      </c>
      <c r="P676" t="s">
        <v>1424</v>
      </c>
      <c r="Q676" t="s">
        <v>1423</v>
      </c>
      <c r="T676" t="s">
        <v>373</v>
      </c>
      <c r="U676" t="s">
        <v>402</v>
      </c>
      <c r="V676" t="s">
        <v>12879</v>
      </c>
      <c r="W676" t="s">
        <v>12898</v>
      </c>
      <c r="X676" t="s">
        <v>12899</v>
      </c>
      <c r="Y676" t="s">
        <v>12900</v>
      </c>
      <c r="Z676" t="s">
        <v>12901</v>
      </c>
      <c r="AA676" t="s">
        <v>12902</v>
      </c>
      <c r="AB676" t="s">
        <v>12903</v>
      </c>
      <c r="AC676" t="s">
        <v>12904</v>
      </c>
      <c r="AD676" t="s">
        <v>12905</v>
      </c>
      <c r="AE676" t="s">
        <v>12906</v>
      </c>
      <c r="AF676" t="s">
        <v>12907</v>
      </c>
      <c r="AG676" t="s">
        <v>12908</v>
      </c>
      <c r="AH676" t="s">
        <v>12909</v>
      </c>
      <c r="BA676" t="str">
        <f>"2399"</f>
        <v>2399</v>
      </c>
      <c r="BB676" t="str">
        <f>"1010"</f>
        <v>1010</v>
      </c>
      <c r="BC676" t="s">
        <v>665</v>
      </c>
      <c r="BD676" t="str">
        <f t="shared" si="158"/>
        <v>2</v>
      </c>
      <c r="BE676" t="s">
        <v>6809</v>
      </c>
      <c r="BF676" t="str">
        <f>"86.22"</f>
        <v>86.22</v>
      </c>
      <c r="BG676" t="str">
        <f>"9.25"</f>
        <v>9.25</v>
      </c>
      <c r="BH676" t="str">
        <f>"59.84"</f>
        <v>59.84</v>
      </c>
      <c r="BI676" t="str">
        <f>"167.55"</f>
        <v>167.55</v>
      </c>
      <c r="BJ676" t="s">
        <v>12893</v>
      </c>
      <c r="BK676" t="str">
        <f>"90.94"</f>
        <v>90.94</v>
      </c>
      <c r="BL676" t="str">
        <f>"15.55"</f>
        <v>15.55</v>
      </c>
      <c r="BM676" t="str">
        <f>"13.58"</f>
        <v>13.58</v>
      </c>
      <c r="BN676" t="str">
        <f>"125.66"</f>
        <v>125.66</v>
      </c>
      <c r="BY676" t="str">
        <f>"38.74"</f>
        <v>38.74</v>
      </c>
      <c r="BZ676" t="str">
        <f>"1.097"</f>
        <v>1.097</v>
      </c>
      <c r="CA676" t="s">
        <v>390</v>
      </c>
      <c r="CQ676" t="s">
        <v>631</v>
      </c>
      <c r="CR676" t="s">
        <v>400</v>
      </c>
      <c r="CS676">
        <v>0</v>
      </c>
      <c r="CT676" t="s">
        <v>400</v>
      </c>
      <c r="CV676">
        <v>0</v>
      </c>
      <c r="CX676" t="s">
        <v>667</v>
      </c>
      <c r="CY676" t="s">
        <v>400</v>
      </c>
      <c r="DA676">
        <v>0</v>
      </c>
      <c r="DB676">
        <v>0</v>
      </c>
      <c r="DC676">
        <v>0</v>
      </c>
      <c r="DD676">
        <v>25000</v>
      </c>
      <c r="DK676" t="s">
        <v>12220</v>
      </c>
      <c r="DM676" t="s">
        <v>2028</v>
      </c>
      <c r="EN676">
        <v>0</v>
      </c>
      <c r="ET676" t="s">
        <v>549</v>
      </c>
      <c r="HN676" t="s">
        <v>3079</v>
      </c>
      <c r="HO676" t="s">
        <v>3079</v>
      </c>
      <c r="HP676" t="s">
        <v>3079</v>
      </c>
      <c r="HQ676" t="s">
        <v>638</v>
      </c>
      <c r="HR676" t="s">
        <v>392</v>
      </c>
      <c r="HS676" t="s">
        <v>12910</v>
      </c>
      <c r="HT676" t="s">
        <v>12895</v>
      </c>
      <c r="HU676" t="s">
        <v>543</v>
      </c>
      <c r="HV676" t="s">
        <v>12910</v>
      </c>
      <c r="HW676" t="s">
        <v>2171</v>
      </c>
      <c r="HX676" t="s">
        <v>392</v>
      </c>
      <c r="HY676" t="s">
        <v>6976</v>
      </c>
      <c r="HZ676" t="s">
        <v>3188</v>
      </c>
      <c r="IA676" t="s">
        <v>12911</v>
      </c>
      <c r="IB676" t="s">
        <v>392</v>
      </c>
      <c r="IC676" t="s">
        <v>402</v>
      </c>
      <c r="ID676" t="s">
        <v>3519</v>
      </c>
      <c r="IE676" t="s">
        <v>2037</v>
      </c>
      <c r="IF676" t="s">
        <v>2177</v>
      </c>
      <c r="IG676" t="s">
        <v>2040</v>
      </c>
      <c r="IM676" t="s">
        <v>395</v>
      </c>
      <c r="IN676" t="s">
        <v>3252</v>
      </c>
      <c r="IP676" t="s">
        <v>402</v>
      </c>
      <c r="IQ676" t="s">
        <v>3522</v>
      </c>
    </row>
    <row r="677" spans="1:263" x14ac:dyDescent="0.25">
      <c r="A677" t="s">
        <v>12912</v>
      </c>
      <c r="B677" t="str">
        <f>"801542158095"</f>
        <v>801542158095</v>
      </c>
      <c r="C677" t="s">
        <v>7517</v>
      </c>
      <c r="D677" t="s">
        <v>1420</v>
      </c>
      <c r="E677" t="s">
        <v>1077</v>
      </c>
      <c r="G677" t="str">
        <f>"65"</f>
        <v>65</v>
      </c>
      <c r="H677" t="str">
        <f>"35"</f>
        <v>35</v>
      </c>
      <c r="I677" t="str">
        <f>"17"</f>
        <v>17</v>
      </c>
      <c r="J677" t="str">
        <f>"72.75"</f>
        <v>72.75</v>
      </c>
      <c r="K677" t="s">
        <v>7518</v>
      </c>
      <c r="L677" t="s">
        <v>7519</v>
      </c>
      <c r="N677" t="s">
        <v>1423</v>
      </c>
      <c r="O677" t="s">
        <v>1424</v>
      </c>
      <c r="T677" t="s">
        <v>373</v>
      </c>
      <c r="U677" t="s">
        <v>373</v>
      </c>
      <c r="V677" t="s">
        <v>12913</v>
      </c>
      <c r="W677" t="s">
        <v>12914</v>
      </c>
      <c r="X677" t="s">
        <v>12915</v>
      </c>
      <c r="Y677" t="s">
        <v>12916</v>
      </c>
      <c r="Z677" t="s">
        <v>12917</v>
      </c>
      <c r="AA677" t="s">
        <v>12918</v>
      </c>
      <c r="AB677" t="s">
        <v>12919</v>
      </c>
      <c r="AC677" t="s">
        <v>12920</v>
      </c>
      <c r="AD677" t="s">
        <v>12921</v>
      </c>
      <c r="AE677" t="s">
        <v>12922</v>
      </c>
      <c r="AF677" t="s">
        <v>12923</v>
      </c>
      <c r="BA677" t="str">
        <f>"999"</f>
        <v>999</v>
      </c>
      <c r="BB677" t="str">
        <f>"420"</f>
        <v>420</v>
      </c>
      <c r="BC677" t="s">
        <v>665</v>
      </c>
      <c r="BD677" t="str">
        <f t="shared" si="158"/>
        <v>2</v>
      </c>
      <c r="BE677" t="s">
        <v>1089</v>
      </c>
      <c r="BF677" t="str">
        <f>"68.5"</f>
        <v>68.5</v>
      </c>
      <c r="BG677" t="str">
        <f>"4.72"</f>
        <v>4.72</v>
      </c>
      <c r="BH677" t="str">
        <f>"38.7"</f>
        <v>38.7</v>
      </c>
      <c r="BI677" t="str">
        <f>"61.73"</f>
        <v>61.73</v>
      </c>
      <c r="BJ677" t="s">
        <v>1090</v>
      </c>
      <c r="BK677" t="str">
        <f>"27.56"</f>
        <v>27.56</v>
      </c>
      <c r="BL677" t="str">
        <f>"26.38"</f>
        <v>26.38</v>
      </c>
      <c r="BM677" t="str">
        <f>"20.08"</f>
        <v>20.08</v>
      </c>
      <c r="BN677" t="str">
        <f>"38.58"</f>
        <v>38.58</v>
      </c>
      <c r="BY677" t="str">
        <f>"15.68"</f>
        <v>15.68</v>
      </c>
      <c r="BZ677" t="str">
        <f>"0.444"</f>
        <v>0.444</v>
      </c>
      <c r="CA677" t="s">
        <v>390</v>
      </c>
      <c r="CR677" t="s">
        <v>400</v>
      </c>
      <c r="CS677">
        <v>0</v>
      </c>
      <c r="CT677" t="s">
        <v>400</v>
      </c>
      <c r="CV677">
        <v>0</v>
      </c>
      <c r="CX677" t="s">
        <v>953</v>
      </c>
      <c r="CY677" t="s">
        <v>400</v>
      </c>
      <c r="DC677">
        <v>0</v>
      </c>
      <c r="DJ677" t="s">
        <v>1437</v>
      </c>
      <c r="DK677" t="s">
        <v>1438</v>
      </c>
      <c r="DM677" t="s">
        <v>473</v>
      </c>
      <c r="DX677" t="s">
        <v>8683</v>
      </c>
      <c r="DZ677" t="s">
        <v>12924</v>
      </c>
      <c r="EI677" t="s">
        <v>2601</v>
      </c>
      <c r="EJ677" t="s">
        <v>8683</v>
      </c>
      <c r="EK677" t="s">
        <v>2240</v>
      </c>
      <c r="EL677" t="s">
        <v>1441</v>
      </c>
      <c r="EM677" t="s">
        <v>402</v>
      </c>
      <c r="EN677">
        <v>0</v>
      </c>
      <c r="EO677">
        <v>0</v>
      </c>
      <c r="EX677" t="s">
        <v>7533</v>
      </c>
    </row>
    <row r="678" spans="1:263" x14ac:dyDescent="0.25">
      <c r="A678" t="s">
        <v>12925</v>
      </c>
      <c r="B678" t="str">
        <f>"801542184575"</f>
        <v>801542184575</v>
      </c>
      <c r="C678" t="s">
        <v>7549</v>
      </c>
      <c r="D678" t="s">
        <v>1420</v>
      </c>
      <c r="E678" t="s">
        <v>1077</v>
      </c>
      <c r="G678" t="str">
        <f>"65"</f>
        <v>65</v>
      </c>
      <c r="H678" t="str">
        <f>"35"</f>
        <v>35</v>
      </c>
      <c r="I678" t="str">
        <f>"17"</f>
        <v>17</v>
      </c>
      <c r="J678" t="str">
        <f>"72.75"</f>
        <v>72.75</v>
      </c>
      <c r="K678" t="s">
        <v>1446</v>
      </c>
      <c r="L678" t="s">
        <v>1447</v>
      </c>
      <c r="N678" t="s">
        <v>1423</v>
      </c>
      <c r="O678" t="s">
        <v>1424</v>
      </c>
      <c r="T678" t="s">
        <v>373</v>
      </c>
      <c r="U678" t="s">
        <v>373</v>
      </c>
      <c r="W678" t="s">
        <v>12926</v>
      </c>
      <c r="X678" t="s">
        <v>12927</v>
      </c>
      <c r="Y678" t="s">
        <v>12928</v>
      </c>
      <c r="Z678" t="s">
        <v>12929</v>
      </c>
      <c r="AA678" t="s">
        <v>12930</v>
      </c>
      <c r="AB678" t="s">
        <v>12931</v>
      </c>
      <c r="AC678" t="s">
        <v>12932</v>
      </c>
      <c r="AD678" t="s">
        <v>12933</v>
      </c>
      <c r="AE678" t="s">
        <v>12934</v>
      </c>
      <c r="AF678" t="s">
        <v>12935</v>
      </c>
      <c r="AG678" t="s">
        <v>12936</v>
      </c>
      <c r="BA678" t="str">
        <f>"999"</f>
        <v>999</v>
      </c>
      <c r="BB678" t="str">
        <f>"420"</f>
        <v>420</v>
      </c>
      <c r="BC678" t="s">
        <v>665</v>
      </c>
      <c r="BD678" t="str">
        <f t="shared" si="158"/>
        <v>2</v>
      </c>
      <c r="BE678" t="s">
        <v>1089</v>
      </c>
      <c r="BF678" t="str">
        <f>"68.5"</f>
        <v>68.5</v>
      </c>
      <c r="BG678" t="str">
        <f>"4.72"</f>
        <v>4.72</v>
      </c>
      <c r="BH678" t="str">
        <f>"38.7"</f>
        <v>38.7</v>
      </c>
      <c r="BI678" t="str">
        <f>"61.73"</f>
        <v>61.73</v>
      </c>
      <c r="BJ678" t="s">
        <v>1090</v>
      </c>
      <c r="BK678" t="str">
        <f>"27.56"</f>
        <v>27.56</v>
      </c>
      <c r="BL678" t="str">
        <f>"26.38"</f>
        <v>26.38</v>
      </c>
      <c r="BM678" t="str">
        <f>"20.08"</f>
        <v>20.08</v>
      </c>
      <c r="BN678" t="str">
        <f>"38.58"</f>
        <v>38.58</v>
      </c>
      <c r="BY678" t="str">
        <f>"15.68"</f>
        <v>15.68</v>
      </c>
      <c r="BZ678" t="str">
        <f>"0.444"</f>
        <v>0.444</v>
      </c>
      <c r="CA678" t="s">
        <v>390</v>
      </c>
      <c r="CR678" t="s">
        <v>400</v>
      </c>
      <c r="CS678">
        <v>0</v>
      </c>
      <c r="CT678" t="s">
        <v>400</v>
      </c>
      <c r="CV678">
        <v>0</v>
      </c>
      <c r="CX678" t="s">
        <v>953</v>
      </c>
      <c r="CY678" t="s">
        <v>400</v>
      </c>
      <c r="DC678">
        <v>0</v>
      </c>
      <c r="DJ678" t="s">
        <v>1437</v>
      </c>
      <c r="DK678" t="s">
        <v>1438</v>
      </c>
      <c r="DM678" t="s">
        <v>473</v>
      </c>
      <c r="DX678" t="s">
        <v>8683</v>
      </c>
      <c r="DZ678" t="s">
        <v>12924</v>
      </c>
      <c r="EI678" t="s">
        <v>2601</v>
      </c>
      <c r="EJ678" t="s">
        <v>8683</v>
      </c>
      <c r="EK678" t="s">
        <v>2240</v>
      </c>
      <c r="EL678" t="s">
        <v>1441</v>
      </c>
      <c r="EM678" t="s">
        <v>402</v>
      </c>
      <c r="EN678">
        <v>0</v>
      </c>
      <c r="EO678">
        <v>0</v>
      </c>
      <c r="EX678" t="s">
        <v>7533</v>
      </c>
    </row>
    <row r="679" spans="1:263" x14ac:dyDescent="0.25">
      <c r="A679" t="s">
        <v>12937</v>
      </c>
      <c r="B679" t="str">
        <f>"198394019750"</f>
        <v>198394019750</v>
      </c>
      <c r="C679" t="s">
        <v>7562</v>
      </c>
      <c r="D679" t="s">
        <v>1420</v>
      </c>
      <c r="E679" t="s">
        <v>1077</v>
      </c>
      <c r="G679" t="str">
        <f>"65"</f>
        <v>65</v>
      </c>
      <c r="H679" t="str">
        <f>"35"</f>
        <v>35</v>
      </c>
      <c r="I679" t="str">
        <f>"17"</f>
        <v>17</v>
      </c>
      <c r="J679" t="str">
        <f>"94.8"</f>
        <v>94.8</v>
      </c>
      <c r="K679" t="s">
        <v>1462</v>
      </c>
      <c r="N679" t="s">
        <v>1463</v>
      </c>
      <c r="O679" t="s">
        <v>372</v>
      </c>
      <c r="T679" t="s">
        <v>373</v>
      </c>
      <c r="U679" t="s">
        <v>373</v>
      </c>
      <c r="V679" t="s">
        <v>12938</v>
      </c>
      <c r="W679" t="s">
        <v>12939</v>
      </c>
      <c r="X679" t="s">
        <v>12940</v>
      </c>
      <c r="Y679" t="s">
        <v>12941</v>
      </c>
      <c r="Z679" t="s">
        <v>12942</v>
      </c>
      <c r="AA679" t="s">
        <v>12943</v>
      </c>
      <c r="AB679" t="s">
        <v>12944</v>
      </c>
      <c r="AC679" t="s">
        <v>12945</v>
      </c>
      <c r="AD679" t="s">
        <v>12946</v>
      </c>
      <c r="AE679" t="s">
        <v>12947</v>
      </c>
      <c r="AF679" t="s">
        <v>12948</v>
      </c>
      <c r="BA679" t="str">
        <f>"1199"</f>
        <v>1199</v>
      </c>
      <c r="BB679" t="str">
        <f>"505"</f>
        <v>505</v>
      </c>
      <c r="BC679" t="s">
        <v>665</v>
      </c>
      <c r="BD679" t="str">
        <f t="shared" si="158"/>
        <v>2</v>
      </c>
      <c r="BE679" t="s">
        <v>1089</v>
      </c>
      <c r="BF679" t="str">
        <f>"68.5"</f>
        <v>68.5</v>
      </c>
      <c r="BG679" t="str">
        <f>"4.72"</f>
        <v>4.72</v>
      </c>
      <c r="BH679" t="str">
        <f>"38.7"</f>
        <v>38.7</v>
      </c>
      <c r="BI679" t="str">
        <f>"80.47"</f>
        <v>80.47</v>
      </c>
      <c r="BJ679" t="s">
        <v>1090</v>
      </c>
      <c r="BK679" t="str">
        <f>"27.56"</f>
        <v>27.56</v>
      </c>
      <c r="BL679" t="str">
        <f>"26.38"</f>
        <v>26.38</v>
      </c>
      <c r="BM679" t="str">
        <f>"20.08"</f>
        <v>20.08</v>
      </c>
      <c r="BN679" t="str">
        <f>"41.89"</f>
        <v>41.89</v>
      </c>
      <c r="BY679" t="str">
        <f>"15.68"</f>
        <v>15.68</v>
      </c>
      <c r="BZ679" t="str">
        <f>"0.444"</f>
        <v>0.444</v>
      </c>
      <c r="CA679" t="s">
        <v>495</v>
      </c>
      <c r="CR679" t="s">
        <v>400</v>
      </c>
      <c r="CS679">
        <v>0</v>
      </c>
      <c r="CT679" t="s">
        <v>400</v>
      </c>
      <c r="CV679">
        <v>0</v>
      </c>
      <c r="CX679" t="s">
        <v>953</v>
      </c>
      <c r="CY679" t="s">
        <v>400</v>
      </c>
      <c r="DC679">
        <v>0</v>
      </c>
      <c r="DJ679" t="s">
        <v>1437</v>
      </c>
      <c r="DK679" t="s">
        <v>1438</v>
      </c>
      <c r="DM679" t="s">
        <v>473</v>
      </c>
      <c r="DX679" t="s">
        <v>8683</v>
      </c>
      <c r="DZ679" t="s">
        <v>12924</v>
      </c>
      <c r="EI679" t="s">
        <v>2601</v>
      </c>
      <c r="EJ679" t="s">
        <v>8683</v>
      </c>
      <c r="EK679" t="s">
        <v>2240</v>
      </c>
      <c r="EL679" t="s">
        <v>1441</v>
      </c>
      <c r="EM679" t="s">
        <v>402</v>
      </c>
      <c r="EN679">
        <v>0</v>
      </c>
      <c r="EO679">
        <v>0</v>
      </c>
      <c r="EX679" t="s">
        <v>7533</v>
      </c>
    </row>
    <row r="680" spans="1:263" x14ac:dyDescent="0.25">
      <c r="A680" t="s">
        <v>12949</v>
      </c>
      <c r="B680" t="str">
        <f>"801542147372"</f>
        <v>801542147372</v>
      </c>
      <c r="C680" t="s">
        <v>12950</v>
      </c>
      <c r="D680" t="s">
        <v>3406</v>
      </c>
      <c r="E680" t="s">
        <v>647</v>
      </c>
      <c r="F680" t="s">
        <v>648</v>
      </c>
      <c r="G680" t="str">
        <f>"96"</f>
        <v>96</v>
      </c>
      <c r="H680" t="str">
        <f>"42"</f>
        <v>42</v>
      </c>
      <c r="I680" t="str">
        <f>"30"</f>
        <v>30</v>
      </c>
      <c r="J680" t="str">
        <f>"178.13"</f>
        <v>178.13</v>
      </c>
      <c r="K680" t="s">
        <v>12951</v>
      </c>
      <c r="N680" t="s">
        <v>1970</v>
      </c>
      <c r="O680" t="s">
        <v>372</v>
      </c>
      <c r="T680" t="s">
        <v>373</v>
      </c>
      <c r="U680" t="s">
        <v>373</v>
      </c>
      <c r="V680" t="s">
        <v>12952</v>
      </c>
      <c r="W680" t="s">
        <v>12953</v>
      </c>
      <c r="X680" t="s">
        <v>12954</v>
      </c>
      <c r="Y680" t="s">
        <v>12955</v>
      </c>
      <c r="Z680" t="s">
        <v>12956</v>
      </c>
      <c r="AA680" t="s">
        <v>12957</v>
      </c>
      <c r="AB680" t="s">
        <v>12958</v>
      </c>
      <c r="AC680" t="s">
        <v>12959</v>
      </c>
      <c r="AD680" t="s">
        <v>12960</v>
      </c>
      <c r="AE680" t="s">
        <v>12961</v>
      </c>
      <c r="AF680" t="s">
        <v>12962</v>
      </c>
      <c r="AG680" t="s">
        <v>12963</v>
      </c>
      <c r="AH680" t="s">
        <v>12964</v>
      </c>
      <c r="AI680" t="s">
        <v>12965</v>
      </c>
      <c r="BA680" t="str">
        <f>"2599"</f>
        <v>2599</v>
      </c>
      <c r="BB680" t="str">
        <f>"1095"</f>
        <v>1095</v>
      </c>
      <c r="BC680" t="s">
        <v>388</v>
      </c>
      <c r="BD680" t="str">
        <f t="shared" si="158"/>
        <v>2</v>
      </c>
      <c r="BE680" t="s">
        <v>1089</v>
      </c>
      <c r="BF680" t="str">
        <f>"100"</f>
        <v>100</v>
      </c>
      <c r="BG680" t="str">
        <f>"5.91"</f>
        <v>5.91</v>
      </c>
      <c r="BH680" t="str">
        <f>"45.47"</f>
        <v>45.47</v>
      </c>
      <c r="BI680" t="str">
        <f>"142.86"</f>
        <v>142.86</v>
      </c>
      <c r="BJ680" t="s">
        <v>1090</v>
      </c>
      <c r="BK680" t="str">
        <f>"25.59"</f>
        <v>25.59</v>
      </c>
      <c r="BL680" t="str">
        <f>"14.96"</f>
        <v>14.96</v>
      </c>
      <c r="BM680" t="str">
        <f>"31.1"</f>
        <v>31.1</v>
      </c>
      <c r="BN680" t="str">
        <f>"59.52"</f>
        <v>59.52</v>
      </c>
      <c r="BY680" t="str">
        <f>"22.42"</f>
        <v>22.42</v>
      </c>
      <c r="BZ680" t="str">
        <f>"0.635"</f>
        <v>0.635</v>
      </c>
      <c r="CA680" t="s">
        <v>495</v>
      </c>
      <c r="CR680" t="s">
        <v>400</v>
      </c>
      <c r="CS680">
        <v>0</v>
      </c>
      <c r="CT680" t="s">
        <v>400</v>
      </c>
      <c r="CV680">
        <v>0</v>
      </c>
      <c r="CX680" t="s">
        <v>1241</v>
      </c>
      <c r="CY680" t="s">
        <v>400</v>
      </c>
      <c r="DA680">
        <v>0</v>
      </c>
      <c r="DB680">
        <v>0</v>
      </c>
      <c r="DC680">
        <v>0</v>
      </c>
      <c r="DI680">
        <v>10</v>
      </c>
      <c r="DJ680" t="s">
        <v>408</v>
      </c>
      <c r="DK680" t="s">
        <v>12966</v>
      </c>
      <c r="DM680" t="s">
        <v>669</v>
      </c>
      <c r="DX680" t="s">
        <v>1040</v>
      </c>
      <c r="DY680" t="s">
        <v>613</v>
      </c>
      <c r="DZ680" t="s">
        <v>12967</v>
      </c>
      <c r="EI680" t="s">
        <v>601</v>
      </c>
      <c r="EJ680" t="s">
        <v>609</v>
      </c>
      <c r="EK680" t="s">
        <v>7739</v>
      </c>
      <c r="EL680" t="s">
        <v>827</v>
      </c>
      <c r="EM680" t="s">
        <v>402</v>
      </c>
      <c r="EN680">
        <v>0</v>
      </c>
      <c r="EO680">
        <v>0</v>
      </c>
      <c r="EW680" t="s">
        <v>609</v>
      </c>
      <c r="EX680" t="s">
        <v>4034</v>
      </c>
      <c r="EY680" t="s">
        <v>677</v>
      </c>
    </row>
    <row r="681" spans="1:263" x14ac:dyDescent="0.25">
      <c r="A681" t="s">
        <v>12968</v>
      </c>
      <c r="B681" t="str">
        <f>"801542262600"</f>
        <v>801542262600</v>
      </c>
      <c r="C681" t="s">
        <v>12969</v>
      </c>
      <c r="D681" t="s">
        <v>769</v>
      </c>
      <c r="E681" t="s">
        <v>2244</v>
      </c>
      <c r="G681" t="str">
        <f>"81"</f>
        <v>81</v>
      </c>
      <c r="H681" t="str">
        <f>"47"</f>
        <v>47</v>
      </c>
      <c r="I681" t="str">
        <f>"26.25"</f>
        <v>26.25</v>
      </c>
      <c r="J681" t="str">
        <f>"169.75"</f>
        <v>169.75</v>
      </c>
      <c r="K681" t="s">
        <v>7314</v>
      </c>
      <c r="L681" t="s">
        <v>12970</v>
      </c>
      <c r="N681" t="s">
        <v>7315</v>
      </c>
      <c r="O681" t="s">
        <v>7316</v>
      </c>
      <c r="P681" t="s">
        <v>775</v>
      </c>
      <c r="T681" t="s">
        <v>373</v>
      </c>
      <c r="U681" t="s">
        <v>402</v>
      </c>
      <c r="V681" t="s">
        <v>12971</v>
      </c>
      <c r="W681" t="s">
        <v>12972</v>
      </c>
      <c r="X681" t="s">
        <v>12973</v>
      </c>
      <c r="Y681" t="s">
        <v>12974</v>
      </c>
      <c r="Z681" t="s">
        <v>12975</v>
      </c>
      <c r="AA681" t="s">
        <v>12976</v>
      </c>
      <c r="AB681" t="s">
        <v>12977</v>
      </c>
      <c r="AC681" t="s">
        <v>12978</v>
      </c>
      <c r="AD681" t="s">
        <v>12979</v>
      </c>
      <c r="AE681" t="s">
        <v>12980</v>
      </c>
      <c r="AF681" t="s">
        <v>12981</v>
      </c>
      <c r="BA681" t="str">
        <f>"2399"</f>
        <v>2399</v>
      </c>
      <c r="BB681" t="str">
        <f>"1010"</f>
        <v>1010</v>
      </c>
      <c r="BC681" t="s">
        <v>388</v>
      </c>
      <c r="BD681" t="str">
        <f t="shared" ref="BD681:BD693" si="159">"1"</f>
        <v>1</v>
      </c>
      <c r="BE681" t="s">
        <v>389</v>
      </c>
      <c r="BF681" t="str">
        <f>"84.65"</f>
        <v>84.65</v>
      </c>
      <c r="BG681" t="str">
        <f>"48.03"</f>
        <v>48.03</v>
      </c>
      <c r="BH681" t="str">
        <f>"22.44"</f>
        <v>22.44</v>
      </c>
      <c r="BI681" t="str">
        <f>"204.15"</f>
        <v>204.15</v>
      </c>
      <c r="BY681" t="str">
        <f>"52.8"</f>
        <v>52.8</v>
      </c>
      <c r="BZ681" t="str">
        <f>"1.495"</f>
        <v>1.495</v>
      </c>
      <c r="CA681" t="s">
        <v>495</v>
      </c>
      <c r="CH681" t="s">
        <v>12558</v>
      </c>
      <c r="CI681" t="s">
        <v>2360</v>
      </c>
      <c r="CJ681" t="s">
        <v>12982</v>
      </c>
      <c r="CK681" t="s">
        <v>12558</v>
      </c>
      <c r="CL681" t="s">
        <v>449</v>
      </c>
      <c r="CM681" t="s">
        <v>1158</v>
      </c>
      <c r="CN681">
        <v>0</v>
      </c>
      <c r="CO681">
        <v>0</v>
      </c>
      <c r="CP681" t="s">
        <v>437</v>
      </c>
      <c r="CQ681" t="s">
        <v>631</v>
      </c>
      <c r="CU681" t="s">
        <v>3316</v>
      </c>
      <c r="CX681" t="s">
        <v>403</v>
      </c>
      <c r="CY681" t="s">
        <v>400</v>
      </c>
      <c r="CZ681">
        <v>2</v>
      </c>
      <c r="DD681">
        <v>25000</v>
      </c>
      <c r="DE681" t="s">
        <v>439</v>
      </c>
      <c r="DF681" t="s">
        <v>406</v>
      </c>
      <c r="DG681" t="s">
        <v>407</v>
      </c>
      <c r="DH681">
        <v>1</v>
      </c>
      <c r="DI681">
        <v>2</v>
      </c>
      <c r="DK681" t="s">
        <v>794</v>
      </c>
      <c r="DL681">
        <v>2</v>
      </c>
      <c r="DM681" t="s">
        <v>1736</v>
      </c>
      <c r="DN681" t="s">
        <v>611</v>
      </c>
      <c r="DO681" t="s">
        <v>2263</v>
      </c>
      <c r="DP681" t="s">
        <v>12983</v>
      </c>
      <c r="DT681" t="s">
        <v>2360</v>
      </c>
      <c r="DX681" t="s">
        <v>800</v>
      </c>
      <c r="DZ681" t="s">
        <v>12556</v>
      </c>
      <c r="EG681" t="s">
        <v>615</v>
      </c>
      <c r="EH681" t="s">
        <v>454</v>
      </c>
      <c r="ET681" t="s">
        <v>832</v>
      </c>
      <c r="IH681" t="s">
        <v>1150</v>
      </c>
      <c r="II681" t="s">
        <v>797</v>
      </c>
      <c r="IJ681" t="s">
        <v>797</v>
      </c>
      <c r="IK681" t="s">
        <v>5549</v>
      </c>
      <c r="IL681" t="s">
        <v>402</v>
      </c>
      <c r="IX681" t="s">
        <v>797</v>
      </c>
      <c r="IY681" t="s">
        <v>600</v>
      </c>
      <c r="IZ681" t="s">
        <v>600</v>
      </c>
      <c r="JC681" t="s">
        <v>402</v>
      </c>
    </row>
    <row r="682" spans="1:263" x14ac:dyDescent="0.25">
      <c r="A682" t="s">
        <v>12984</v>
      </c>
      <c r="B682" t="str">
        <f>"198394028516"</f>
        <v>198394028516</v>
      </c>
      <c r="C682" t="s">
        <v>12985</v>
      </c>
      <c r="D682" t="s">
        <v>769</v>
      </c>
      <c r="E682" t="s">
        <v>2244</v>
      </c>
      <c r="G682" t="str">
        <f>"81"</f>
        <v>81</v>
      </c>
      <c r="H682" t="str">
        <f>"47"</f>
        <v>47</v>
      </c>
      <c r="I682" t="str">
        <f>"26.25"</f>
        <v>26.25</v>
      </c>
      <c r="J682" t="str">
        <f>"169.75"</f>
        <v>169.75</v>
      </c>
      <c r="K682" t="s">
        <v>770</v>
      </c>
      <c r="L682" t="s">
        <v>771</v>
      </c>
      <c r="N682" t="s">
        <v>772</v>
      </c>
      <c r="O682" t="s">
        <v>773</v>
      </c>
      <c r="P682" t="s">
        <v>774</v>
      </c>
      <c r="Q682" t="s">
        <v>775</v>
      </c>
      <c r="T682" t="s">
        <v>373</v>
      </c>
      <c r="U682" t="s">
        <v>402</v>
      </c>
      <c r="V682" t="s">
        <v>12986</v>
      </c>
      <c r="W682" t="s">
        <v>12987</v>
      </c>
      <c r="X682" t="s">
        <v>12988</v>
      </c>
      <c r="Y682" t="s">
        <v>12989</v>
      </c>
      <c r="Z682" t="s">
        <v>12990</v>
      </c>
      <c r="AA682" t="s">
        <v>12991</v>
      </c>
      <c r="AB682" t="s">
        <v>12992</v>
      </c>
      <c r="AC682" t="s">
        <v>12993</v>
      </c>
      <c r="AD682" t="s">
        <v>12994</v>
      </c>
      <c r="AE682" t="s">
        <v>12995</v>
      </c>
      <c r="AF682" t="s">
        <v>12996</v>
      </c>
      <c r="BA682" t="str">
        <f>"2599"</f>
        <v>2599</v>
      </c>
      <c r="BB682" t="str">
        <f>"1095"</f>
        <v>1095</v>
      </c>
      <c r="BC682" t="s">
        <v>388</v>
      </c>
      <c r="BD682" t="str">
        <f t="shared" si="159"/>
        <v>1</v>
      </c>
      <c r="BE682" t="s">
        <v>389</v>
      </c>
      <c r="BF682" t="str">
        <f>"84.65"</f>
        <v>84.65</v>
      </c>
      <c r="BG682" t="str">
        <f>"48.03"</f>
        <v>48.03</v>
      </c>
      <c r="BH682" t="str">
        <f>"22.44"</f>
        <v>22.44</v>
      </c>
      <c r="BI682" t="str">
        <f>"204.15"</f>
        <v>204.15</v>
      </c>
      <c r="BY682" t="str">
        <f>"52.8"</f>
        <v>52.8</v>
      </c>
      <c r="BZ682" t="str">
        <f>"1.495"</f>
        <v>1.495</v>
      </c>
      <c r="CA682" t="s">
        <v>390</v>
      </c>
      <c r="CH682" t="s">
        <v>12558</v>
      </c>
      <c r="CI682" t="s">
        <v>2360</v>
      </c>
      <c r="CJ682" t="s">
        <v>12982</v>
      </c>
      <c r="CK682" t="s">
        <v>12558</v>
      </c>
      <c r="CL682" t="s">
        <v>449</v>
      </c>
      <c r="CM682" t="s">
        <v>1158</v>
      </c>
      <c r="CN682">
        <v>0</v>
      </c>
      <c r="CO682">
        <v>0</v>
      </c>
      <c r="CP682" t="s">
        <v>437</v>
      </c>
      <c r="CQ682" t="s">
        <v>631</v>
      </c>
      <c r="CU682" t="s">
        <v>3316</v>
      </c>
      <c r="CX682" t="s">
        <v>403</v>
      </c>
      <c r="CY682" t="s">
        <v>400</v>
      </c>
      <c r="CZ682">
        <v>2</v>
      </c>
      <c r="DD682">
        <v>30000</v>
      </c>
      <c r="DE682" t="s">
        <v>439</v>
      </c>
      <c r="DF682" t="s">
        <v>406</v>
      </c>
      <c r="DG682" t="s">
        <v>407</v>
      </c>
      <c r="DH682">
        <v>1</v>
      </c>
      <c r="DI682">
        <v>2</v>
      </c>
      <c r="DK682" t="s">
        <v>794</v>
      </c>
      <c r="DL682">
        <v>2</v>
      </c>
      <c r="DM682" t="s">
        <v>1736</v>
      </c>
      <c r="DN682" t="s">
        <v>611</v>
      </c>
      <c r="DO682" t="s">
        <v>2263</v>
      </c>
      <c r="DP682" t="s">
        <v>12983</v>
      </c>
      <c r="DT682" t="s">
        <v>2360</v>
      </c>
      <c r="DX682" t="s">
        <v>800</v>
      </c>
      <c r="DZ682" t="s">
        <v>12556</v>
      </c>
      <c r="EG682" t="s">
        <v>615</v>
      </c>
      <c r="EH682" t="s">
        <v>454</v>
      </c>
      <c r="ET682" t="s">
        <v>832</v>
      </c>
      <c r="IH682" t="s">
        <v>1150</v>
      </c>
      <c r="II682" t="s">
        <v>797</v>
      </c>
      <c r="IJ682" t="s">
        <v>797</v>
      </c>
      <c r="IK682" t="s">
        <v>5549</v>
      </c>
      <c r="IL682" t="s">
        <v>402</v>
      </c>
      <c r="IX682" t="s">
        <v>797</v>
      </c>
      <c r="IY682" t="s">
        <v>600</v>
      </c>
      <c r="IZ682" t="s">
        <v>600</v>
      </c>
      <c r="JC682" t="s">
        <v>402</v>
      </c>
    </row>
    <row r="683" spans="1:263" x14ac:dyDescent="0.25">
      <c r="A683" t="s">
        <v>12997</v>
      </c>
      <c r="B683" t="str">
        <f>"801542244750"</f>
        <v>801542244750</v>
      </c>
      <c r="C683" t="s">
        <v>12998</v>
      </c>
      <c r="D683" t="s">
        <v>987</v>
      </c>
      <c r="E683" t="s">
        <v>459</v>
      </c>
      <c r="G683" t="str">
        <f>"24"</f>
        <v>24</v>
      </c>
      <c r="H683" t="str">
        <f>"24"</f>
        <v>24</v>
      </c>
      <c r="I683" t="str">
        <f>"20"</f>
        <v>20</v>
      </c>
      <c r="J683" t="str">
        <f>"61.06"</f>
        <v>61.06</v>
      </c>
      <c r="K683" t="s">
        <v>1462</v>
      </c>
      <c r="N683" t="s">
        <v>1970</v>
      </c>
      <c r="O683" t="s">
        <v>372</v>
      </c>
      <c r="T683" t="s">
        <v>373</v>
      </c>
      <c r="U683" t="s">
        <v>373</v>
      </c>
      <c r="V683" t="s">
        <v>12999</v>
      </c>
      <c r="W683" t="s">
        <v>13000</v>
      </c>
      <c r="X683" t="s">
        <v>13001</v>
      </c>
      <c r="Y683" t="s">
        <v>13002</v>
      </c>
      <c r="Z683" t="s">
        <v>13003</v>
      </c>
      <c r="AA683" t="s">
        <v>13004</v>
      </c>
      <c r="AB683" t="s">
        <v>13005</v>
      </c>
      <c r="AC683" t="s">
        <v>13006</v>
      </c>
      <c r="AD683" t="s">
        <v>13007</v>
      </c>
      <c r="AE683" t="s">
        <v>13008</v>
      </c>
      <c r="AF683" t="s">
        <v>13009</v>
      </c>
      <c r="AG683" t="s">
        <v>13010</v>
      </c>
      <c r="AH683" t="s">
        <v>13011</v>
      </c>
      <c r="BA683" t="str">
        <f>"799"</f>
        <v>799</v>
      </c>
      <c r="BB683" t="str">
        <f>"340"</f>
        <v>340</v>
      </c>
      <c r="BC683" t="s">
        <v>949</v>
      </c>
      <c r="BD683" t="str">
        <f t="shared" si="159"/>
        <v>1</v>
      </c>
      <c r="BE683" t="s">
        <v>389</v>
      </c>
      <c r="BF683" t="str">
        <f>"28"</f>
        <v>28</v>
      </c>
      <c r="BG683" t="str">
        <f>"12.25"</f>
        <v>12.25</v>
      </c>
      <c r="BH683" t="str">
        <f>"29"</f>
        <v>29</v>
      </c>
      <c r="BI683" t="str">
        <f>"72.09"</f>
        <v>72.09</v>
      </c>
      <c r="BY683" t="str">
        <f>"5.76"</f>
        <v>5.76</v>
      </c>
      <c r="BZ683" t="str">
        <f>"0.163"</f>
        <v>0.163</v>
      </c>
      <c r="CA683" t="s">
        <v>390</v>
      </c>
      <c r="CR683" t="s">
        <v>400</v>
      </c>
      <c r="CS683">
        <v>0</v>
      </c>
      <c r="CT683" t="s">
        <v>400</v>
      </c>
      <c r="CV683">
        <v>0</v>
      </c>
      <c r="CY683" t="s">
        <v>400</v>
      </c>
      <c r="DC683">
        <v>0</v>
      </c>
      <c r="DJ683" t="s">
        <v>408</v>
      </c>
      <c r="DK683" t="s">
        <v>11654</v>
      </c>
      <c r="DM683" t="s">
        <v>473</v>
      </c>
      <c r="DX683" t="s">
        <v>2073</v>
      </c>
      <c r="DZ683" t="s">
        <v>449</v>
      </c>
      <c r="EI683" t="s">
        <v>601</v>
      </c>
      <c r="EJ683" t="s">
        <v>3020</v>
      </c>
      <c r="EK683" t="s">
        <v>827</v>
      </c>
      <c r="EL683" t="s">
        <v>447</v>
      </c>
      <c r="EM683" t="s">
        <v>402</v>
      </c>
      <c r="EN683">
        <v>0</v>
      </c>
      <c r="EO683">
        <v>0</v>
      </c>
      <c r="EX683" t="s">
        <v>1040</v>
      </c>
    </row>
    <row r="684" spans="1:263" x14ac:dyDescent="0.25">
      <c r="A684" t="s">
        <v>13012</v>
      </c>
      <c r="B684" t="str">
        <f>"801542364793"</f>
        <v>801542364793</v>
      </c>
      <c r="C684" t="s">
        <v>13013</v>
      </c>
      <c r="D684" t="s">
        <v>987</v>
      </c>
      <c r="E684" t="s">
        <v>459</v>
      </c>
      <c r="G684" t="str">
        <f>"24"</f>
        <v>24</v>
      </c>
      <c r="H684" t="str">
        <f>"24"</f>
        <v>24</v>
      </c>
      <c r="I684" t="str">
        <f>"20"</f>
        <v>20</v>
      </c>
      <c r="J684" t="str">
        <f>"61.06"</f>
        <v>61.06</v>
      </c>
      <c r="K684" t="s">
        <v>11660</v>
      </c>
      <c r="L684" t="s">
        <v>11661</v>
      </c>
      <c r="N684" t="s">
        <v>1463</v>
      </c>
      <c r="O684" t="s">
        <v>372</v>
      </c>
      <c r="T684" t="s">
        <v>373</v>
      </c>
      <c r="U684" t="s">
        <v>373</v>
      </c>
      <c r="V684" t="s">
        <v>13014</v>
      </c>
      <c r="W684" t="s">
        <v>13015</v>
      </c>
      <c r="X684" t="s">
        <v>13016</v>
      </c>
      <c r="Y684" t="s">
        <v>13017</v>
      </c>
      <c r="Z684" t="s">
        <v>13018</v>
      </c>
      <c r="AA684" t="s">
        <v>13019</v>
      </c>
      <c r="AB684" t="s">
        <v>13020</v>
      </c>
      <c r="AC684" t="s">
        <v>13021</v>
      </c>
      <c r="AD684" t="s">
        <v>13022</v>
      </c>
      <c r="AE684" t="s">
        <v>13023</v>
      </c>
      <c r="AF684" t="s">
        <v>13024</v>
      </c>
      <c r="AG684" t="s">
        <v>13025</v>
      </c>
      <c r="AH684" t="s">
        <v>13026</v>
      </c>
      <c r="BA684" t="str">
        <f>"799"</f>
        <v>799</v>
      </c>
      <c r="BB684" t="str">
        <f>"340"</f>
        <v>340</v>
      </c>
      <c r="BC684" t="s">
        <v>949</v>
      </c>
      <c r="BD684" t="str">
        <f t="shared" si="159"/>
        <v>1</v>
      </c>
      <c r="BE684" t="s">
        <v>389</v>
      </c>
      <c r="BF684" t="str">
        <f>"28"</f>
        <v>28</v>
      </c>
      <c r="BG684" t="str">
        <f>"12.25"</f>
        <v>12.25</v>
      </c>
      <c r="BH684" t="str">
        <f>"29"</f>
        <v>29</v>
      </c>
      <c r="BI684" t="str">
        <f>"72.09"</f>
        <v>72.09</v>
      </c>
      <c r="BY684" t="str">
        <f>"5.76"</f>
        <v>5.76</v>
      </c>
      <c r="BZ684" t="str">
        <f>"0.163"</f>
        <v>0.163</v>
      </c>
      <c r="CA684" t="s">
        <v>495</v>
      </c>
      <c r="CR684" t="s">
        <v>400</v>
      </c>
      <c r="CS684">
        <v>0</v>
      </c>
      <c r="CT684" t="s">
        <v>400</v>
      </c>
      <c r="CV684">
        <v>0</v>
      </c>
      <c r="CY684" t="s">
        <v>400</v>
      </c>
      <c r="DC684">
        <v>0</v>
      </c>
      <c r="DJ684" t="s">
        <v>408</v>
      </c>
      <c r="DK684" t="s">
        <v>11654</v>
      </c>
      <c r="DM684" t="s">
        <v>473</v>
      </c>
      <c r="DX684" t="s">
        <v>2073</v>
      </c>
      <c r="DZ684" t="s">
        <v>449</v>
      </c>
      <c r="EI684" t="s">
        <v>601</v>
      </c>
      <c r="EJ684" t="s">
        <v>3020</v>
      </c>
      <c r="EK684" t="s">
        <v>827</v>
      </c>
      <c r="EL684" t="s">
        <v>447</v>
      </c>
      <c r="EM684" t="s">
        <v>402</v>
      </c>
      <c r="EN684">
        <v>0</v>
      </c>
      <c r="EO684">
        <v>0</v>
      </c>
      <c r="EX684" t="s">
        <v>1040</v>
      </c>
    </row>
    <row r="685" spans="1:263" x14ac:dyDescent="0.25">
      <c r="A685" t="s">
        <v>13027</v>
      </c>
      <c r="B685" t="str">
        <f>"801542119829"</f>
        <v>801542119829</v>
      </c>
      <c r="C685" t="s">
        <v>13028</v>
      </c>
      <c r="D685" t="s">
        <v>10298</v>
      </c>
      <c r="E685" t="s">
        <v>1021</v>
      </c>
      <c r="G685" t="str">
        <f>"76"</f>
        <v>76</v>
      </c>
      <c r="H685" t="str">
        <f>"18"</f>
        <v>18</v>
      </c>
      <c r="I685" t="str">
        <f>"30"</f>
        <v>30</v>
      </c>
      <c r="J685" t="str">
        <f>"105.38"</f>
        <v>105.38</v>
      </c>
      <c r="K685" t="s">
        <v>13029</v>
      </c>
      <c r="L685" t="s">
        <v>13030</v>
      </c>
      <c r="N685" t="s">
        <v>461</v>
      </c>
      <c r="O685" t="s">
        <v>13031</v>
      </c>
      <c r="T685" t="s">
        <v>373</v>
      </c>
      <c r="U685" t="s">
        <v>373</v>
      </c>
      <c r="V685" t="s">
        <v>13032</v>
      </c>
      <c r="W685" t="s">
        <v>13033</v>
      </c>
      <c r="X685" t="s">
        <v>13034</v>
      </c>
      <c r="Y685" t="s">
        <v>13035</v>
      </c>
      <c r="Z685" t="s">
        <v>13036</v>
      </c>
      <c r="AA685" t="s">
        <v>13037</v>
      </c>
      <c r="AB685" t="s">
        <v>13038</v>
      </c>
      <c r="AC685" t="s">
        <v>13039</v>
      </c>
      <c r="AD685" t="s">
        <v>13040</v>
      </c>
      <c r="AE685" t="s">
        <v>13041</v>
      </c>
      <c r="AF685" t="s">
        <v>13042</v>
      </c>
      <c r="AG685" t="s">
        <v>13043</v>
      </c>
      <c r="AH685" t="s">
        <v>13044</v>
      </c>
      <c r="AI685" t="s">
        <v>13045</v>
      </c>
      <c r="BA685" t="str">
        <f>"2799"</f>
        <v>2799</v>
      </c>
      <c r="BB685" t="str">
        <f>"1180"</f>
        <v>1180</v>
      </c>
      <c r="BC685" t="s">
        <v>388</v>
      </c>
      <c r="BD685" t="str">
        <f t="shared" si="159"/>
        <v>1</v>
      </c>
      <c r="BE685" t="s">
        <v>13046</v>
      </c>
      <c r="BF685" t="str">
        <f>"80.71"</f>
        <v>80.71</v>
      </c>
      <c r="BG685" t="str">
        <f>"22.83"</f>
        <v>22.83</v>
      </c>
      <c r="BH685" t="str">
        <f>"34.25"</f>
        <v>34.25</v>
      </c>
      <c r="BI685" t="str">
        <f>"134.48"</f>
        <v>134.48</v>
      </c>
      <c r="BY685" t="str">
        <f>"36.52"</f>
        <v>36.52</v>
      </c>
      <c r="BZ685" t="str">
        <f>"1.034"</f>
        <v>1.034</v>
      </c>
      <c r="CA685" t="s">
        <v>431</v>
      </c>
      <c r="CE685" t="s">
        <v>5832</v>
      </c>
      <c r="CF685" t="s">
        <v>1151</v>
      </c>
      <c r="CG685" t="s">
        <v>13047</v>
      </c>
      <c r="CR685" t="s">
        <v>400</v>
      </c>
      <c r="CS685">
        <v>0</v>
      </c>
      <c r="CT685" t="s">
        <v>400</v>
      </c>
      <c r="CV685">
        <v>0</v>
      </c>
      <c r="CX685" t="s">
        <v>403</v>
      </c>
      <c r="CY685" t="s">
        <v>954</v>
      </c>
      <c r="DA685">
        <v>18.14</v>
      </c>
      <c r="DB685">
        <v>40</v>
      </c>
      <c r="DC685">
        <v>2</v>
      </c>
      <c r="DK685" t="s">
        <v>13048</v>
      </c>
      <c r="DX685" t="s">
        <v>446</v>
      </c>
      <c r="EM685" t="s">
        <v>402</v>
      </c>
      <c r="EN685">
        <v>2</v>
      </c>
      <c r="EZ685" t="s">
        <v>1151</v>
      </c>
      <c r="FA685" t="s">
        <v>1040</v>
      </c>
      <c r="FB685" t="s">
        <v>2261</v>
      </c>
      <c r="FC685" t="s">
        <v>5832</v>
      </c>
      <c r="FD685" t="s">
        <v>1040</v>
      </c>
      <c r="FE685" t="s">
        <v>13047</v>
      </c>
      <c r="FG685" t="s">
        <v>402</v>
      </c>
      <c r="FH685" t="s">
        <v>6663</v>
      </c>
      <c r="FI685">
        <v>4</v>
      </c>
      <c r="FJ685" t="s">
        <v>960</v>
      </c>
      <c r="FK685" t="s">
        <v>1611</v>
      </c>
      <c r="FM685" t="s">
        <v>402</v>
      </c>
      <c r="FO685" t="s">
        <v>984</v>
      </c>
      <c r="GE685">
        <v>0</v>
      </c>
      <c r="GX685" t="s">
        <v>1357</v>
      </c>
      <c r="HI685" t="s">
        <v>402</v>
      </c>
    </row>
    <row r="686" spans="1:263" x14ac:dyDescent="0.25">
      <c r="A686" t="s">
        <v>13049</v>
      </c>
      <c r="B686" t="str">
        <f>"801542982027"</f>
        <v>801542982027</v>
      </c>
      <c r="C686" t="s">
        <v>13050</v>
      </c>
      <c r="D686" t="s">
        <v>1076</v>
      </c>
      <c r="E686" t="s">
        <v>1021</v>
      </c>
      <c r="G686" t="str">
        <f>"92"</f>
        <v>92</v>
      </c>
      <c r="H686" t="str">
        <f>"22"</f>
        <v>22</v>
      </c>
      <c r="I686" t="str">
        <f>"30"</f>
        <v>30</v>
      </c>
      <c r="J686" t="str">
        <f>"215.17"</f>
        <v>215.17</v>
      </c>
      <c r="K686" t="s">
        <v>13051</v>
      </c>
      <c r="L686" t="s">
        <v>13052</v>
      </c>
      <c r="N686" t="s">
        <v>372</v>
      </c>
      <c r="O686" t="s">
        <v>1970</v>
      </c>
      <c r="T686" t="s">
        <v>373</v>
      </c>
      <c r="U686" t="s">
        <v>373</v>
      </c>
      <c r="V686" t="s">
        <v>13053</v>
      </c>
      <c r="W686" t="s">
        <v>13054</v>
      </c>
      <c r="X686" t="s">
        <v>13055</v>
      </c>
      <c r="Y686" t="s">
        <v>13056</v>
      </c>
      <c r="Z686" t="s">
        <v>13057</v>
      </c>
      <c r="AA686" t="s">
        <v>13058</v>
      </c>
      <c r="AB686" t="s">
        <v>13059</v>
      </c>
      <c r="AC686" t="s">
        <v>13060</v>
      </c>
      <c r="AD686" t="s">
        <v>13061</v>
      </c>
      <c r="AE686" t="s">
        <v>13062</v>
      </c>
      <c r="AF686" t="s">
        <v>13063</v>
      </c>
      <c r="AG686" t="s">
        <v>13064</v>
      </c>
      <c r="AH686" t="s">
        <v>13065</v>
      </c>
      <c r="AI686" t="s">
        <v>13066</v>
      </c>
      <c r="AJ686" t="s">
        <v>13067</v>
      </c>
      <c r="AK686" t="s">
        <v>13068</v>
      </c>
      <c r="AL686" t="s">
        <v>13069</v>
      </c>
      <c r="BA686" t="str">
        <f>"2999"</f>
        <v>2999</v>
      </c>
      <c r="BB686" t="str">
        <f>"1260"</f>
        <v>1260</v>
      </c>
      <c r="BC686" t="s">
        <v>949</v>
      </c>
      <c r="BD686" t="str">
        <f t="shared" si="159"/>
        <v>1</v>
      </c>
      <c r="BE686" t="s">
        <v>389</v>
      </c>
      <c r="BF686" t="str">
        <f>"97.25"</f>
        <v>97.25</v>
      </c>
      <c r="BG686" t="str">
        <f>"27.5"</f>
        <v>27.5</v>
      </c>
      <c r="BH686" t="str">
        <f>"35.5"</f>
        <v>35.5</v>
      </c>
      <c r="BI686" t="str">
        <f>"269.52"</f>
        <v>269.52</v>
      </c>
      <c r="BY686" t="str">
        <f>"54.95"</f>
        <v>54.95</v>
      </c>
      <c r="BZ686" t="str">
        <f>"1.556"</f>
        <v>1.556</v>
      </c>
      <c r="CA686" t="s">
        <v>390</v>
      </c>
      <c r="CB686" t="s">
        <v>11765</v>
      </c>
      <c r="CC686" t="s">
        <v>956</v>
      </c>
      <c r="CD686" t="s">
        <v>11656</v>
      </c>
      <c r="CE686" t="s">
        <v>11765</v>
      </c>
      <c r="CF686" t="s">
        <v>1037</v>
      </c>
      <c r="CG686" t="s">
        <v>11656</v>
      </c>
      <c r="CR686" t="s">
        <v>1007</v>
      </c>
      <c r="CS686">
        <v>4</v>
      </c>
      <c r="CT686" t="s">
        <v>1344</v>
      </c>
      <c r="CV686">
        <v>1</v>
      </c>
      <c r="CW686" t="s">
        <v>402</v>
      </c>
      <c r="CX686" t="s">
        <v>1414</v>
      </c>
      <c r="CY686" t="s">
        <v>954</v>
      </c>
      <c r="DA686">
        <v>18.14</v>
      </c>
      <c r="DB686">
        <v>40</v>
      </c>
      <c r="DC686">
        <v>0</v>
      </c>
      <c r="DK686" t="s">
        <v>13070</v>
      </c>
      <c r="DX686" t="s">
        <v>951</v>
      </c>
      <c r="EM686" t="s">
        <v>402</v>
      </c>
      <c r="EN686">
        <v>2</v>
      </c>
      <c r="EZ686" t="s">
        <v>957</v>
      </c>
      <c r="FA686" t="s">
        <v>1040</v>
      </c>
      <c r="FB686" t="s">
        <v>1039</v>
      </c>
      <c r="FG686" t="s">
        <v>402</v>
      </c>
      <c r="FI686">
        <v>2</v>
      </c>
      <c r="FJ686" t="s">
        <v>960</v>
      </c>
      <c r="FK686" t="s">
        <v>1246</v>
      </c>
      <c r="FO686" t="s">
        <v>984</v>
      </c>
      <c r="FP686" t="s">
        <v>402</v>
      </c>
      <c r="FR686" t="s">
        <v>4395</v>
      </c>
      <c r="FT686" t="s">
        <v>2599</v>
      </c>
      <c r="FV686" t="s">
        <v>2129</v>
      </c>
      <c r="FX686" t="s">
        <v>1017</v>
      </c>
      <c r="FZ686" t="s">
        <v>953</v>
      </c>
      <c r="GA686" t="s">
        <v>402</v>
      </c>
      <c r="GB686" t="s">
        <v>510</v>
      </c>
      <c r="GC686" t="s">
        <v>2263</v>
      </c>
      <c r="GD686" t="s">
        <v>11656</v>
      </c>
      <c r="GE686">
        <v>0</v>
      </c>
    </row>
    <row r="687" spans="1:263" x14ac:dyDescent="0.25">
      <c r="A687" t="s">
        <v>13071</v>
      </c>
      <c r="B687" t="str">
        <f>"801542331993"</f>
        <v>801542331993</v>
      </c>
      <c r="C687" t="s">
        <v>13072</v>
      </c>
      <c r="D687" t="s">
        <v>929</v>
      </c>
      <c r="E687" t="s">
        <v>1077</v>
      </c>
      <c r="G687" t="str">
        <f>"50.75"</f>
        <v>50.75</v>
      </c>
      <c r="H687" t="str">
        <f>"50.75"</f>
        <v>50.75</v>
      </c>
      <c r="I687" t="str">
        <f>"16.5"</f>
        <v>16.5</v>
      </c>
      <c r="J687" t="str">
        <f>"147.93"</f>
        <v>147.93</v>
      </c>
      <c r="K687" t="s">
        <v>10143</v>
      </c>
      <c r="N687" t="s">
        <v>10144</v>
      </c>
      <c r="T687" t="s">
        <v>373</v>
      </c>
      <c r="U687" t="s">
        <v>373</v>
      </c>
      <c r="V687" t="s">
        <v>13073</v>
      </c>
      <c r="W687" t="s">
        <v>13074</v>
      </c>
      <c r="X687" t="s">
        <v>13075</v>
      </c>
      <c r="Y687" t="s">
        <v>13076</v>
      </c>
      <c r="Z687" t="s">
        <v>13077</v>
      </c>
      <c r="AA687" t="s">
        <v>13078</v>
      </c>
      <c r="AB687" t="s">
        <v>13079</v>
      </c>
      <c r="AC687" t="s">
        <v>13080</v>
      </c>
      <c r="AD687" t="s">
        <v>13081</v>
      </c>
      <c r="AE687" t="s">
        <v>13082</v>
      </c>
      <c r="AF687" t="s">
        <v>13083</v>
      </c>
      <c r="AG687" t="s">
        <v>13084</v>
      </c>
      <c r="AH687" t="s">
        <v>13085</v>
      </c>
      <c r="BA687" t="str">
        <f>"1999"</f>
        <v>1999</v>
      </c>
      <c r="BB687" t="str">
        <f>"840"</f>
        <v>840</v>
      </c>
      <c r="BC687" t="s">
        <v>949</v>
      </c>
      <c r="BD687" t="str">
        <f t="shared" si="159"/>
        <v>1</v>
      </c>
      <c r="BE687" t="s">
        <v>389</v>
      </c>
      <c r="BF687" t="str">
        <f>"51.25"</f>
        <v>51.25</v>
      </c>
      <c r="BG687" t="str">
        <f>"51.25"</f>
        <v>51.25</v>
      </c>
      <c r="BH687" t="str">
        <f>"19.75"</f>
        <v>19.75</v>
      </c>
      <c r="BI687" t="str">
        <f>"197.97"</f>
        <v>197.97</v>
      </c>
      <c r="BY687" t="str">
        <f>"30.02"</f>
        <v>30.02</v>
      </c>
      <c r="BZ687" t="str">
        <f>"0.85"</f>
        <v>0.85</v>
      </c>
      <c r="CA687" t="s">
        <v>495</v>
      </c>
      <c r="CB687" t="s">
        <v>12558</v>
      </c>
      <c r="CC687" t="s">
        <v>637</v>
      </c>
      <c r="CD687" t="s">
        <v>12558</v>
      </c>
      <c r="CE687" t="s">
        <v>12558</v>
      </c>
      <c r="CF687" t="s">
        <v>640</v>
      </c>
      <c r="CG687" t="s">
        <v>12558</v>
      </c>
      <c r="CR687" t="s">
        <v>400</v>
      </c>
      <c r="CS687">
        <v>0</v>
      </c>
      <c r="CT687" t="s">
        <v>400</v>
      </c>
      <c r="CV687">
        <v>1</v>
      </c>
      <c r="CW687" t="s">
        <v>402</v>
      </c>
      <c r="CX687" t="s">
        <v>667</v>
      </c>
      <c r="CY687" t="s">
        <v>404</v>
      </c>
      <c r="DC687">
        <v>0</v>
      </c>
      <c r="DJ687" t="s">
        <v>471</v>
      </c>
      <c r="DK687" t="s">
        <v>13086</v>
      </c>
      <c r="DM687" t="s">
        <v>473</v>
      </c>
      <c r="DX687" t="s">
        <v>1852</v>
      </c>
      <c r="DY687" t="s">
        <v>12558</v>
      </c>
      <c r="DZ687" t="s">
        <v>12558</v>
      </c>
      <c r="EI687" t="s">
        <v>637</v>
      </c>
      <c r="EJ687" t="s">
        <v>2073</v>
      </c>
      <c r="EK687" t="s">
        <v>635</v>
      </c>
      <c r="EL687" t="s">
        <v>637</v>
      </c>
      <c r="EN687">
        <v>1</v>
      </c>
      <c r="EO687">
        <v>0</v>
      </c>
    </row>
    <row r="688" spans="1:263" x14ac:dyDescent="0.25">
      <c r="A688" t="s">
        <v>13087</v>
      </c>
      <c r="B688" t="str">
        <f>"801542153182"</f>
        <v>801542153182</v>
      </c>
      <c r="C688" t="s">
        <v>13088</v>
      </c>
      <c r="D688" t="s">
        <v>1276</v>
      </c>
      <c r="E688" t="s">
        <v>1077</v>
      </c>
      <c r="G688" t="str">
        <f>"55"</f>
        <v>55</v>
      </c>
      <c r="H688" t="str">
        <f>"31"</f>
        <v>31</v>
      </c>
      <c r="I688" t="str">
        <f>"17"</f>
        <v>17</v>
      </c>
      <c r="J688" t="str">
        <f>"58.42"</f>
        <v>58.42</v>
      </c>
      <c r="K688" t="s">
        <v>13089</v>
      </c>
      <c r="L688" t="s">
        <v>13090</v>
      </c>
      <c r="N688" t="s">
        <v>372</v>
      </c>
      <c r="O688" t="s">
        <v>1463</v>
      </c>
      <c r="T688" t="s">
        <v>373</v>
      </c>
      <c r="U688" t="s">
        <v>373</v>
      </c>
      <c r="V688" t="s">
        <v>13091</v>
      </c>
      <c r="W688" t="s">
        <v>13092</v>
      </c>
      <c r="X688" t="s">
        <v>13093</v>
      </c>
      <c r="Y688" t="s">
        <v>13094</v>
      </c>
      <c r="Z688" t="s">
        <v>13095</v>
      </c>
      <c r="AA688" t="s">
        <v>13096</v>
      </c>
      <c r="AB688" t="s">
        <v>13097</v>
      </c>
      <c r="AC688" t="s">
        <v>13098</v>
      </c>
      <c r="AD688" t="s">
        <v>13099</v>
      </c>
      <c r="AE688" t="s">
        <v>13100</v>
      </c>
      <c r="AF688" t="s">
        <v>13101</v>
      </c>
      <c r="AG688" t="s">
        <v>13102</v>
      </c>
      <c r="AH688" t="s">
        <v>13103</v>
      </c>
      <c r="BA688" t="str">
        <f>"1299"</f>
        <v>1299</v>
      </c>
      <c r="BB688" t="str">
        <f>"550"</f>
        <v>550</v>
      </c>
      <c r="BC688" t="s">
        <v>665</v>
      </c>
      <c r="BD688" t="str">
        <f t="shared" si="159"/>
        <v>1</v>
      </c>
      <c r="BE688" t="s">
        <v>13104</v>
      </c>
      <c r="BF688" t="str">
        <f>"58.66"</f>
        <v>58.66</v>
      </c>
      <c r="BG688" t="str">
        <f>"34.45"</f>
        <v>34.45</v>
      </c>
      <c r="BH688" t="str">
        <f>"24.21"</f>
        <v>24.21</v>
      </c>
      <c r="BI688" t="str">
        <f>"98.11"</f>
        <v>98.11</v>
      </c>
      <c r="BY688" t="str">
        <f>"28.32"</f>
        <v>28.32</v>
      </c>
      <c r="BZ688" t="str">
        <f>"0.802"</f>
        <v>0.802</v>
      </c>
      <c r="CA688" t="s">
        <v>431</v>
      </c>
      <c r="CR688" t="s">
        <v>400</v>
      </c>
      <c r="CS688">
        <v>0</v>
      </c>
      <c r="CT688" t="s">
        <v>400</v>
      </c>
      <c r="CV688">
        <v>0</v>
      </c>
      <c r="CX688" t="s">
        <v>1980</v>
      </c>
      <c r="CY688" t="s">
        <v>400</v>
      </c>
      <c r="DC688">
        <v>0</v>
      </c>
      <c r="DJ688" t="s">
        <v>408</v>
      </c>
      <c r="DK688" t="s">
        <v>12842</v>
      </c>
      <c r="DM688" t="s">
        <v>473</v>
      </c>
      <c r="DX688" t="s">
        <v>979</v>
      </c>
      <c r="DZ688" t="s">
        <v>5743</v>
      </c>
      <c r="EI688" t="s">
        <v>9650</v>
      </c>
      <c r="EJ688" t="s">
        <v>7532</v>
      </c>
      <c r="EK688" t="s">
        <v>392</v>
      </c>
      <c r="EL688" t="s">
        <v>392</v>
      </c>
      <c r="EN688">
        <v>0</v>
      </c>
      <c r="EO688">
        <v>0</v>
      </c>
    </row>
    <row r="689" spans="1:287" x14ac:dyDescent="0.25">
      <c r="A689" t="s">
        <v>13105</v>
      </c>
      <c r="B689" t="str">
        <f>"801542153199"</f>
        <v>801542153199</v>
      </c>
      <c r="C689" t="s">
        <v>13106</v>
      </c>
      <c r="D689" t="s">
        <v>1276</v>
      </c>
      <c r="E689" t="s">
        <v>4074</v>
      </c>
      <c r="G689" t="str">
        <f>"60"</f>
        <v>60</v>
      </c>
      <c r="H689" t="str">
        <f>"20"</f>
        <v>20</v>
      </c>
      <c r="I689" t="str">
        <f>"31"</f>
        <v>31</v>
      </c>
      <c r="J689" t="str">
        <f>"56.66"</f>
        <v>56.66</v>
      </c>
      <c r="K689" t="s">
        <v>13089</v>
      </c>
      <c r="L689" t="s">
        <v>13090</v>
      </c>
      <c r="N689" t="s">
        <v>372</v>
      </c>
      <c r="O689" t="s">
        <v>1463</v>
      </c>
      <c r="T689" t="s">
        <v>373</v>
      </c>
      <c r="U689" t="s">
        <v>373</v>
      </c>
      <c r="V689" t="s">
        <v>13107</v>
      </c>
      <c r="W689" t="s">
        <v>13108</v>
      </c>
      <c r="X689" t="s">
        <v>13109</v>
      </c>
      <c r="Y689" t="s">
        <v>13110</v>
      </c>
      <c r="Z689" t="s">
        <v>13111</v>
      </c>
      <c r="AA689" t="s">
        <v>13112</v>
      </c>
      <c r="AB689" t="s">
        <v>13113</v>
      </c>
      <c r="AC689" t="s">
        <v>13114</v>
      </c>
      <c r="AD689" t="s">
        <v>13115</v>
      </c>
      <c r="AE689" t="s">
        <v>13116</v>
      </c>
      <c r="AF689" t="s">
        <v>13117</v>
      </c>
      <c r="AG689" t="s">
        <v>13118</v>
      </c>
      <c r="AH689" t="s">
        <v>13119</v>
      </c>
      <c r="BA689" t="str">
        <f>"1399"</f>
        <v>1399</v>
      </c>
      <c r="BB689" t="str">
        <f>"590"</f>
        <v>590</v>
      </c>
      <c r="BC689" t="s">
        <v>665</v>
      </c>
      <c r="BD689" t="str">
        <f t="shared" si="159"/>
        <v>1</v>
      </c>
      <c r="BE689" t="s">
        <v>4093</v>
      </c>
      <c r="BF689" t="str">
        <f>"63.54"</f>
        <v>63.54</v>
      </c>
      <c r="BG689" t="str">
        <f>"23.54"</f>
        <v>23.54</v>
      </c>
      <c r="BH689" t="str">
        <f>"38.07"</f>
        <v>38.07</v>
      </c>
      <c r="BI689" t="str">
        <f>"92.59"</f>
        <v>92.59</v>
      </c>
      <c r="BY689" t="str">
        <f>"32.95"</f>
        <v>32.95</v>
      </c>
      <c r="BZ689" t="str">
        <f>"0.933"</f>
        <v>0.933</v>
      </c>
      <c r="CA689" t="s">
        <v>495</v>
      </c>
      <c r="CR689" t="s">
        <v>400</v>
      </c>
      <c r="CS689">
        <v>0</v>
      </c>
      <c r="CT689" t="s">
        <v>400</v>
      </c>
      <c r="CV689">
        <v>0</v>
      </c>
      <c r="CX689" t="s">
        <v>1980</v>
      </c>
      <c r="CY689" t="s">
        <v>400</v>
      </c>
      <c r="DC689">
        <v>0</v>
      </c>
      <c r="DJ689" t="s">
        <v>408</v>
      </c>
      <c r="DK689" t="s">
        <v>12842</v>
      </c>
      <c r="DM689" t="s">
        <v>473</v>
      </c>
      <c r="DX689" t="s">
        <v>13120</v>
      </c>
      <c r="DZ689" t="s">
        <v>13121</v>
      </c>
      <c r="EI689" t="s">
        <v>602</v>
      </c>
      <c r="EJ689" t="s">
        <v>9650</v>
      </c>
      <c r="EK689" t="s">
        <v>3545</v>
      </c>
      <c r="EL689" t="s">
        <v>392</v>
      </c>
      <c r="EM689" t="s">
        <v>402</v>
      </c>
      <c r="EN689">
        <v>0</v>
      </c>
      <c r="EO689">
        <v>0</v>
      </c>
      <c r="FI689">
        <v>0</v>
      </c>
      <c r="FJ689" t="s">
        <v>1012</v>
      </c>
    </row>
    <row r="690" spans="1:287" x14ac:dyDescent="0.25">
      <c r="A690" t="s">
        <v>13122</v>
      </c>
      <c r="B690" t="str">
        <f>"198394059442"</f>
        <v>198394059442</v>
      </c>
      <c r="C690" t="s">
        <v>13123</v>
      </c>
      <c r="D690" t="s">
        <v>1276</v>
      </c>
      <c r="E690" t="s">
        <v>4074</v>
      </c>
      <c r="G690" t="str">
        <f>"60"</f>
        <v>60</v>
      </c>
      <c r="H690" t="str">
        <f>"20"</f>
        <v>20</v>
      </c>
      <c r="I690" t="str">
        <f>"31"</f>
        <v>31</v>
      </c>
      <c r="J690" t="str">
        <f>"56.66"</f>
        <v>56.66</v>
      </c>
      <c r="K690" t="s">
        <v>12823</v>
      </c>
      <c r="L690" t="s">
        <v>12822</v>
      </c>
      <c r="N690" t="s">
        <v>372</v>
      </c>
      <c r="O690" t="s">
        <v>1463</v>
      </c>
      <c r="T690" t="s">
        <v>373</v>
      </c>
      <c r="U690" t="s">
        <v>373</v>
      </c>
      <c r="W690" t="s">
        <v>13124</v>
      </c>
      <c r="X690" t="s">
        <v>13125</v>
      </c>
      <c r="Y690" t="s">
        <v>13126</v>
      </c>
      <c r="Z690" t="s">
        <v>13127</v>
      </c>
      <c r="AA690" t="s">
        <v>13128</v>
      </c>
      <c r="AB690" t="s">
        <v>13129</v>
      </c>
      <c r="AC690" t="s">
        <v>13130</v>
      </c>
      <c r="AD690" t="s">
        <v>13131</v>
      </c>
      <c r="AE690" t="s">
        <v>13132</v>
      </c>
      <c r="AF690" t="s">
        <v>13133</v>
      </c>
      <c r="BA690" t="str">
        <f>"1399"</f>
        <v>1399</v>
      </c>
      <c r="BB690" t="str">
        <f>"590"</f>
        <v>590</v>
      </c>
      <c r="BC690" t="s">
        <v>665</v>
      </c>
      <c r="BD690" t="str">
        <f t="shared" si="159"/>
        <v>1</v>
      </c>
      <c r="BE690" t="s">
        <v>4093</v>
      </c>
      <c r="BF690" t="str">
        <f>"63.54"</f>
        <v>63.54</v>
      </c>
      <c r="BG690" t="str">
        <f>"23.54"</f>
        <v>23.54</v>
      </c>
      <c r="BH690" t="str">
        <f>"38.07"</f>
        <v>38.07</v>
      </c>
      <c r="BI690" t="str">
        <f>"92.59"</f>
        <v>92.59</v>
      </c>
      <c r="BY690" t="str">
        <f>"32.95"</f>
        <v>32.95</v>
      </c>
      <c r="BZ690" t="str">
        <f>"0.933"</f>
        <v>0.933</v>
      </c>
      <c r="CA690" t="s">
        <v>431</v>
      </c>
      <c r="CR690" t="s">
        <v>400</v>
      </c>
      <c r="CS690">
        <v>0</v>
      </c>
      <c r="CT690" t="s">
        <v>400</v>
      </c>
      <c r="CV690">
        <v>0</v>
      </c>
      <c r="CX690" t="s">
        <v>1980</v>
      </c>
      <c r="CY690" t="s">
        <v>400</v>
      </c>
      <c r="DC690">
        <v>0</v>
      </c>
      <c r="DJ690" t="s">
        <v>408</v>
      </c>
      <c r="DK690" t="s">
        <v>12842</v>
      </c>
      <c r="DM690" t="s">
        <v>473</v>
      </c>
      <c r="DX690" t="s">
        <v>13120</v>
      </c>
      <c r="DZ690" t="s">
        <v>13121</v>
      </c>
      <c r="EI690" t="s">
        <v>602</v>
      </c>
      <c r="EJ690" t="s">
        <v>9650</v>
      </c>
      <c r="EK690" t="s">
        <v>3545</v>
      </c>
      <c r="EL690" t="s">
        <v>392</v>
      </c>
      <c r="EM690" t="s">
        <v>402</v>
      </c>
      <c r="EN690">
        <v>0</v>
      </c>
      <c r="EO690">
        <v>0</v>
      </c>
      <c r="FI690">
        <v>0</v>
      </c>
      <c r="FJ690" t="s">
        <v>1012</v>
      </c>
    </row>
    <row r="691" spans="1:287" x14ac:dyDescent="0.25">
      <c r="A691" t="s">
        <v>13134</v>
      </c>
      <c r="B691" t="str">
        <f>"801542134280"</f>
        <v>801542134280</v>
      </c>
      <c r="C691" t="s">
        <v>13135</v>
      </c>
      <c r="D691" t="s">
        <v>1276</v>
      </c>
      <c r="E691" t="s">
        <v>3813</v>
      </c>
      <c r="G691" t="str">
        <f>"40"</f>
        <v>40</v>
      </c>
      <c r="H691" t="str">
        <f>"18.5"</f>
        <v>18.5</v>
      </c>
      <c r="I691" t="str">
        <f>"84.25"</f>
        <v>84.25</v>
      </c>
      <c r="J691" t="str">
        <f>"155.42"</f>
        <v>155.42</v>
      </c>
      <c r="K691" t="s">
        <v>13089</v>
      </c>
      <c r="L691" t="s">
        <v>13090</v>
      </c>
      <c r="N691" t="s">
        <v>372</v>
      </c>
      <c r="O691" t="s">
        <v>1463</v>
      </c>
      <c r="T691" t="s">
        <v>373</v>
      </c>
      <c r="U691" t="s">
        <v>373</v>
      </c>
      <c r="V691" t="s">
        <v>13136</v>
      </c>
      <c r="W691" t="s">
        <v>13137</v>
      </c>
      <c r="X691" t="s">
        <v>13138</v>
      </c>
      <c r="Y691" t="s">
        <v>13139</v>
      </c>
      <c r="Z691" t="s">
        <v>13140</v>
      </c>
      <c r="AA691" t="s">
        <v>13141</v>
      </c>
      <c r="AB691" t="s">
        <v>13142</v>
      </c>
      <c r="AC691" t="s">
        <v>13143</v>
      </c>
      <c r="AD691" t="s">
        <v>13144</v>
      </c>
      <c r="AE691" t="s">
        <v>13145</v>
      </c>
      <c r="AF691" t="s">
        <v>13146</v>
      </c>
      <c r="AG691" t="s">
        <v>13147</v>
      </c>
      <c r="AH691" t="s">
        <v>13148</v>
      </c>
      <c r="AI691" t="s">
        <v>13149</v>
      </c>
      <c r="AJ691" t="s">
        <v>13150</v>
      </c>
      <c r="BA691" t="str">
        <f>"2399"</f>
        <v>2399</v>
      </c>
      <c r="BB691" t="str">
        <f>"1010"</f>
        <v>1010</v>
      </c>
      <c r="BC691" t="s">
        <v>665</v>
      </c>
      <c r="BD691" t="str">
        <f t="shared" si="159"/>
        <v>1</v>
      </c>
      <c r="BE691" t="s">
        <v>389</v>
      </c>
      <c r="BF691" t="str">
        <f>"90.55"</f>
        <v>90.55</v>
      </c>
      <c r="BG691" t="str">
        <f>"43.31"</f>
        <v>43.31</v>
      </c>
      <c r="BH691" t="str">
        <f>"22.83"</f>
        <v>22.83</v>
      </c>
      <c r="BI691" t="str">
        <f>"194.01"</f>
        <v>194.01</v>
      </c>
      <c r="BY691" t="str">
        <f>"51.81"</f>
        <v>51.81</v>
      </c>
      <c r="BZ691" t="str">
        <f>"1.467"</f>
        <v>1.467</v>
      </c>
      <c r="CA691" t="s">
        <v>495</v>
      </c>
      <c r="CB691" t="s">
        <v>3808</v>
      </c>
      <c r="CC691" t="s">
        <v>956</v>
      </c>
      <c r="CD691" t="s">
        <v>9079</v>
      </c>
      <c r="CE691" t="s">
        <v>3319</v>
      </c>
      <c r="CF691" t="s">
        <v>602</v>
      </c>
      <c r="CG691" t="s">
        <v>434</v>
      </c>
      <c r="CR691" t="s">
        <v>400</v>
      </c>
      <c r="CS691">
        <v>0</v>
      </c>
      <c r="CT691" t="s">
        <v>400</v>
      </c>
      <c r="CV691">
        <v>3</v>
      </c>
      <c r="CW691" t="s">
        <v>402</v>
      </c>
      <c r="CX691" t="s">
        <v>1980</v>
      </c>
      <c r="CY691" t="s">
        <v>954</v>
      </c>
      <c r="DA691">
        <v>18.14</v>
      </c>
      <c r="DB691">
        <v>40</v>
      </c>
      <c r="DC691">
        <v>1</v>
      </c>
      <c r="DJ691" t="s">
        <v>982</v>
      </c>
      <c r="DK691" t="s">
        <v>12842</v>
      </c>
      <c r="DX691" t="s">
        <v>13151</v>
      </c>
      <c r="EM691" t="s">
        <v>402</v>
      </c>
      <c r="EN691">
        <v>5</v>
      </c>
      <c r="EZ691" t="s">
        <v>7837</v>
      </c>
      <c r="FA691" t="s">
        <v>956</v>
      </c>
      <c r="FB691" t="s">
        <v>8060</v>
      </c>
      <c r="FC691" t="s">
        <v>3319</v>
      </c>
      <c r="FD691" t="s">
        <v>1348</v>
      </c>
      <c r="FE691" t="s">
        <v>434</v>
      </c>
      <c r="FI691">
        <v>2</v>
      </c>
      <c r="FJ691" t="s">
        <v>960</v>
      </c>
      <c r="FK691" t="s">
        <v>1246</v>
      </c>
      <c r="FM691" t="s">
        <v>402</v>
      </c>
      <c r="FO691" t="s">
        <v>984</v>
      </c>
      <c r="GB691" t="s">
        <v>3808</v>
      </c>
      <c r="GC691" t="s">
        <v>13152</v>
      </c>
      <c r="GD691" t="s">
        <v>9079</v>
      </c>
      <c r="GR691" t="s">
        <v>3808</v>
      </c>
      <c r="GS691" t="s">
        <v>3808</v>
      </c>
      <c r="GT691" t="s">
        <v>13152</v>
      </c>
      <c r="GU691" t="s">
        <v>13152</v>
      </c>
      <c r="GV691" t="s">
        <v>9079</v>
      </c>
      <c r="GW691" t="s">
        <v>9079</v>
      </c>
      <c r="GX691" t="s">
        <v>392</v>
      </c>
      <c r="HI691" t="s">
        <v>402</v>
      </c>
      <c r="JY691" t="s">
        <v>3808</v>
      </c>
      <c r="JZ691" t="s">
        <v>13152</v>
      </c>
      <c r="KA691" t="s">
        <v>9079</v>
      </c>
    </row>
    <row r="692" spans="1:287" x14ac:dyDescent="0.25">
      <c r="A692" t="s">
        <v>13153</v>
      </c>
      <c r="B692" t="str">
        <f>"198394064712"</f>
        <v>198394064712</v>
      </c>
      <c r="C692" t="s">
        <v>13154</v>
      </c>
      <c r="D692" t="s">
        <v>1276</v>
      </c>
      <c r="E692" t="s">
        <v>3813</v>
      </c>
      <c r="G692" t="str">
        <f>"40"</f>
        <v>40</v>
      </c>
      <c r="H692" t="str">
        <f>"18.5"</f>
        <v>18.5</v>
      </c>
      <c r="I692" t="str">
        <f>"84.25"</f>
        <v>84.25</v>
      </c>
      <c r="J692" t="str">
        <f>"155.42"</f>
        <v>155.42</v>
      </c>
      <c r="K692" t="s">
        <v>12823</v>
      </c>
      <c r="L692" t="s">
        <v>12822</v>
      </c>
      <c r="N692" t="s">
        <v>372</v>
      </c>
      <c r="O692" t="s">
        <v>1463</v>
      </c>
      <c r="T692" t="s">
        <v>373</v>
      </c>
      <c r="U692" t="s">
        <v>373</v>
      </c>
      <c r="W692" t="s">
        <v>13155</v>
      </c>
      <c r="X692" t="s">
        <v>13156</v>
      </c>
      <c r="Y692" t="s">
        <v>13157</v>
      </c>
      <c r="Z692" t="s">
        <v>13158</v>
      </c>
      <c r="AA692" t="s">
        <v>13159</v>
      </c>
      <c r="AB692" t="s">
        <v>13160</v>
      </c>
      <c r="AC692" t="s">
        <v>13161</v>
      </c>
      <c r="AD692" t="s">
        <v>13162</v>
      </c>
      <c r="AE692" t="s">
        <v>13163</v>
      </c>
      <c r="AF692" t="s">
        <v>13164</v>
      </c>
      <c r="AG692" t="s">
        <v>13165</v>
      </c>
      <c r="AH692" t="s">
        <v>13166</v>
      </c>
      <c r="AI692" t="s">
        <v>13167</v>
      </c>
      <c r="BA692" t="str">
        <f>"2399"</f>
        <v>2399</v>
      </c>
      <c r="BB692" t="str">
        <f>"1010"</f>
        <v>1010</v>
      </c>
      <c r="BC692" t="s">
        <v>665</v>
      </c>
      <c r="BD692" t="str">
        <f t="shared" si="159"/>
        <v>1</v>
      </c>
      <c r="BE692" t="s">
        <v>389</v>
      </c>
      <c r="BF692" t="str">
        <f>"43.31"</f>
        <v>43.31</v>
      </c>
      <c r="BG692" t="str">
        <f>"22.83"</f>
        <v>22.83</v>
      </c>
      <c r="BH692" t="str">
        <f>"90.55"</f>
        <v>90.55</v>
      </c>
      <c r="BI692" t="str">
        <f>"194.01"</f>
        <v>194.01</v>
      </c>
      <c r="BY692" t="str">
        <f>"51.81"</f>
        <v>51.81</v>
      </c>
      <c r="BZ692" t="str">
        <f>"1.467"</f>
        <v>1.467</v>
      </c>
      <c r="CA692" t="s">
        <v>431</v>
      </c>
      <c r="CB692" t="s">
        <v>3808</v>
      </c>
      <c r="CC692" t="s">
        <v>956</v>
      </c>
      <c r="CD692" t="s">
        <v>9079</v>
      </c>
      <c r="CE692" t="s">
        <v>3319</v>
      </c>
      <c r="CF692" t="s">
        <v>602</v>
      </c>
      <c r="CG692" t="s">
        <v>434</v>
      </c>
      <c r="CR692" t="s">
        <v>400</v>
      </c>
      <c r="CS692">
        <v>0</v>
      </c>
      <c r="CT692" t="s">
        <v>400</v>
      </c>
      <c r="CV692">
        <v>3</v>
      </c>
      <c r="CW692" t="s">
        <v>402</v>
      </c>
      <c r="CX692" t="s">
        <v>1980</v>
      </c>
      <c r="CY692" t="s">
        <v>954</v>
      </c>
      <c r="DA692">
        <v>18.14</v>
      </c>
      <c r="DB692">
        <v>40</v>
      </c>
      <c r="DC692">
        <v>1</v>
      </c>
      <c r="DJ692" t="s">
        <v>982</v>
      </c>
      <c r="DK692" t="s">
        <v>12842</v>
      </c>
      <c r="DX692" t="s">
        <v>13151</v>
      </c>
      <c r="EM692" t="s">
        <v>402</v>
      </c>
      <c r="EN692">
        <v>5</v>
      </c>
      <c r="EZ692" t="s">
        <v>7837</v>
      </c>
      <c r="FA692" t="s">
        <v>956</v>
      </c>
      <c r="FB692" t="s">
        <v>8060</v>
      </c>
      <c r="FC692" t="s">
        <v>3319</v>
      </c>
      <c r="FD692" t="s">
        <v>1348</v>
      </c>
      <c r="FE692" t="s">
        <v>434</v>
      </c>
      <c r="FI692">
        <v>2</v>
      </c>
      <c r="FJ692" t="s">
        <v>960</v>
      </c>
      <c r="FK692" t="s">
        <v>1246</v>
      </c>
      <c r="FM692" t="s">
        <v>402</v>
      </c>
      <c r="FO692" t="s">
        <v>984</v>
      </c>
      <c r="GB692" t="s">
        <v>3808</v>
      </c>
      <c r="GC692" t="s">
        <v>13152</v>
      </c>
      <c r="GD692" t="s">
        <v>9079</v>
      </c>
      <c r="GR692" t="s">
        <v>3808</v>
      </c>
      <c r="GS692" t="s">
        <v>3808</v>
      </c>
      <c r="GT692" t="s">
        <v>13152</v>
      </c>
      <c r="GU692" t="s">
        <v>13152</v>
      </c>
      <c r="GV692" t="s">
        <v>9079</v>
      </c>
      <c r="GW692" t="s">
        <v>9079</v>
      </c>
      <c r="GX692" t="s">
        <v>392</v>
      </c>
      <c r="HI692" t="s">
        <v>402</v>
      </c>
      <c r="JY692" t="s">
        <v>3808</v>
      </c>
      <c r="JZ692" t="s">
        <v>13152</v>
      </c>
      <c r="KA692" t="s">
        <v>9079</v>
      </c>
    </row>
    <row r="693" spans="1:287" x14ac:dyDescent="0.25">
      <c r="A693" t="s">
        <v>13168</v>
      </c>
      <c r="B693" t="str">
        <f>"801542134303"</f>
        <v>801542134303</v>
      </c>
      <c r="C693" t="s">
        <v>13169</v>
      </c>
      <c r="D693" t="s">
        <v>1276</v>
      </c>
      <c r="E693" t="s">
        <v>1319</v>
      </c>
      <c r="F693" t="s">
        <v>1320</v>
      </c>
      <c r="G693" t="str">
        <f>"67.5"</f>
        <v>67.5</v>
      </c>
      <c r="H693" t="str">
        <f>"27.5"</f>
        <v>27.5</v>
      </c>
      <c r="I693" t="str">
        <f>"31"</f>
        <v>31</v>
      </c>
      <c r="J693" t="str">
        <f>"148.37"</f>
        <v>148.37</v>
      </c>
      <c r="K693" t="s">
        <v>13090</v>
      </c>
      <c r="N693" t="s">
        <v>1463</v>
      </c>
      <c r="O693" t="s">
        <v>372</v>
      </c>
      <c r="T693" t="s">
        <v>373</v>
      </c>
      <c r="U693" t="s">
        <v>373</v>
      </c>
      <c r="V693" t="s">
        <v>13170</v>
      </c>
      <c r="W693" t="s">
        <v>13171</v>
      </c>
      <c r="X693" t="s">
        <v>13172</v>
      </c>
      <c r="Y693" t="s">
        <v>13173</v>
      </c>
      <c r="Z693" t="s">
        <v>13174</v>
      </c>
      <c r="AA693" t="s">
        <v>13175</v>
      </c>
      <c r="AB693" t="s">
        <v>13176</v>
      </c>
      <c r="AC693" t="s">
        <v>13177</v>
      </c>
      <c r="AD693" t="s">
        <v>13178</v>
      </c>
      <c r="AE693" t="s">
        <v>13179</v>
      </c>
      <c r="AF693" t="s">
        <v>13180</v>
      </c>
      <c r="AG693" t="s">
        <v>13181</v>
      </c>
      <c r="AH693" t="s">
        <v>13182</v>
      </c>
      <c r="AI693" t="s">
        <v>13183</v>
      </c>
      <c r="AJ693" t="s">
        <v>13184</v>
      </c>
      <c r="AK693" t="s">
        <v>13185</v>
      </c>
      <c r="AL693" t="s">
        <v>13186</v>
      </c>
      <c r="AM693" t="s">
        <v>13187</v>
      </c>
      <c r="BA693" t="str">
        <f>"1999"</f>
        <v>1999</v>
      </c>
      <c r="BB693" t="str">
        <f>"840"</f>
        <v>840</v>
      </c>
      <c r="BC693" t="s">
        <v>665</v>
      </c>
      <c r="BD693" t="str">
        <f t="shared" si="159"/>
        <v>1</v>
      </c>
      <c r="BE693" t="s">
        <v>389</v>
      </c>
      <c r="BF693" t="str">
        <f>"70.87"</f>
        <v>70.87</v>
      </c>
      <c r="BG693" t="str">
        <f>"37.4"</f>
        <v>37.4</v>
      </c>
      <c r="BH693" t="str">
        <f>"30.71"</f>
        <v>30.71</v>
      </c>
      <c r="BI693" t="str">
        <f>"193.35"</f>
        <v>193.35</v>
      </c>
      <c r="BY693" t="str">
        <f>"47.11"</f>
        <v>47.11</v>
      </c>
      <c r="BZ693" t="str">
        <f>"1.334"</f>
        <v>1.334</v>
      </c>
      <c r="CA693" t="s">
        <v>431</v>
      </c>
      <c r="CR693" t="s">
        <v>1007</v>
      </c>
      <c r="CS693">
        <v>5</v>
      </c>
      <c r="CT693" t="s">
        <v>400</v>
      </c>
      <c r="CV693">
        <v>0</v>
      </c>
      <c r="CX693" t="s">
        <v>1980</v>
      </c>
      <c r="CY693" t="s">
        <v>1009</v>
      </c>
      <c r="DC693">
        <v>0</v>
      </c>
      <c r="DJ693" t="s">
        <v>1345</v>
      </c>
      <c r="DK693" t="s">
        <v>12842</v>
      </c>
      <c r="DM693" t="s">
        <v>473</v>
      </c>
      <c r="DX693" t="s">
        <v>13188</v>
      </c>
      <c r="DY693" t="s">
        <v>2071</v>
      </c>
      <c r="DZ693" t="s">
        <v>13189</v>
      </c>
      <c r="EI693" t="s">
        <v>13190</v>
      </c>
      <c r="EJ693" t="s">
        <v>9650</v>
      </c>
      <c r="EK693" t="s">
        <v>674</v>
      </c>
      <c r="EL693" t="s">
        <v>956</v>
      </c>
      <c r="EM693" t="s">
        <v>402</v>
      </c>
      <c r="EN693">
        <v>0</v>
      </c>
      <c r="EW693" t="s">
        <v>13191</v>
      </c>
      <c r="FI693">
        <v>0</v>
      </c>
      <c r="FJ693" t="s">
        <v>1012</v>
      </c>
      <c r="FR693" t="s">
        <v>979</v>
      </c>
      <c r="FS693" t="s">
        <v>979</v>
      </c>
      <c r="FT693" t="s">
        <v>13192</v>
      </c>
      <c r="FU693" t="s">
        <v>8685</v>
      </c>
      <c r="FV693" t="s">
        <v>7224</v>
      </c>
      <c r="FW693" t="s">
        <v>7224</v>
      </c>
      <c r="FX693" t="s">
        <v>4210</v>
      </c>
      <c r="GE693">
        <v>0</v>
      </c>
      <c r="GY693" t="s">
        <v>979</v>
      </c>
      <c r="HA693" t="s">
        <v>3638</v>
      </c>
      <c r="HC693" t="s">
        <v>3076</v>
      </c>
      <c r="HH693" t="s">
        <v>402</v>
      </c>
    </row>
    <row r="694" spans="1:287" x14ac:dyDescent="0.25">
      <c r="A694" t="s">
        <v>13193</v>
      </c>
      <c r="B694" t="str">
        <f>"801542183851"</f>
        <v>801542183851</v>
      </c>
      <c r="C694" t="s">
        <v>13194</v>
      </c>
      <c r="D694" t="s">
        <v>1276</v>
      </c>
      <c r="E694" t="s">
        <v>2006</v>
      </c>
      <c r="F694" t="s">
        <v>2007</v>
      </c>
      <c r="G694" t="str">
        <f>"64.25"</f>
        <v>64.25</v>
      </c>
      <c r="H694" t="str">
        <f>"86"</f>
        <v>86</v>
      </c>
      <c r="I694" t="str">
        <f>"48"</f>
        <v>48</v>
      </c>
      <c r="J694" t="str">
        <f>"134.48"</f>
        <v>134.48</v>
      </c>
      <c r="K694" t="s">
        <v>5368</v>
      </c>
      <c r="L694" t="s">
        <v>10121</v>
      </c>
      <c r="M694" t="s">
        <v>10072</v>
      </c>
      <c r="N694" t="s">
        <v>5369</v>
      </c>
      <c r="O694" t="s">
        <v>5370</v>
      </c>
      <c r="P694" t="s">
        <v>5371</v>
      </c>
      <c r="Q694" t="s">
        <v>5372</v>
      </c>
      <c r="R694" t="s">
        <v>372</v>
      </c>
      <c r="S694" t="s">
        <v>1970</v>
      </c>
      <c r="T694" t="s">
        <v>373</v>
      </c>
      <c r="U694" t="s">
        <v>373</v>
      </c>
      <c r="V694" t="s">
        <v>13195</v>
      </c>
      <c r="W694" t="s">
        <v>13196</v>
      </c>
      <c r="X694" t="s">
        <v>13197</v>
      </c>
      <c r="Y694" t="s">
        <v>13198</v>
      </c>
      <c r="Z694" t="s">
        <v>13199</v>
      </c>
      <c r="AA694" t="s">
        <v>13200</v>
      </c>
      <c r="AB694" t="s">
        <v>13201</v>
      </c>
      <c r="AC694" t="s">
        <v>13202</v>
      </c>
      <c r="AD694" t="s">
        <v>13203</v>
      </c>
      <c r="AE694" t="s">
        <v>13204</v>
      </c>
      <c r="AF694" t="s">
        <v>13205</v>
      </c>
      <c r="AG694" t="s">
        <v>13206</v>
      </c>
      <c r="AH694" t="s">
        <v>13207</v>
      </c>
      <c r="AI694" t="s">
        <v>13208</v>
      </c>
      <c r="AJ694" t="s">
        <v>13209</v>
      </c>
      <c r="BA694" t="str">
        <f>"2099"</f>
        <v>2099</v>
      </c>
      <c r="BB694" t="str">
        <f>"885"</f>
        <v>885</v>
      </c>
      <c r="BC694" t="s">
        <v>665</v>
      </c>
      <c r="BD694" t="str">
        <f>"2"</f>
        <v>2</v>
      </c>
      <c r="BE694" t="s">
        <v>6809</v>
      </c>
      <c r="BF694" t="str">
        <f>"68.7"</f>
        <v>68.7</v>
      </c>
      <c r="BG694" t="str">
        <f>"52.48"</f>
        <v>52.48</v>
      </c>
      <c r="BH694" t="str">
        <f>"11.42"</f>
        <v>11.42</v>
      </c>
      <c r="BI694" t="str">
        <f>"80.91"</f>
        <v>80.91</v>
      </c>
      <c r="BJ694" t="s">
        <v>13210</v>
      </c>
      <c r="BK694" t="str">
        <f>"84.96"</f>
        <v>84.96</v>
      </c>
      <c r="BL694" t="str">
        <f>"13.78"</f>
        <v>13.78</v>
      </c>
      <c r="BM694" t="str">
        <f>"10.43"</f>
        <v>10.43</v>
      </c>
      <c r="BN694" t="str">
        <f>"84.44"</f>
        <v>84.44</v>
      </c>
      <c r="BY694" t="str">
        <f>"30.9"</f>
        <v>30.9</v>
      </c>
      <c r="BZ694" t="str">
        <f>"0.875"</f>
        <v>0.875</v>
      </c>
      <c r="CA694" t="s">
        <v>495</v>
      </c>
      <c r="CQ694" t="s">
        <v>399</v>
      </c>
      <c r="CR694" t="s">
        <v>400</v>
      </c>
      <c r="CS694">
        <v>0</v>
      </c>
      <c r="CT694" t="s">
        <v>400</v>
      </c>
      <c r="CV694">
        <v>0</v>
      </c>
      <c r="CX694" t="s">
        <v>1980</v>
      </c>
      <c r="CY694" t="s">
        <v>400</v>
      </c>
      <c r="DA694">
        <v>0</v>
      </c>
      <c r="DB694">
        <v>0</v>
      </c>
      <c r="DC694">
        <v>0</v>
      </c>
      <c r="DD694">
        <v>27000</v>
      </c>
      <c r="DK694" t="s">
        <v>13211</v>
      </c>
      <c r="DM694" t="s">
        <v>2028</v>
      </c>
      <c r="EN694">
        <v>0</v>
      </c>
      <c r="ET694" t="s">
        <v>3196</v>
      </c>
      <c r="HN694" t="s">
        <v>446</v>
      </c>
      <c r="HO694" t="s">
        <v>446</v>
      </c>
      <c r="HP694" t="s">
        <v>446</v>
      </c>
      <c r="HQ694" t="s">
        <v>11268</v>
      </c>
      <c r="HR694" t="s">
        <v>475</v>
      </c>
      <c r="HS694" t="s">
        <v>13212</v>
      </c>
      <c r="HT694" t="s">
        <v>9963</v>
      </c>
      <c r="HU694" t="s">
        <v>13213</v>
      </c>
      <c r="HV694" t="s">
        <v>13212</v>
      </c>
      <c r="HW694" t="s">
        <v>2171</v>
      </c>
      <c r="HX694" t="s">
        <v>674</v>
      </c>
      <c r="HY694" t="s">
        <v>3273</v>
      </c>
      <c r="HZ694" t="s">
        <v>2174</v>
      </c>
      <c r="IA694" t="s">
        <v>9964</v>
      </c>
      <c r="IB694" t="s">
        <v>3518</v>
      </c>
      <c r="IC694" t="s">
        <v>402</v>
      </c>
      <c r="ID694" t="s">
        <v>3519</v>
      </c>
      <c r="IE694" t="s">
        <v>2037</v>
      </c>
      <c r="IF694" t="s">
        <v>2177</v>
      </c>
      <c r="IG694" t="s">
        <v>2007</v>
      </c>
      <c r="IM694" t="s">
        <v>395</v>
      </c>
      <c r="IN694" t="s">
        <v>1240</v>
      </c>
      <c r="IP694" t="s">
        <v>402</v>
      </c>
      <c r="IQ694" t="s">
        <v>3522</v>
      </c>
    </row>
    <row r="695" spans="1:287" x14ac:dyDescent="0.25">
      <c r="A695" t="s">
        <v>13214</v>
      </c>
      <c r="B695" t="str">
        <f>"801542183844"</f>
        <v>801542183844</v>
      </c>
      <c r="C695" t="s">
        <v>13194</v>
      </c>
      <c r="D695" t="s">
        <v>1276</v>
      </c>
      <c r="E695" t="s">
        <v>2006</v>
      </c>
      <c r="F695" t="s">
        <v>2040</v>
      </c>
      <c r="G695" t="str">
        <f>"80.5"</f>
        <v>80.5</v>
      </c>
      <c r="H695" t="str">
        <f>"86"</f>
        <v>86</v>
      </c>
      <c r="I695" t="str">
        <f>"48"</f>
        <v>48</v>
      </c>
      <c r="J695" t="str">
        <f>"167.55"</f>
        <v>167.55</v>
      </c>
      <c r="K695" t="s">
        <v>5368</v>
      </c>
      <c r="L695" t="s">
        <v>10121</v>
      </c>
      <c r="M695" t="s">
        <v>10072</v>
      </c>
      <c r="N695" t="s">
        <v>5369</v>
      </c>
      <c r="O695" t="s">
        <v>5370</v>
      </c>
      <c r="P695" t="s">
        <v>5371</v>
      </c>
      <c r="Q695" t="s">
        <v>5372</v>
      </c>
      <c r="R695" t="s">
        <v>372</v>
      </c>
      <c r="S695" t="s">
        <v>1970</v>
      </c>
      <c r="T695" t="s">
        <v>373</v>
      </c>
      <c r="U695" t="s">
        <v>373</v>
      </c>
      <c r="V695" t="s">
        <v>13195</v>
      </c>
      <c r="W695" t="s">
        <v>13215</v>
      </c>
      <c r="X695" t="s">
        <v>13216</v>
      </c>
      <c r="Y695" t="s">
        <v>13217</v>
      </c>
      <c r="Z695" t="s">
        <v>13218</v>
      </c>
      <c r="AA695" t="s">
        <v>13200</v>
      </c>
      <c r="AB695" t="s">
        <v>13219</v>
      </c>
      <c r="AC695" t="s">
        <v>13220</v>
      </c>
      <c r="AD695" t="s">
        <v>13221</v>
      </c>
      <c r="AE695" t="s">
        <v>13222</v>
      </c>
      <c r="AF695" t="s">
        <v>13223</v>
      </c>
      <c r="AG695" t="s">
        <v>13224</v>
      </c>
      <c r="AH695" t="s">
        <v>13225</v>
      </c>
      <c r="AI695" t="s">
        <v>13226</v>
      </c>
      <c r="BA695" t="str">
        <f>"2299"</f>
        <v>2299</v>
      </c>
      <c r="BB695" t="str">
        <f>"970"</f>
        <v>970</v>
      </c>
      <c r="BC695" t="s">
        <v>665</v>
      </c>
      <c r="BD695" t="str">
        <f>"2"</f>
        <v>2</v>
      </c>
      <c r="BE695" t="s">
        <v>6809</v>
      </c>
      <c r="BF695" t="str">
        <f>"85.24"</f>
        <v>85.24</v>
      </c>
      <c r="BG695" t="str">
        <f>"53.15"</f>
        <v>53.15</v>
      </c>
      <c r="BH695" t="str">
        <f>"11.22"</f>
        <v>11.22</v>
      </c>
      <c r="BI695" t="str">
        <f>"103.62"</f>
        <v>103.62</v>
      </c>
      <c r="BJ695" t="s">
        <v>13227</v>
      </c>
      <c r="BK695" t="str">
        <f>"84.96"</f>
        <v>84.96</v>
      </c>
      <c r="BL695" t="str">
        <f>"13.78"</f>
        <v>13.78</v>
      </c>
      <c r="BM695" t="str">
        <f>"10.43"</f>
        <v>10.43</v>
      </c>
      <c r="BN695" t="str">
        <f>"99.21"</f>
        <v>99.21</v>
      </c>
      <c r="BY695" t="str">
        <f>"36.48"</f>
        <v>36.48</v>
      </c>
      <c r="BZ695" t="str">
        <f>"1.033"</f>
        <v>1.033</v>
      </c>
      <c r="CA695" t="s">
        <v>495</v>
      </c>
      <c r="CQ695" t="s">
        <v>399</v>
      </c>
      <c r="CR695" t="s">
        <v>400</v>
      </c>
      <c r="CS695">
        <v>0</v>
      </c>
      <c r="CT695" t="s">
        <v>400</v>
      </c>
      <c r="CV695">
        <v>0</v>
      </c>
      <c r="CX695" t="s">
        <v>1980</v>
      </c>
      <c r="CY695" t="s">
        <v>400</v>
      </c>
      <c r="DA695">
        <v>0</v>
      </c>
      <c r="DB695">
        <v>0</v>
      </c>
      <c r="DC695">
        <v>0</v>
      </c>
      <c r="DD695">
        <v>27000</v>
      </c>
      <c r="DK695" t="s">
        <v>13211</v>
      </c>
      <c r="DM695" t="s">
        <v>2028</v>
      </c>
      <c r="EN695">
        <v>0</v>
      </c>
      <c r="ET695" t="s">
        <v>3196</v>
      </c>
      <c r="HN695" t="s">
        <v>446</v>
      </c>
      <c r="HO695" t="s">
        <v>446</v>
      </c>
      <c r="HP695" t="s">
        <v>446</v>
      </c>
      <c r="HQ695" t="s">
        <v>11268</v>
      </c>
      <c r="HR695" t="s">
        <v>475</v>
      </c>
      <c r="HS695" t="s">
        <v>13228</v>
      </c>
      <c r="HT695" t="s">
        <v>9963</v>
      </c>
      <c r="HU695" t="s">
        <v>13213</v>
      </c>
      <c r="HV695" t="s">
        <v>13228</v>
      </c>
      <c r="HW695" t="s">
        <v>2171</v>
      </c>
      <c r="HX695" t="s">
        <v>674</v>
      </c>
      <c r="HY695" t="s">
        <v>3255</v>
      </c>
      <c r="HZ695" t="s">
        <v>2174</v>
      </c>
      <c r="IA695" t="s">
        <v>9964</v>
      </c>
      <c r="IB695" t="s">
        <v>3518</v>
      </c>
      <c r="IC695" t="s">
        <v>402</v>
      </c>
      <c r="ID695" t="s">
        <v>3519</v>
      </c>
      <c r="IE695" t="s">
        <v>2037</v>
      </c>
      <c r="IF695" t="s">
        <v>2177</v>
      </c>
      <c r="IG695" t="s">
        <v>2040</v>
      </c>
      <c r="IM695" t="s">
        <v>395</v>
      </c>
      <c r="IN695" t="s">
        <v>1240</v>
      </c>
      <c r="IP695" t="s">
        <v>402</v>
      </c>
      <c r="IQ695" t="s">
        <v>3522</v>
      </c>
    </row>
    <row r="696" spans="1:287" x14ac:dyDescent="0.25">
      <c r="A696" t="s">
        <v>13229</v>
      </c>
      <c r="B696" t="str">
        <f>"801542381974"</f>
        <v>801542381974</v>
      </c>
      <c r="C696" t="s">
        <v>13230</v>
      </c>
      <c r="D696" t="s">
        <v>1276</v>
      </c>
      <c r="E696" t="s">
        <v>2006</v>
      </c>
      <c r="F696" t="s">
        <v>2007</v>
      </c>
      <c r="G696" t="str">
        <f>"64.25"</f>
        <v>64.25</v>
      </c>
      <c r="H696" t="str">
        <f>"86"</f>
        <v>86</v>
      </c>
      <c r="I696" t="str">
        <f>"48"</f>
        <v>48</v>
      </c>
      <c r="J696" t="str">
        <f>"134.48"</f>
        <v>134.48</v>
      </c>
      <c r="K696" t="s">
        <v>584</v>
      </c>
      <c r="L696" t="s">
        <v>10121</v>
      </c>
      <c r="M696" t="s">
        <v>10072</v>
      </c>
      <c r="N696" t="s">
        <v>416</v>
      </c>
      <c r="O696" t="s">
        <v>372</v>
      </c>
      <c r="P696" t="s">
        <v>1970</v>
      </c>
      <c r="T696" t="s">
        <v>373</v>
      </c>
      <c r="U696" t="s">
        <v>373</v>
      </c>
      <c r="V696" t="s">
        <v>13231</v>
      </c>
      <c r="W696" t="s">
        <v>13232</v>
      </c>
      <c r="X696" t="s">
        <v>13233</v>
      </c>
      <c r="Y696" t="s">
        <v>13234</v>
      </c>
      <c r="Z696" t="s">
        <v>13235</v>
      </c>
      <c r="AA696" t="s">
        <v>13236</v>
      </c>
      <c r="AB696" t="s">
        <v>13237</v>
      </c>
      <c r="AC696" t="s">
        <v>13238</v>
      </c>
      <c r="AD696" t="s">
        <v>13239</v>
      </c>
      <c r="AE696" t="s">
        <v>13240</v>
      </c>
      <c r="AF696" t="s">
        <v>13241</v>
      </c>
      <c r="AG696" t="s">
        <v>13242</v>
      </c>
      <c r="AH696" t="s">
        <v>13243</v>
      </c>
      <c r="AI696" t="s">
        <v>13244</v>
      </c>
      <c r="BA696" t="str">
        <f>"2449"</f>
        <v>2449</v>
      </c>
      <c r="BB696" t="str">
        <f>"1030"</f>
        <v>1030</v>
      </c>
      <c r="BC696" t="s">
        <v>665</v>
      </c>
      <c r="BD696" t="str">
        <f>"2"</f>
        <v>2</v>
      </c>
      <c r="BE696" t="s">
        <v>6809</v>
      </c>
      <c r="BF696" t="str">
        <f>"68.7"</f>
        <v>68.7</v>
      </c>
      <c r="BG696" t="str">
        <f>"52.48"</f>
        <v>52.48</v>
      </c>
      <c r="BH696" t="str">
        <f>"11.42"</f>
        <v>11.42</v>
      </c>
      <c r="BI696" t="str">
        <f>"80.91"</f>
        <v>80.91</v>
      </c>
      <c r="BJ696" t="s">
        <v>13227</v>
      </c>
      <c r="BK696" t="str">
        <f>"84.96"</f>
        <v>84.96</v>
      </c>
      <c r="BL696" t="str">
        <f>"13.78"</f>
        <v>13.78</v>
      </c>
      <c r="BM696" t="str">
        <f>"10.43"</f>
        <v>10.43</v>
      </c>
      <c r="BN696" t="str">
        <f>"84.44"</f>
        <v>84.44</v>
      </c>
      <c r="BY696" t="str">
        <f>"30.9"</f>
        <v>30.9</v>
      </c>
      <c r="BZ696" t="str">
        <f>"0.875"</f>
        <v>0.875</v>
      </c>
      <c r="CA696" t="s">
        <v>431</v>
      </c>
      <c r="CQ696" t="s">
        <v>438</v>
      </c>
      <c r="CR696" t="s">
        <v>400</v>
      </c>
      <c r="CS696">
        <v>0</v>
      </c>
      <c r="CT696" t="s">
        <v>400</v>
      </c>
      <c r="CV696">
        <v>0</v>
      </c>
      <c r="CX696" t="s">
        <v>1980</v>
      </c>
      <c r="CY696" t="s">
        <v>400</v>
      </c>
      <c r="DA696">
        <v>0</v>
      </c>
      <c r="DB696">
        <v>0</v>
      </c>
      <c r="DC696">
        <v>0</v>
      </c>
      <c r="DD696">
        <v>0</v>
      </c>
      <c r="DK696" t="s">
        <v>13211</v>
      </c>
      <c r="DM696" t="s">
        <v>2028</v>
      </c>
      <c r="EN696">
        <v>0</v>
      </c>
      <c r="ET696" t="s">
        <v>3196</v>
      </c>
      <c r="HN696" t="s">
        <v>446</v>
      </c>
      <c r="HO696" t="s">
        <v>446</v>
      </c>
      <c r="HP696" t="s">
        <v>446</v>
      </c>
      <c r="HQ696" t="s">
        <v>11268</v>
      </c>
      <c r="HR696" t="s">
        <v>475</v>
      </c>
      <c r="HS696" t="s">
        <v>13212</v>
      </c>
      <c r="HT696" t="s">
        <v>9963</v>
      </c>
      <c r="HU696" t="s">
        <v>13213</v>
      </c>
      <c r="HV696" t="s">
        <v>13212</v>
      </c>
      <c r="HW696" t="s">
        <v>2171</v>
      </c>
      <c r="HX696" t="s">
        <v>674</v>
      </c>
      <c r="HY696" t="s">
        <v>3273</v>
      </c>
      <c r="HZ696" t="s">
        <v>2174</v>
      </c>
      <c r="IA696" t="s">
        <v>9964</v>
      </c>
      <c r="IB696" t="s">
        <v>3518</v>
      </c>
      <c r="IC696" t="s">
        <v>402</v>
      </c>
      <c r="ID696" t="s">
        <v>3519</v>
      </c>
      <c r="IE696" t="s">
        <v>2037</v>
      </c>
      <c r="IF696" t="s">
        <v>2177</v>
      </c>
      <c r="IG696" t="s">
        <v>2007</v>
      </c>
      <c r="IM696" t="s">
        <v>395</v>
      </c>
      <c r="IN696" t="s">
        <v>1240</v>
      </c>
      <c r="IP696" t="s">
        <v>402</v>
      </c>
      <c r="IQ696" t="s">
        <v>3522</v>
      </c>
    </row>
    <row r="697" spans="1:287" x14ac:dyDescent="0.25">
      <c r="A697" t="s">
        <v>13245</v>
      </c>
      <c r="B697" t="str">
        <f>"801542381967"</f>
        <v>801542381967</v>
      </c>
      <c r="C697" t="s">
        <v>13230</v>
      </c>
      <c r="D697" t="s">
        <v>1276</v>
      </c>
      <c r="E697" t="s">
        <v>2006</v>
      </c>
      <c r="F697" t="s">
        <v>2040</v>
      </c>
      <c r="G697" t="str">
        <f>"80.5"</f>
        <v>80.5</v>
      </c>
      <c r="H697" t="str">
        <f>"86"</f>
        <v>86</v>
      </c>
      <c r="I697" t="str">
        <f>"48"</f>
        <v>48</v>
      </c>
      <c r="J697" t="str">
        <f>"167.55"</f>
        <v>167.55</v>
      </c>
      <c r="K697" t="s">
        <v>584</v>
      </c>
      <c r="L697" t="s">
        <v>10121</v>
      </c>
      <c r="M697" t="s">
        <v>10072</v>
      </c>
      <c r="N697" t="s">
        <v>416</v>
      </c>
      <c r="O697" t="s">
        <v>372</v>
      </c>
      <c r="P697" t="s">
        <v>1970</v>
      </c>
      <c r="T697" t="s">
        <v>373</v>
      </c>
      <c r="U697" t="s">
        <v>373</v>
      </c>
      <c r="V697" t="s">
        <v>13231</v>
      </c>
      <c r="W697" t="s">
        <v>13246</v>
      </c>
      <c r="X697" t="s">
        <v>13247</v>
      </c>
      <c r="Y697" t="s">
        <v>13248</v>
      </c>
      <c r="Z697" t="s">
        <v>13249</v>
      </c>
      <c r="AA697" t="s">
        <v>13250</v>
      </c>
      <c r="AB697" t="s">
        <v>13251</v>
      </c>
      <c r="AC697" t="s">
        <v>13252</v>
      </c>
      <c r="AD697" t="s">
        <v>13253</v>
      </c>
      <c r="AE697" t="s">
        <v>13254</v>
      </c>
      <c r="AF697" t="s">
        <v>13255</v>
      </c>
      <c r="AG697" t="s">
        <v>13256</v>
      </c>
      <c r="AH697" t="s">
        <v>13257</v>
      </c>
      <c r="BA697" t="str">
        <f>"2899"</f>
        <v>2899</v>
      </c>
      <c r="BB697" t="str">
        <f>"1220"</f>
        <v>1220</v>
      </c>
      <c r="BC697" t="s">
        <v>665</v>
      </c>
      <c r="BD697" t="str">
        <f>"2"</f>
        <v>2</v>
      </c>
      <c r="BE697" t="s">
        <v>6809</v>
      </c>
      <c r="BF697" t="str">
        <f>"85.24"</f>
        <v>85.24</v>
      </c>
      <c r="BG697" t="str">
        <f>"53.15"</f>
        <v>53.15</v>
      </c>
      <c r="BH697" t="str">
        <f>"11.22"</f>
        <v>11.22</v>
      </c>
      <c r="BI697" t="str">
        <f>"103.62"</f>
        <v>103.62</v>
      </c>
      <c r="BJ697" t="s">
        <v>13227</v>
      </c>
      <c r="BK697" t="str">
        <f>"84.96"</f>
        <v>84.96</v>
      </c>
      <c r="BL697" t="str">
        <f>"13.78"</f>
        <v>13.78</v>
      </c>
      <c r="BM697" t="str">
        <f>"10.43"</f>
        <v>10.43</v>
      </c>
      <c r="BN697" t="str">
        <f>"99.21"</f>
        <v>99.21</v>
      </c>
      <c r="BY697" t="str">
        <f>"36.48"</f>
        <v>36.48</v>
      </c>
      <c r="BZ697" t="str">
        <f>"1.033"</f>
        <v>1.033</v>
      </c>
      <c r="CA697" t="s">
        <v>431</v>
      </c>
      <c r="CQ697" t="s">
        <v>438</v>
      </c>
      <c r="CR697" t="s">
        <v>400</v>
      </c>
      <c r="CS697">
        <v>0</v>
      </c>
      <c r="CT697" t="s">
        <v>400</v>
      </c>
      <c r="CV697">
        <v>0</v>
      </c>
      <c r="CX697" t="s">
        <v>1980</v>
      </c>
      <c r="CY697" t="s">
        <v>400</v>
      </c>
      <c r="DA697">
        <v>0</v>
      </c>
      <c r="DB697">
        <v>0</v>
      </c>
      <c r="DC697">
        <v>0</v>
      </c>
      <c r="DD697">
        <v>0</v>
      </c>
      <c r="DK697" t="s">
        <v>13211</v>
      </c>
      <c r="DM697" t="s">
        <v>2028</v>
      </c>
      <c r="EN697">
        <v>0</v>
      </c>
      <c r="ET697" t="s">
        <v>3196</v>
      </c>
      <c r="HN697" t="s">
        <v>446</v>
      </c>
      <c r="HO697" t="s">
        <v>446</v>
      </c>
      <c r="HP697" t="s">
        <v>446</v>
      </c>
      <c r="HQ697" t="s">
        <v>11268</v>
      </c>
      <c r="HR697" t="s">
        <v>475</v>
      </c>
      <c r="HS697" t="s">
        <v>13228</v>
      </c>
      <c r="HT697" t="s">
        <v>9963</v>
      </c>
      <c r="HU697" t="s">
        <v>13213</v>
      </c>
      <c r="HV697" t="s">
        <v>13228</v>
      </c>
      <c r="HW697" t="s">
        <v>2171</v>
      </c>
      <c r="HX697" t="s">
        <v>674</v>
      </c>
      <c r="HY697" t="s">
        <v>3255</v>
      </c>
      <c r="HZ697" t="s">
        <v>2174</v>
      </c>
      <c r="IA697" t="s">
        <v>9964</v>
      </c>
      <c r="IB697" t="s">
        <v>3518</v>
      </c>
      <c r="IC697" t="s">
        <v>402</v>
      </c>
      <c r="ID697" t="s">
        <v>3519</v>
      </c>
      <c r="IE697" t="s">
        <v>2037</v>
      </c>
      <c r="IF697" t="s">
        <v>2177</v>
      </c>
      <c r="IG697" t="s">
        <v>2040</v>
      </c>
      <c r="IM697" t="s">
        <v>395</v>
      </c>
      <c r="IN697" t="s">
        <v>1240</v>
      </c>
      <c r="IP697" t="s">
        <v>402</v>
      </c>
      <c r="IQ697" t="s">
        <v>3522</v>
      </c>
    </row>
    <row r="698" spans="1:287" x14ac:dyDescent="0.25">
      <c r="A698" t="s">
        <v>13258</v>
      </c>
      <c r="B698" t="str">
        <f>"801542190484"</f>
        <v>801542190484</v>
      </c>
      <c r="C698" t="s">
        <v>13259</v>
      </c>
      <c r="D698" t="s">
        <v>1276</v>
      </c>
      <c r="E698" t="s">
        <v>1043</v>
      </c>
      <c r="G698" t="str">
        <f>"30"</f>
        <v>30</v>
      </c>
      <c r="H698" t="str">
        <f>"17"</f>
        <v>17</v>
      </c>
      <c r="I698" t="str">
        <f>"24"</f>
        <v>24</v>
      </c>
      <c r="J698" t="str">
        <f>"76.06"</f>
        <v>76.06</v>
      </c>
      <c r="K698" t="s">
        <v>10072</v>
      </c>
      <c r="N698" t="s">
        <v>1970</v>
      </c>
      <c r="O698" t="s">
        <v>372</v>
      </c>
      <c r="T698" t="s">
        <v>373</v>
      </c>
      <c r="U698" t="s">
        <v>373</v>
      </c>
      <c r="V698" t="s">
        <v>13260</v>
      </c>
      <c r="W698" t="s">
        <v>13261</v>
      </c>
      <c r="X698" t="s">
        <v>13262</v>
      </c>
      <c r="Y698" t="s">
        <v>13263</v>
      </c>
      <c r="Z698" t="s">
        <v>13264</v>
      </c>
      <c r="AA698" t="s">
        <v>13265</v>
      </c>
      <c r="AB698" t="s">
        <v>13266</v>
      </c>
      <c r="AC698" t="s">
        <v>13267</v>
      </c>
      <c r="AD698" t="s">
        <v>13268</v>
      </c>
      <c r="AE698" t="s">
        <v>13269</v>
      </c>
      <c r="AF698" t="s">
        <v>13270</v>
      </c>
      <c r="AG698" t="s">
        <v>13271</v>
      </c>
      <c r="AH698" t="s">
        <v>13272</v>
      </c>
      <c r="AI698" t="s">
        <v>13273</v>
      </c>
      <c r="AJ698" t="s">
        <v>13274</v>
      </c>
      <c r="AK698" t="s">
        <v>13275</v>
      </c>
      <c r="AL698" t="s">
        <v>13276</v>
      </c>
      <c r="AM698" t="s">
        <v>13277</v>
      </c>
      <c r="AN698" t="s">
        <v>13278</v>
      </c>
      <c r="BA698" t="str">
        <f>"899"</f>
        <v>899</v>
      </c>
      <c r="BB698" t="str">
        <f>"380"</f>
        <v>380</v>
      </c>
      <c r="BC698" t="s">
        <v>665</v>
      </c>
      <c r="BD698" t="str">
        <f t="shared" ref="BD698:BD703" si="160">"1"</f>
        <v>1</v>
      </c>
      <c r="BE698" t="s">
        <v>13279</v>
      </c>
      <c r="BF698" t="str">
        <f>"33.39"</f>
        <v>33.39</v>
      </c>
      <c r="BG698" t="str">
        <f>"20.59"</f>
        <v>20.59</v>
      </c>
      <c r="BH698" t="str">
        <f>"31.02"</f>
        <v>31.02</v>
      </c>
      <c r="BI698" t="str">
        <f>"95.9"</f>
        <v>95.9</v>
      </c>
      <c r="BY698" t="str">
        <f>"12.32"</f>
        <v>12.32</v>
      </c>
      <c r="BZ698" t="str">
        <f>"0.349"</f>
        <v>0.349</v>
      </c>
      <c r="CA698" t="s">
        <v>431</v>
      </c>
      <c r="CR698" t="s">
        <v>1007</v>
      </c>
      <c r="CS698">
        <v>2</v>
      </c>
      <c r="CT698" t="s">
        <v>400</v>
      </c>
      <c r="CV698">
        <v>0</v>
      </c>
      <c r="CX698" t="s">
        <v>1980</v>
      </c>
      <c r="CY698" t="s">
        <v>1009</v>
      </c>
      <c r="DC698">
        <v>0</v>
      </c>
      <c r="DJ698" t="s">
        <v>408</v>
      </c>
      <c r="DK698" t="s">
        <v>13211</v>
      </c>
      <c r="DM698" t="s">
        <v>473</v>
      </c>
      <c r="DX698" t="s">
        <v>3079</v>
      </c>
      <c r="EM698" t="s">
        <v>402</v>
      </c>
      <c r="EN698">
        <v>0</v>
      </c>
      <c r="FI698">
        <v>0</v>
      </c>
      <c r="FJ698" t="s">
        <v>1012</v>
      </c>
      <c r="FR698" t="s">
        <v>6159</v>
      </c>
      <c r="FT698" t="s">
        <v>4147</v>
      </c>
      <c r="FV698" t="s">
        <v>5827</v>
      </c>
      <c r="FX698" t="s">
        <v>1017</v>
      </c>
      <c r="FZ698" t="s">
        <v>1018</v>
      </c>
    </row>
    <row r="699" spans="1:287" x14ac:dyDescent="0.25">
      <c r="A699" t="s">
        <v>13280</v>
      </c>
      <c r="B699" t="str">
        <f>"801542329983"</f>
        <v>801542329983</v>
      </c>
      <c r="C699" t="s">
        <v>13281</v>
      </c>
      <c r="D699" t="s">
        <v>1276</v>
      </c>
      <c r="E699" t="s">
        <v>1043</v>
      </c>
      <c r="G699" t="str">
        <f>"30"</f>
        <v>30</v>
      </c>
      <c r="H699" t="str">
        <f>"17"</f>
        <v>17</v>
      </c>
      <c r="I699" t="str">
        <f>"24"</f>
        <v>24</v>
      </c>
      <c r="J699" t="str">
        <f>"76.06"</f>
        <v>76.06</v>
      </c>
      <c r="K699" t="s">
        <v>4213</v>
      </c>
      <c r="N699" t="s">
        <v>1970</v>
      </c>
      <c r="O699" t="s">
        <v>372</v>
      </c>
      <c r="T699" t="s">
        <v>373</v>
      </c>
      <c r="U699" t="s">
        <v>373</v>
      </c>
      <c r="V699" t="s">
        <v>13282</v>
      </c>
      <c r="W699" t="s">
        <v>13283</v>
      </c>
      <c r="X699" t="s">
        <v>13284</v>
      </c>
      <c r="Y699" t="s">
        <v>13285</v>
      </c>
      <c r="Z699" t="s">
        <v>13286</v>
      </c>
      <c r="AA699" t="s">
        <v>13287</v>
      </c>
      <c r="AB699" t="s">
        <v>13288</v>
      </c>
      <c r="AC699" t="s">
        <v>13289</v>
      </c>
      <c r="AD699" t="s">
        <v>13290</v>
      </c>
      <c r="AE699" t="s">
        <v>13291</v>
      </c>
      <c r="AF699" t="s">
        <v>13292</v>
      </c>
      <c r="AG699" t="s">
        <v>13293</v>
      </c>
      <c r="AH699" t="s">
        <v>13294</v>
      </c>
      <c r="AI699" t="s">
        <v>13295</v>
      </c>
      <c r="AJ699" t="s">
        <v>13296</v>
      </c>
      <c r="BA699" t="str">
        <f>"899"</f>
        <v>899</v>
      </c>
      <c r="BB699" t="str">
        <f>"380"</f>
        <v>380</v>
      </c>
      <c r="BC699" t="s">
        <v>665</v>
      </c>
      <c r="BD699" t="str">
        <f t="shared" si="160"/>
        <v>1</v>
      </c>
      <c r="BE699" t="s">
        <v>13279</v>
      </c>
      <c r="BF699" t="str">
        <f>"33.39"</f>
        <v>33.39</v>
      </c>
      <c r="BG699" t="str">
        <f>"20.59"</f>
        <v>20.59</v>
      </c>
      <c r="BH699" t="str">
        <f>"31.02"</f>
        <v>31.02</v>
      </c>
      <c r="BI699" t="str">
        <f>"95.9"</f>
        <v>95.9</v>
      </c>
      <c r="BY699" t="str">
        <f>"12.32"</f>
        <v>12.32</v>
      </c>
      <c r="BZ699" t="str">
        <f>"0.349"</f>
        <v>0.349</v>
      </c>
      <c r="CA699" t="s">
        <v>390</v>
      </c>
      <c r="CR699" t="s">
        <v>1007</v>
      </c>
      <c r="CS699">
        <v>2</v>
      </c>
      <c r="CT699" t="s">
        <v>400</v>
      </c>
      <c r="CV699">
        <v>0</v>
      </c>
      <c r="CX699" t="s">
        <v>1980</v>
      </c>
      <c r="CY699" t="s">
        <v>1009</v>
      </c>
      <c r="DC699">
        <v>0</v>
      </c>
      <c r="DJ699" t="s">
        <v>408</v>
      </c>
      <c r="DK699" t="s">
        <v>13211</v>
      </c>
      <c r="DM699" t="s">
        <v>473</v>
      </c>
      <c r="DX699" t="s">
        <v>3079</v>
      </c>
      <c r="EM699" t="s">
        <v>402</v>
      </c>
      <c r="EN699">
        <v>0</v>
      </c>
      <c r="FI699">
        <v>0</v>
      </c>
      <c r="FJ699" t="s">
        <v>1012</v>
      </c>
      <c r="FR699" t="s">
        <v>6159</v>
      </c>
      <c r="FT699" t="s">
        <v>4147</v>
      </c>
      <c r="FV699" t="s">
        <v>5827</v>
      </c>
      <c r="FX699" t="s">
        <v>1017</v>
      </c>
      <c r="FZ699" t="s">
        <v>1018</v>
      </c>
    </row>
    <row r="700" spans="1:287" x14ac:dyDescent="0.25">
      <c r="A700" t="s">
        <v>13297</v>
      </c>
      <c r="B700" t="str">
        <f>"801542190477"</f>
        <v>801542190477</v>
      </c>
      <c r="C700" t="s">
        <v>13298</v>
      </c>
      <c r="D700" t="s">
        <v>1276</v>
      </c>
      <c r="E700" t="s">
        <v>988</v>
      </c>
      <c r="G700" t="str">
        <f>"75"</f>
        <v>75</v>
      </c>
      <c r="H700" t="str">
        <f>"20"</f>
        <v>20</v>
      </c>
      <c r="I700" t="str">
        <f>"31.5"</f>
        <v>31.5</v>
      </c>
      <c r="J700" t="str">
        <f>"260.14"</f>
        <v>260.14</v>
      </c>
      <c r="K700" t="s">
        <v>10072</v>
      </c>
      <c r="N700" t="s">
        <v>1970</v>
      </c>
      <c r="O700" t="s">
        <v>372</v>
      </c>
      <c r="T700" t="s">
        <v>373</v>
      </c>
      <c r="U700" t="s">
        <v>373</v>
      </c>
      <c r="V700" t="s">
        <v>13299</v>
      </c>
      <c r="W700" t="s">
        <v>13300</v>
      </c>
      <c r="X700" t="s">
        <v>13301</v>
      </c>
      <c r="Y700" t="s">
        <v>13302</v>
      </c>
      <c r="Z700" t="s">
        <v>13303</v>
      </c>
      <c r="AA700" t="s">
        <v>13304</v>
      </c>
      <c r="AB700" t="s">
        <v>13305</v>
      </c>
      <c r="AC700" t="s">
        <v>13306</v>
      </c>
      <c r="AD700" t="s">
        <v>13307</v>
      </c>
      <c r="AE700" t="s">
        <v>13308</v>
      </c>
      <c r="AF700" t="s">
        <v>13309</v>
      </c>
      <c r="AG700" t="s">
        <v>13310</v>
      </c>
      <c r="AH700" t="s">
        <v>13311</v>
      </c>
      <c r="AI700" t="s">
        <v>13312</v>
      </c>
      <c r="AJ700" t="s">
        <v>13313</v>
      </c>
      <c r="AK700" t="s">
        <v>13314</v>
      </c>
      <c r="AL700" t="s">
        <v>13315</v>
      </c>
      <c r="AM700" t="s">
        <v>13316</v>
      </c>
      <c r="BA700" t="str">
        <f>"2099"</f>
        <v>2099</v>
      </c>
      <c r="BB700" t="str">
        <f>"885"</f>
        <v>885</v>
      </c>
      <c r="BC700" t="s">
        <v>665</v>
      </c>
      <c r="BD700" t="str">
        <f t="shared" si="160"/>
        <v>1</v>
      </c>
      <c r="BE700" t="s">
        <v>389</v>
      </c>
      <c r="BF700" t="str">
        <f>"78.74"</f>
        <v>78.74</v>
      </c>
      <c r="BG700" t="str">
        <f>"23.82"</f>
        <v>23.82</v>
      </c>
      <c r="BH700" t="str">
        <f>"38.39"</f>
        <v>38.39</v>
      </c>
      <c r="BI700" t="str">
        <f>"304.24"</f>
        <v>304.24</v>
      </c>
      <c r="BY700" t="str">
        <f>"41.67"</f>
        <v>41.67</v>
      </c>
      <c r="BZ700" t="str">
        <f>"1.18"</f>
        <v>1.18</v>
      </c>
      <c r="CA700" t="s">
        <v>431</v>
      </c>
      <c r="CR700" t="s">
        <v>1007</v>
      </c>
      <c r="CS700">
        <v>6</v>
      </c>
      <c r="CT700" t="s">
        <v>400</v>
      </c>
      <c r="CV700">
        <v>0</v>
      </c>
      <c r="CX700" t="s">
        <v>1980</v>
      </c>
      <c r="CY700" t="s">
        <v>1009</v>
      </c>
      <c r="DC700">
        <v>0</v>
      </c>
      <c r="DJ700" t="s">
        <v>1010</v>
      </c>
      <c r="DK700" t="s">
        <v>13211</v>
      </c>
      <c r="DM700" t="s">
        <v>669</v>
      </c>
      <c r="DX700" t="s">
        <v>3079</v>
      </c>
      <c r="EM700" t="s">
        <v>402</v>
      </c>
      <c r="EN700">
        <v>0</v>
      </c>
      <c r="FI700">
        <v>0</v>
      </c>
      <c r="FJ700" t="s">
        <v>1012</v>
      </c>
      <c r="FR700" t="s">
        <v>3319</v>
      </c>
      <c r="FT700" t="s">
        <v>11245</v>
      </c>
      <c r="FV700" t="s">
        <v>578</v>
      </c>
      <c r="FX700" t="s">
        <v>1017</v>
      </c>
      <c r="FZ700" t="s">
        <v>1018</v>
      </c>
    </row>
    <row r="701" spans="1:287" x14ac:dyDescent="0.25">
      <c r="A701" t="s">
        <v>13317</v>
      </c>
      <c r="B701" t="str">
        <f>"801542381950"</f>
        <v>801542381950</v>
      </c>
      <c r="C701" t="s">
        <v>13318</v>
      </c>
      <c r="D701" t="s">
        <v>1276</v>
      </c>
      <c r="E701" t="s">
        <v>988</v>
      </c>
      <c r="G701" t="str">
        <f>"75"</f>
        <v>75</v>
      </c>
      <c r="H701" t="str">
        <f>"20"</f>
        <v>20</v>
      </c>
      <c r="I701" t="str">
        <f>"31.5"</f>
        <v>31.5</v>
      </c>
      <c r="J701" t="str">
        <f>"260.14"</f>
        <v>260.14</v>
      </c>
      <c r="K701" t="s">
        <v>4213</v>
      </c>
      <c r="N701" t="s">
        <v>1970</v>
      </c>
      <c r="O701" t="s">
        <v>372</v>
      </c>
      <c r="T701" t="s">
        <v>373</v>
      </c>
      <c r="U701" t="s">
        <v>373</v>
      </c>
      <c r="V701" t="s">
        <v>13319</v>
      </c>
      <c r="W701" t="s">
        <v>13320</v>
      </c>
      <c r="X701" t="s">
        <v>13321</v>
      </c>
      <c r="Y701" t="s">
        <v>13322</v>
      </c>
      <c r="Z701" t="s">
        <v>13323</v>
      </c>
      <c r="AA701" t="s">
        <v>13324</v>
      </c>
      <c r="AB701" t="s">
        <v>13325</v>
      </c>
      <c r="AC701" t="s">
        <v>13326</v>
      </c>
      <c r="AD701" t="s">
        <v>13327</v>
      </c>
      <c r="AE701" t="s">
        <v>13328</v>
      </c>
      <c r="AF701" t="s">
        <v>13329</v>
      </c>
      <c r="AG701" t="s">
        <v>13330</v>
      </c>
      <c r="AH701" t="s">
        <v>13331</v>
      </c>
      <c r="BA701" t="str">
        <f>"2099"</f>
        <v>2099</v>
      </c>
      <c r="BB701" t="str">
        <f>"885"</f>
        <v>885</v>
      </c>
      <c r="BC701" t="s">
        <v>665</v>
      </c>
      <c r="BD701" t="str">
        <f t="shared" si="160"/>
        <v>1</v>
      </c>
      <c r="BE701" t="s">
        <v>389</v>
      </c>
      <c r="BF701" t="str">
        <f>"78.74"</f>
        <v>78.74</v>
      </c>
      <c r="BG701" t="str">
        <f>"23.82"</f>
        <v>23.82</v>
      </c>
      <c r="BH701" t="str">
        <f>"38.39"</f>
        <v>38.39</v>
      </c>
      <c r="BI701" t="str">
        <f>"304.24"</f>
        <v>304.24</v>
      </c>
      <c r="BY701" t="str">
        <f>"41.67"</f>
        <v>41.67</v>
      </c>
      <c r="BZ701" t="str">
        <f>"1.18"</f>
        <v>1.18</v>
      </c>
      <c r="CA701" t="s">
        <v>495</v>
      </c>
      <c r="CR701" t="s">
        <v>1007</v>
      </c>
      <c r="CS701">
        <v>6</v>
      </c>
      <c r="CT701" t="s">
        <v>400</v>
      </c>
      <c r="CV701">
        <v>0</v>
      </c>
      <c r="CX701" t="s">
        <v>1980</v>
      </c>
      <c r="CY701" t="s">
        <v>1009</v>
      </c>
      <c r="DC701">
        <v>0</v>
      </c>
      <c r="DJ701" t="s">
        <v>1010</v>
      </c>
      <c r="DK701" t="s">
        <v>13211</v>
      </c>
      <c r="DM701" t="s">
        <v>669</v>
      </c>
      <c r="DX701" t="s">
        <v>3079</v>
      </c>
      <c r="EM701" t="s">
        <v>402</v>
      </c>
      <c r="EN701">
        <v>0</v>
      </c>
      <c r="FI701">
        <v>0</v>
      </c>
      <c r="FJ701" t="s">
        <v>1012</v>
      </c>
      <c r="FR701" t="s">
        <v>3319</v>
      </c>
      <c r="FT701" t="s">
        <v>11245</v>
      </c>
      <c r="FV701" t="s">
        <v>578</v>
      </c>
      <c r="FX701" t="s">
        <v>1017</v>
      </c>
      <c r="FZ701" t="s">
        <v>1018</v>
      </c>
    </row>
    <row r="702" spans="1:287" x14ac:dyDescent="0.25">
      <c r="A702" t="s">
        <v>13332</v>
      </c>
      <c r="B702" t="str">
        <f>"801542993078"</f>
        <v>801542993078</v>
      </c>
      <c r="C702" t="s">
        <v>13333</v>
      </c>
      <c r="D702" t="s">
        <v>1076</v>
      </c>
      <c r="E702" t="s">
        <v>4074</v>
      </c>
      <c r="G702" t="str">
        <f>"96"</f>
        <v>96</v>
      </c>
      <c r="H702" t="str">
        <f>"22"</f>
        <v>22</v>
      </c>
      <c r="I702" t="str">
        <f>"33"</f>
        <v>33</v>
      </c>
      <c r="J702" t="str">
        <f>"188.23"</f>
        <v>188.23</v>
      </c>
      <c r="K702" t="s">
        <v>13052</v>
      </c>
      <c r="N702" t="s">
        <v>1970</v>
      </c>
      <c r="O702" t="s">
        <v>372</v>
      </c>
      <c r="T702" t="s">
        <v>373</v>
      </c>
      <c r="U702" t="s">
        <v>373</v>
      </c>
      <c r="V702" t="s">
        <v>13053</v>
      </c>
      <c r="W702" t="s">
        <v>13334</v>
      </c>
      <c r="X702" t="s">
        <v>13335</v>
      </c>
      <c r="Y702" t="s">
        <v>13336</v>
      </c>
      <c r="Z702" t="s">
        <v>13337</v>
      </c>
      <c r="AA702" t="s">
        <v>13338</v>
      </c>
      <c r="AB702" t="s">
        <v>13339</v>
      </c>
      <c r="AC702" t="s">
        <v>13340</v>
      </c>
      <c r="AD702" t="s">
        <v>13341</v>
      </c>
      <c r="AE702" t="s">
        <v>13342</v>
      </c>
      <c r="AF702" t="s">
        <v>13343</v>
      </c>
      <c r="AG702" t="s">
        <v>13344</v>
      </c>
      <c r="AH702" t="s">
        <v>13345</v>
      </c>
      <c r="AI702" t="s">
        <v>13346</v>
      </c>
      <c r="AJ702" t="s">
        <v>13347</v>
      </c>
      <c r="AK702" t="s">
        <v>13348</v>
      </c>
      <c r="AL702" t="s">
        <v>13349</v>
      </c>
      <c r="AM702" t="s">
        <v>13350</v>
      </c>
      <c r="BA702" t="str">
        <f>"2699"</f>
        <v>2699</v>
      </c>
      <c r="BB702" t="str">
        <f>"1135"</f>
        <v>1135</v>
      </c>
      <c r="BC702" t="s">
        <v>949</v>
      </c>
      <c r="BD702" t="str">
        <f t="shared" si="160"/>
        <v>1</v>
      </c>
      <c r="BE702" t="s">
        <v>389</v>
      </c>
      <c r="BF702" t="str">
        <f>"101.25"</f>
        <v>101.25</v>
      </c>
      <c r="BG702" t="str">
        <f>"27.5"</f>
        <v>27.5</v>
      </c>
      <c r="BH702" t="str">
        <f>"36.25"</f>
        <v>36.25</v>
      </c>
      <c r="BI702" t="str">
        <f>"249.78"</f>
        <v>249.78</v>
      </c>
      <c r="BY702" t="str">
        <f>"58.41"</f>
        <v>58.41</v>
      </c>
      <c r="BZ702" t="str">
        <f>"1.654"</f>
        <v>1.654</v>
      </c>
      <c r="CA702" t="s">
        <v>390</v>
      </c>
      <c r="CR702" t="s">
        <v>1007</v>
      </c>
      <c r="CS702">
        <v>7</v>
      </c>
      <c r="CT702" t="s">
        <v>1344</v>
      </c>
      <c r="CV702">
        <v>0</v>
      </c>
      <c r="CX702" t="s">
        <v>4903</v>
      </c>
      <c r="CY702" t="s">
        <v>1009</v>
      </c>
      <c r="DC702">
        <v>0</v>
      </c>
      <c r="DJ702" t="s">
        <v>408</v>
      </c>
      <c r="DK702" t="s">
        <v>13070</v>
      </c>
      <c r="DM702" t="s">
        <v>669</v>
      </c>
      <c r="DX702" t="s">
        <v>981</v>
      </c>
      <c r="DY702" t="s">
        <v>2908</v>
      </c>
      <c r="DZ702" t="s">
        <v>7739</v>
      </c>
      <c r="EI702" t="s">
        <v>1852</v>
      </c>
      <c r="EJ702" t="s">
        <v>578</v>
      </c>
      <c r="EK702" t="s">
        <v>1852</v>
      </c>
      <c r="EL702" t="s">
        <v>6662</v>
      </c>
      <c r="EM702" t="s">
        <v>402</v>
      </c>
      <c r="EN702">
        <v>0</v>
      </c>
      <c r="EO702">
        <v>0</v>
      </c>
      <c r="EX702" t="s">
        <v>1037</v>
      </c>
      <c r="FI702">
        <v>0</v>
      </c>
      <c r="FJ702" t="s">
        <v>1012</v>
      </c>
      <c r="FR702" t="s">
        <v>4395</v>
      </c>
      <c r="FS702" t="s">
        <v>4395</v>
      </c>
      <c r="FT702" t="s">
        <v>2510</v>
      </c>
      <c r="FU702" t="s">
        <v>2510</v>
      </c>
      <c r="FV702" t="s">
        <v>444</v>
      </c>
      <c r="FW702" t="s">
        <v>4976</v>
      </c>
      <c r="FX702" t="s">
        <v>1017</v>
      </c>
      <c r="FZ702" t="s">
        <v>953</v>
      </c>
      <c r="GA702" t="s">
        <v>402</v>
      </c>
    </row>
    <row r="703" spans="1:287" x14ac:dyDescent="0.25">
      <c r="A703" t="s">
        <v>13351</v>
      </c>
      <c r="B703" t="str">
        <f>"801542332105"</f>
        <v>801542332105</v>
      </c>
      <c r="C703" t="s">
        <v>13352</v>
      </c>
      <c r="D703" t="s">
        <v>929</v>
      </c>
      <c r="E703" t="s">
        <v>459</v>
      </c>
      <c r="G703" t="str">
        <f>"22"</f>
        <v>22</v>
      </c>
      <c r="H703" t="str">
        <f>"22"</f>
        <v>22</v>
      </c>
      <c r="I703" t="str">
        <f>"20"</f>
        <v>20</v>
      </c>
      <c r="J703" t="str">
        <f>"29.54"</f>
        <v>29.54</v>
      </c>
      <c r="K703" t="s">
        <v>10143</v>
      </c>
      <c r="N703" t="s">
        <v>10144</v>
      </c>
      <c r="T703" t="s">
        <v>373</v>
      </c>
      <c r="U703" t="s">
        <v>373</v>
      </c>
      <c r="V703" t="s">
        <v>13353</v>
      </c>
      <c r="W703" t="s">
        <v>13354</v>
      </c>
      <c r="X703" t="s">
        <v>13355</v>
      </c>
      <c r="Y703" t="s">
        <v>13356</v>
      </c>
      <c r="Z703" t="s">
        <v>13357</v>
      </c>
      <c r="AA703" t="s">
        <v>13358</v>
      </c>
      <c r="AB703" t="s">
        <v>13359</v>
      </c>
      <c r="AC703" t="s">
        <v>13360</v>
      </c>
      <c r="AD703" t="s">
        <v>13361</v>
      </c>
      <c r="AE703" t="s">
        <v>13362</v>
      </c>
      <c r="AF703" t="s">
        <v>13363</v>
      </c>
      <c r="AG703" t="s">
        <v>13364</v>
      </c>
      <c r="AH703" t="s">
        <v>13365</v>
      </c>
      <c r="BA703" t="str">
        <f>"599"</f>
        <v>599</v>
      </c>
      <c r="BB703" t="str">
        <f>"255"</f>
        <v>255</v>
      </c>
      <c r="BC703" t="s">
        <v>949</v>
      </c>
      <c r="BD703" t="str">
        <f t="shared" si="160"/>
        <v>1</v>
      </c>
      <c r="BE703" t="s">
        <v>389</v>
      </c>
      <c r="BF703" t="str">
        <f>"24.25"</f>
        <v>24.25</v>
      </c>
      <c r="BG703" t="str">
        <f>"24.5"</f>
        <v>24.5</v>
      </c>
      <c r="BH703" t="str">
        <f>"24.25"</f>
        <v>24.25</v>
      </c>
      <c r="BI703" t="str">
        <f>"44.09"</f>
        <v>44.09</v>
      </c>
      <c r="BY703" t="str">
        <f>"8.33"</f>
        <v>8.33</v>
      </c>
      <c r="BZ703" t="str">
        <f>"0.236"</f>
        <v>0.236</v>
      </c>
      <c r="CA703" t="s">
        <v>390</v>
      </c>
      <c r="CB703" t="s">
        <v>435</v>
      </c>
      <c r="CC703" t="s">
        <v>637</v>
      </c>
      <c r="CD703" t="s">
        <v>435</v>
      </c>
      <c r="CE703" t="s">
        <v>435</v>
      </c>
      <c r="CF703" t="s">
        <v>613</v>
      </c>
      <c r="CG703" t="s">
        <v>435</v>
      </c>
      <c r="CR703" t="s">
        <v>400</v>
      </c>
      <c r="CS703">
        <v>0</v>
      </c>
      <c r="CT703" t="s">
        <v>400</v>
      </c>
      <c r="CV703">
        <v>1</v>
      </c>
      <c r="CW703" t="s">
        <v>402</v>
      </c>
      <c r="CX703" t="s">
        <v>667</v>
      </c>
      <c r="CY703" t="s">
        <v>404</v>
      </c>
      <c r="DC703">
        <v>0</v>
      </c>
      <c r="DJ703" t="s">
        <v>471</v>
      </c>
      <c r="DK703" t="s">
        <v>13086</v>
      </c>
      <c r="DM703" t="s">
        <v>473</v>
      </c>
      <c r="DX703" t="s">
        <v>827</v>
      </c>
      <c r="DY703" t="s">
        <v>435</v>
      </c>
      <c r="DZ703" t="s">
        <v>435</v>
      </c>
      <c r="EI703" t="s">
        <v>956</v>
      </c>
      <c r="EJ703" t="s">
        <v>602</v>
      </c>
      <c r="EK703" t="s">
        <v>1634</v>
      </c>
      <c r="EL703" t="s">
        <v>637</v>
      </c>
      <c r="EN703">
        <v>1</v>
      </c>
      <c r="EO703">
        <v>0</v>
      </c>
    </row>
    <row r="704" spans="1:287" x14ac:dyDescent="0.25">
      <c r="A704" t="s">
        <v>13366</v>
      </c>
      <c r="B704" t="str">
        <f>"801542187798"</f>
        <v>801542187798</v>
      </c>
      <c r="C704" t="s">
        <v>13367</v>
      </c>
      <c r="D704" t="s">
        <v>1276</v>
      </c>
      <c r="E704" t="s">
        <v>2006</v>
      </c>
      <c r="F704" t="s">
        <v>2040</v>
      </c>
      <c r="G704" t="str">
        <f>"81.25"</f>
        <v>81.25</v>
      </c>
      <c r="H704" t="str">
        <f>"87"</f>
        <v>87</v>
      </c>
      <c r="I704" t="str">
        <f>"54.25"</f>
        <v>54.25</v>
      </c>
      <c r="J704" t="str">
        <f>"222.66"</f>
        <v>222.66</v>
      </c>
      <c r="K704" t="s">
        <v>5368</v>
      </c>
      <c r="L704" t="s">
        <v>13089</v>
      </c>
      <c r="N704" t="s">
        <v>5369</v>
      </c>
      <c r="O704" t="s">
        <v>5370</v>
      </c>
      <c r="P704" t="s">
        <v>5371</v>
      </c>
      <c r="Q704" t="s">
        <v>5372</v>
      </c>
      <c r="R704" t="s">
        <v>372</v>
      </c>
      <c r="T704" t="s">
        <v>373</v>
      </c>
      <c r="U704" t="s">
        <v>373</v>
      </c>
      <c r="V704" t="s">
        <v>13368</v>
      </c>
      <c r="W704" t="s">
        <v>13369</v>
      </c>
      <c r="X704" t="s">
        <v>13370</v>
      </c>
      <c r="Y704" t="s">
        <v>13371</v>
      </c>
      <c r="Z704" t="s">
        <v>13372</v>
      </c>
      <c r="AA704" t="s">
        <v>13373</v>
      </c>
      <c r="AB704" t="s">
        <v>13374</v>
      </c>
      <c r="AC704" t="s">
        <v>13375</v>
      </c>
      <c r="AD704" t="s">
        <v>13376</v>
      </c>
      <c r="AE704" t="s">
        <v>13377</v>
      </c>
      <c r="AF704" t="s">
        <v>13378</v>
      </c>
      <c r="AG704" t="s">
        <v>13379</v>
      </c>
      <c r="BA704" t="str">
        <f>"2999"</f>
        <v>2999</v>
      </c>
      <c r="BB704" t="str">
        <f>"1260"</f>
        <v>1260</v>
      </c>
      <c r="BC704" t="s">
        <v>665</v>
      </c>
      <c r="BD704" t="str">
        <f>"2"</f>
        <v>2</v>
      </c>
      <c r="BE704" t="s">
        <v>6809</v>
      </c>
      <c r="BF704" t="str">
        <f>"85.04"</f>
        <v>85.04</v>
      </c>
      <c r="BG704" t="str">
        <f>"58.46"</f>
        <v>58.46</v>
      </c>
      <c r="BH704" t="str">
        <f>"11.22"</f>
        <v>11.22</v>
      </c>
      <c r="BI704" t="str">
        <f>"152.12"</f>
        <v>152.12</v>
      </c>
      <c r="BJ704" t="s">
        <v>13380</v>
      </c>
      <c r="BK704" t="str">
        <f>"85.04"</f>
        <v>85.04</v>
      </c>
      <c r="BL704" t="str">
        <f>"14.57"</f>
        <v>14.57</v>
      </c>
      <c r="BM704" t="str">
        <f>"11.22"</f>
        <v>11.22</v>
      </c>
      <c r="BN704" t="str">
        <f>"105.82"</f>
        <v>105.82</v>
      </c>
      <c r="BY704" t="str">
        <f>"40.33"</f>
        <v>40.33</v>
      </c>
      <c r="BZ704" t="str">
        <f>"1.142"</f>
        <v>1.142</v>
      </c>
      <c r="CA704" t="s">
        <v>431</v>
      </c>
      <c r="CQ704" t="s">
        <v>399</v>
      </c>
      <c r="CR704" t="s">
        <v>400</v>
      </c>
      <c r="CS704">
        <v>0</v>
      </c>
      <c r="CT704" t="s">
        <v>400</v>
      </c>
      <c r="CV704">
        <v>0</v>
      </c>
      <c r="CX704" t="s">
        <v>1980</v>
      </c>
      <c r="CY704" t="s">
        <v>400</v>
      </c>
      <c r="DA704">
        <v>0</v>
      </c>
      <c r="DB704">
        <v>0</v>
      </c>
      <c r="DC704">
        <v>0</v>
      </c>
      <c r="DD704">
        <v>27000</v>
      </c>
      <c r="DK704" t="s">
        <v>12842</v>
      </c>
      <c r="DM704" t="s">
        <v>2028</v>
      </c>
      <c r="EN704">
        <v>0</v>
      </c>
      <c r="HN704" t="s">
        <v>13381</v>
      </c>
      <c r="HO704" t="s">
        <v>2072</v>
      </c>
      <c r="HP704" t="s">
        <v>2072</v>
      </c>
      <c r="HQ704" t="s">
        <v>7623</v>
      </c>
      <c r="HR704" t="s">
        <v>4299</v>
      </c>
      <c r="HS704" t="s">
        <v>13382</v>
      </c>
      <c r="HT704" t="s">
        <v>13383</v>
      </c>
      <c r="HU704" t="s">
        <v>4299</v>
      </c>
      <c r="HV704" t="s">
        <v>13382</v>
      </c>
      <c r="HW704" t="s">
        <v>2171</v>
      </c>
      <c r="HX704" t="s">
        <v>674</v>
      </c>
      <c r="HY704" t="s">
        <v>3255</v>
      </c>
      <c r="HZ704" t="s">
        <v>7534</v>
      </c>
      <c r="IA704" t="s">
        <v>8762</v>
      </c>
      <c r="IB704" t="s">
        <v>8025</v>
      </c>
      <c r="IC704" t="s">
        <v>402</v>
      </c>
      <c r="ID704" t="s">
        <v>3519</v>
      </c>
      <c r="IE704" t="s">
        <v>2037</v>
      </c>
      <c r="IF704" t="s">
        <v>2177</v>
      </c>
      <c r="IG704" t="s">
        <v>2040</v>
      </c>
      <c r="IM704" t="s">
        <v>395</v>
      </c>
      <c r="IN704" t="s">
        <v>3949</v>
      </c>
      <c r="IP704" t="s">
        <v>402</v>
      </c>
      <c r="IQ704" t="s">
        <v>3522</v>
      </c>
    </row>
    <row r="705" spans="1:287" x14ac:dyDescent="0.25">
      <c r="A705" t="s">
        <v>13384</v>
      </c>
      <c r="B705" t="str">
        <f>"801542187804"</f>
        <v>801542187804</v>
      </c>
      <c r="C705" t="s">
        <v>13367</v>
      </c>
      <c r="D705" t="s">
        <v>1276</v>
      </c>
      <c r="E705" t="s">
        <v>2006</v>
      </c>
      <c r="F705" t="s">
        <v>2007</v>
      </c>
      <c r="G705" t="str">
        <f>"65"</f>
        <v>65</v>
      </c>
      <c r="H705" t="str">
        <f>"87"</f>
        <v>87</v>
      </c>
      <c r="I705" t="str">
        <f>"54.25"</f>
        <v>54.25</v>
      </c>
      <c r="J705" t="str">
        <f>"179.67"</f>
        <v>179.67</v>
      </c>
      <c r="K705" t="s">
        <v>5368</v>
      </c>
      <c r="L705" t="s">
        <v>13089</v>
      </c>
      <c r="N705" t="s">
        <v>5369</v>
      </c>
      <c r="O705" t="s">
        <v>5370</v>
      </c>
      <c r="P705" t="s">
        <v>5371</v>
      </c>
      <c r="Q705" t="s">
        <v>5372</v>
      </c>
      <c r="R705" t="s">
        <v>372</v>
      </c>
      <c r="T705" t="s">
        <v>373</v>
      </c>
      <c r="U705" t="s">
        <v>373</v>
      </c>
      <c r="V705" t="s">
        <v>13368</v>
      </c>
      <c r="W705" t="s">
        <v>13385</v>
      </c>
      <c r="X705" t="s">
        <v>13386</v>
      </c>
      <c r="Y705" t="s">
        <v>13387</v>
      </c>
      <c r="Z705" t="s">
        <v>13388</v>
      </c>
      <c r="AA705" t="s">
        <v>13389</v>
      </c>
      <c r="AB705" t="s">
        <v>13390</v>
      </c>
      <c r="AC705" t="s">
        <v>13391</v>
      </c>
      <c r="AD705" t="s">
        <v>13392</v>
      </c>
      <c r="AE705" t="s">
        <v>13393</v>
      </c>
      <c r="AF705" t="s">
        <v>13394</v>
      </c>
      <c r="AG705" t="s">
        <v>13395</v>
      </c>
      <c r="BA705" t="str">
        <f>"2699"</f>
        <v>2699</v>
      </c>
      <c r="BB705" t="str">
        <f>"1135"</f>
        <v>1135</v>
      </c>
      <c r="BC705" t="s">
        <v>665</v>
      </c>
      <c r="BD705" t="str">
        <f>"2"</f>
        <v>2</v>
      </c>
      <c r="BE705" t="s">
        <v>6809</v>
      </c>
      <c r="BF705" t="str">
        <f>"68.9"</f>
        <v>68.9</v>
      </c>
      <c r="BG705" t="str">
        <f>"58.46"</f>
        <v>58.46</v>
      </c>
      <c r="BH705" t="str">
        <f>"12.2"</f>
        <v>12.2</v>
      </c>
      <c r="BI705" t="str">
        <f>"122.36"</f>
        <v>122.36</v>
      </c>
      <c r="BJ705" t="s">
        <v>13380</v>
      </c>
      <c r="BK705" t="str">
        <f>"84.84"</f>
        <v>84.84</v>
      </c>
      <c r="BL705" t="str">
        <f>"13.98"</f>
        <v>13.98</v>
      </c>
      <c r="BM705" t="str">
        <f>"12.01"</f>
        <v>12.01</v>
      </c>
      <c r="BN705" t="str">
        <f>"90.39"</f>
        <v>90.39</v>
      </c>
      <c r="BY705" t="str">
        <f>"36.69"</f>
        <v>36.69</v>
      </c>
      <c r="BZ705" t="str">
        <f>"1.039"</f>
        <v>1.039</v>
      </c>
      <c r="CA705" t="s">
        <v>495</v>
      </c>
      <c r="CQ705" t="s">
        <v>399</v>
      </c>
      <c r="CR705" t="s">
        <v>400</v>
      </c>
      <c r="CS705">
        <v>0</v>
      </c>
      <c r="CT705" t="s">
        <v>400</v>
      </c>
      <c r="CV705">
        <v>0</v>
      </c>
      <c r="CX705" t="s">
        <v>1980</v>
      </c>
      <c r="CY705" t="s">
        <v>400</v>
      </c>
      <c r="DA705">
        <v>0</v>
      </c>
      <c r="DB705">
        <v>0</v>
      </c>
      <c r="DC705">
        <v>0</v>
      </c>
      <c r="DD705">
        <v>27000</v>
      </c>
      <c r="DK705" t="s">
        <v>12842</v>
      </c>
      <c r="DM705" t="s">
        <v>2028</v>
      </c>
      <c r="EN705">
        <v>0</v>
      </c>
      <c r="HN705" t="s">
        <v>13381</v>
      </c>
      <c r="HO705" t="s">
        <v>2072</v>
      </c>
      <c r="HP705" t="s">
        <v>2072</v>
      </c>
      <c r="HQ705" t="s">
        <v>7623</v>
      </c>
      <c r="HR705" t="s">
        <v>4299</v>
      </c>
      <c r="HS705" t="s">
        <v>13396</v>
      </c>
      <c r="HT705" t="s">
        <v>13383</v>
      </c>
      <c r="HU705" t="s">
        <v>4299</v>
      </c>
      <c r="HV705" t="s">
        <v>13396</v>
      </c>
      <c r="HW705" t="s">
        <v>2171</v>
      </c>
      <c r="HX705" t="s">
        <v>674</v>
      </c>
      <c r="HY705" t="s">
        <v>3273</v>
      </c>
      <c r="HZ705" t="s">
        <v>7534</v>
      </c>
      <c r="IA705" t="s">
        <v>8762</v>
      </c>
      <c r="IB705" t="s">
        <v>8025</v>
      </c>
      <c r="IC705" t="s">
        <v>402</v>
      </c>
      <c r="ID705" t="s">
        <v>3519</v>
      </c>
      <c r="IE705" t="s">
        <v>2037</v>
      </c>
      <c r="IF705" t="s">
        <v>2177</v>
      </c>
      <c r="IG705" t="s">
        <v>2007</v>
      </c>
      <c r="IM705" t="s">
        <v>395</v>
      </c>
      <c r="IN705" t="s">
        <v>3949</v>
      </c>
      <c r="IP705" t="s">
        <v>402</v>
      </c>
      <c r="IQ705" t="s">
        <v>3522</v>
      </c>
    </row>
    <row r="706" spans="1:287" x14ac:dyDescent="0.25">
      <c r="A706" t="s">
        <v>13397</v>
      </c>
      <c r="B706" t="str">
        <f>"198394062220"</f>
        <v>198394062220</v>
      </c>
      <c r="C706" t="s">
        <v>13367</v>
      </c>
      <c r="D706" t="s">
        <v>1276</v>
      </c>
      <c r="E706" t="s">
        <v>2006</v>
      </c>
      <c r="F706" t="s">
        <v>2007</v>
      </c>
      <c r="G706" t="str">
        <f>"65"</f>
        <v>65</v>
      </c>
      <c r="H706" t="str">
        <f>"87"</f>
        <v>87</v>
      </c>
      <c r="I706" t="str">
        <f>"54.25"</f>
        <v>54.25</v>
      </c>
      <c r="J706" t="str">
        <f>"179.67"</f>
        <v>179.67</v>
      </c>
      <c r="K706" t="s">
        <v>5368</v>
      </c>
      <c r="L706" t="s">
        <v>12823</v>
      </c>
      <c r="N706" t="s">
        <v>5369</v>
      </c>
      <c r="O706" t="s">
        <v>5370</v>
      </c>
      <c r="P706" t="s">
        <v>5371</v>
      </c>
      <c r="Q706" t="s">
        <v>5372</v>
      </c>
      <c r="R706" t="s">
        <v>372</v>
      </c>
      <c r="T706" t="s">
        <v>373</v>
      </c>
      <c r="U706" t="s">
        <v>373</v>
      </c>
      <c r="V706" t="s">
        <v>13398</v>
      </c>
      <c r="W706" t="s">
        <v>13399</v>
      </c>
      <c r="X706" t="s">
        <v>13400</v>
      </c>
      <c r="Y706" t="s">
        <v>13401</v>
      </c>
      <c r="Z706" t="s">
        <v>13402</v>
      </c>
      <c r="AA706" t="s">
        <v>13403</v>
      </c>
      <c r="AB706" t="s">
        <v>13404</v>
      </c>
      <c r="AC706" t="s">
        <v>13405</v>
      </c>
      <c r="AD706" t="s">
        <v>13406</v>
      </c>
      <c r="AE706" t="s">
        <v>13407</v>
      </c>
      <c r="AF706" t="s">
        <v>13408</v>
      </c>
      <c r="AG706" t="s">
        <v>13409</v>
      </c>
      <c r="AH706" t="s">
        <v>13410</v>
      </c>
      <c r="AI706" t="s">
        <v>13411</v>
      </c>
      <c r="BA706" t="str">
        <f>"2699"</f>
        <v>2699</v>
      </c>
      <c r="BB706" t="str">
        <f>"1135"</f>
        <v>1135</v>
      </c>
      <c r="BC706" t="s">
        <v>665</v>
      </c>
      <c r="BD706" t="str">
        <f>"2"</f>
        <v>2</v>
      </c>
      <c r="BE706" t="s">
        <v>6809</v>
      </c>
      <c r="BF706" t="str">
        <f>"68.9"</f>
        <v>68.9</v>
      </c>
      <c r="BG706" t="str">
        <f>"12.2"</f>
        <v>12.2</v>
      </c>
      <c r="BH706" t="str">
        <f>"58.46"</f>
        <v>58.46</v>
      </c>
      <c r="BI706" t="str">
        <f>"122.36"</f>
        <v>122.36</v>
      </c>
      <c r="BJ706" t="s">
        <v>13380</v>
      </c>
      <c r="BK706" t="str">
        <f>"84.84"</f>
        <v>84.84</v>
      </c>
      <c r="BL706" t="str">
        <f>"13.98"</f>
        <v>13.98</v>
      </c>
      <c r="BM706" t="str">
        <f>"12.01"</f>
        <v>12.01</v>
      </c>
      <c r="BN706" t="str">
        <f>"90.39"</f>
        <v>90.39</v>
      </c>
      <c r="BY706" t="str">
        <f>"36.69"</f>
        <v>36.69</v>
      </c>
      <c r="BZ706" t="str">
        <f>"1.039"</f>
        <v>1.039</v>
      </c>
      <c r="CA706" t="s">
        <v>431</v>
      </c>
      <c r="CQ706" t="s">
        <v>399</v>
      </c>
      <c r="CR706" t="s">
        <v>400</v>
      </c>
      <c r="CS706">
        <v>0</v>
      </c>
      <c r="CT706" t="s">
        <v>400</v>
      </c>
      <c r="CV706">
        <v>0</v>
      </c>
      <c r="CX706" t="s">
        <v>1980</v>
      </c>
      <c r="CY706" t="s">
        <v>400</v>
      </c>
      <c r="DA706">
        <v>0</v>
      </c>
      <c r="DB706">
        <v>0</v>
      </c>
      <c r="DC706">
        <v>0</v>
      </c>
      <c r="DD706">
        <v>27000</v>
      </c>
      <c r="DK706" t="s">
        <v>12842</v>
      </c>
      <c r="DM706" t="s">
        <v>2028</v>
      </c>
      <c r="EN706">
        <v>0</v>
      </c>
      <c r="HN706" t="s">
        <v>13381</v>
      </c>
      <c r="HO706" t="s">
        <v>2072</v>
      </c>
      <c r="HP706" t="s">
        <v>2072</v>
      </c>
      <c r="HQ706" t="s">
        <v>7623</v>
      </c>
      <c r="HR706" t="s">
        <v>4299</v>
      </c>
      <c r="HS706" t="s">
        <v>13396</v>
      </c>
      <c r="HT706" t="s">
        <v>13383</v>
      </c>
      <c r="HU706" t="s">
        <v>4299</v>
      </c>
      <c r="HV706" t="s">
        <v>13396</v>
      </c>
      <c r="HW706" t="s">
        <v>2171</v>
      </c>
      <c r="HX706" t="s">
        <v>674</v>
      </c>
      <c r="HY706" t="s">
        <v>3273</v>
      </c>
      <c r="HZ706" t="s">
        <v>7534</v>
      </c>
      <c r="IA706" t="s">
        <v>8762</v>
      </c>
      <c r="IB706" t="s">
        <v>8025</v>
      </c>
      <c r="IC706" t="s">
        <v>402</v>
      </c>
      <c r="ID706" t="s">
        <v>3519</v>
      </c>
      <c r="IE706" t="s">
        <v>2037</v>
      </c>
      <c r="IF706" t="s">
        <v>2177</v>
      </c>
      <c r="IG706" t="s">
        <v>2007</v>
      </c>
      <c r="IM706" t="s">
        <v>395</v>
      </c>
      <c r="IN706" t="s">
        <v>3949</v>
      </c>
      <c r="IP706" t="s">
        <v>402</v>
      </c>
      <c r="IQ706" t="s">
        <v>3522</v>
      </c>
    </row>
    <row r="707" spans="1:287" x14ac:dyDescent="0.25">
      <c r="A707" t="s">
        <v>13412</v>
      </c>
      <c r="B707" t="str">
        <f>"198394062237"</f>
        <v>198394062237</v>
      </c>
      <c r="C707" t="s">
        <v>13367</v>
      </c>
      <c r="D707" t="s">
        <v>1276</v>
      </c>
      <c r="E707" t="s">
        <v>2006</v>
      </c>
      <c r="F707" t="s">
        <v>2040</v>
      </c>
      <c r="G707" t="str">
        <f>"81.25"</f>
        <v>81.25</v>
      </c>
      <c r="H707" t="str">
        <f>"87"</f>
        <v>87</v>
      </c>
      <c r="I707" t="str">
        <f>"54.25"</f>
        <v>54.25</v>
      </c>
      <c r="J707" t="str">
        <f>"222.66"</f>
        <v>222.66</v>
      </c>
      <c r="K707" t="s">
        <v>5368</v>
      </c>
      <c r="L707" t="s">
        <v>12823</v>
      </c>
      <c r="N707" t="s">
        <v>5369</v>
      </c>
      <c r="O707" t="s">
        <v>5370</v>
      </c>
      <c r="P707" t="s">
        <v>5371</v>
      </c>
      <c r="Q707" t="s">
        <v>5372</v>
      </c>
      <c r="R707" t="s">
        <v>372</v>
      </c>
      <c r="T707" t="s">
        <v>373</v>
      </c>
      <c r="U707" t="s">
        <v>373</v>
      </c>
      <c r="V707" t="s">
        <v>13398</v>
      </c>
      <c r="W707" t="s">
        <v>13413</v>
      </c>
      <c r="X707" t="s">
        <v>13414</v>
      </c>
      <c r="Y707" t="s">
        <v>13415</v>
      </c>
      <c r="Z707" t="s">
        <v>13416</v>
      </c>
      <c r="AA707" t="s">
        <v>13417</v>
      </c>
      <c r="AB707" t="s">
        <v>13418</v>
      </c>
      <c r="AC707" t="s">
        <v>13419</v>
      </c>
      <c r="AD707" t="s">
        <v>13420</v>
      </c>
      <c r="AE707" t="s">
        <v>13421</v>
      </c>
      <c r="AF707" t="s">
        <v>13422</v>
      </c>
      <c r="AG707" t="s">
        <v>13423</v>
      </c>
      <c r="AH707" t="s">
        <v>13424</v>
      </c>
      <c r="AI707" t="s">
        <v>13425</v>
      </c>
      <c r="BA707" t="str">
        <f>"2999"</f>
        <v>2999</v>
      </c>
      <c r="BB707" t="str">
        <f>"1260"</f>
        <v>1260</v>
      </c>
      <c r="BC707" t="s">
        <v>665</v>
      </c>
      <c r="BD707" t="str">
        <f>"2"</f>
        <v>2</v>
      </c>
      <c r="BE707" t="s">
        <v>6809</v>
      </c>
      <c r="BF707" t="str">
        <f>"85.04"</f>
        <v>85.04</v>
      </c>
      <c r="BG707" t="str">
        <f>"11.22"</f>
        <v>11.22</v>
      </c>
      <c r="BH707" t="str">
        <f>"58.46"</f>
        <v>58.46</v>
      </c>
      <c r="BI707" t="str">
        <f>"152.12"</f>
        <v>152.12</v>
      </c>
      <c r="BJ707" t="s">
        <v>13380</v>
      </c>
      <c r="BK707" t="str">
        <f>"85.04"</f>
        <v>85.04</v>
      </c>
      <c r="BL707" t="str">
        <f>"14.57"</f>
        <v>14.57</v>
      </c>
      <c r="BM707" t="str">
        <f>"11.22"</f>
        <v>11.22</v>
      </c>
      <c r="BN707" t="str">
        <f>"105.82"</f>
        <v>105.82</v>
      </c>
      <c r="BY707" t="str">
        <f>"40.33"</f>
        <v>40.33</v>
      </c>
      <c r="BZ707" t="str">
        <f>"1.142"</f>
        <v>1.142</v>
      </c>
      <c r="CA707" t="s">
        <v>431</v>
      </c>
      <c r="CQ707" t="s">
        <v>399</v>
      </c>
      <c r="CR707" t="s">
        <v>400</v>
      </c>
      <c r="CS707">
        <v>0</v>
      </c>
      <c r="CT707" t="s">
        <v>400</v>
      </c>
      <c r="CV707">
        <v>0</v>
      </c>
      <c r="CX707" t="s">
        <v>1980</v>
      </c>
      <c r="CY707" t="s">
        <v>400</v>
      </c>
      <c r="DA707">
        <v>0</v>
      </c>
      <c r="DB707">
        <v>0</v>
      </c>
      <c r="DC707">
        <v>0</v>
      </c>
      <c r="DD707">
        <v>27000</v>
      </c>
      <c r="DK707" t="s">
        <v>12842</v>
      </c>
      <c r="DM707" t="s">
        <v>2028</v>
      </c>
      <c r="EN707">
        <v>0</v>
      </c>
      <c r="HN707" t="s">
        <v>13381</v>
      </c>
      <c r="HO707" t="s">
        <v>2072</v>
      </c>
      <c r="HP707" t="s">
        <v>2072</v>
      </c>
      <c r="HQ707" t="s">
        <v>7623</v>
      </c>
      <c r="HR707" t="s">
        <v>4299</v>
      </c>
      <c r="HS707" t="s">
        <v>13382</v>
      </c>
      <c r="HT707" t="s">
        <v>13383</v>
      </c>
      <c r="HU707" t="s">
        <v>4299</v>
      </c>
      <c r="HV707" t="s">
        <v>13382</v>
      </c>
      <c r="HW707" t="s">
        <v>2171</v>
      </c>
      <c r="HX707" t="s">
        <v>674</v>
      </c>
      <c r="HY707" t="s">
        <v>3255</v>
      </c>
      <c r="HZ707" t="s">
        <v>7534</v>
      </c>
      <c r="IA707" t="s">
        <v>8762</v>
      </c>
      <c r="IB707" t="s">
        <v>8025</v>
      </c>
      <c r="IC707" t="s">
        <v>402</v>
      </c>
      <c r="ID707" t="s">
        <v>3519</v>
      </c>
      <c r="IE707" t="s">
        <v>2037</v>
      </c>
      <c r="IF707" t="s">
        <v>2177</v>
      </c>
      <c r="IG707" t="s">
        <v>2040</v>
      </c>
      <c r="IM707" t="s">
        <v>395</v>
      </c>
      <c r="IN707" t="s">
        <v>3949</v>
      </c>
      <c r="IP707" t="s">
        <v>402</v>
      </c>
      <c r="IQ707" t="s">
        <v>3522</v>
      </c>
    </row>
    <row r="708" spans="1:287" x14ac:dyDescent="0.25">
      <c r="A708" t="s">
        <v>13426</v>
      </c>
      <c r="B708" t="str">
        <f>"198394059473"</f>
        <v>198394059473</v>
      </c>
      <c r="C708" t="s">
        <v>13427</v>
      </c>
      <c r="D708" t="s">
        <v>1276</v>
      </c>
      <c r="E708" t="s">
        <v>1043</v>
      </c>
      <c r="G708" t="str">
        <f>"32"</f>
        <v>32</v>
      </c>
      <c r="H708" t="str">
        <f>"18"</f>
        <v>18</v>
      </c>
      <c r="I708" t="str">
        <f>"26"</f>
        <v>26</v>
      </c>
      <c r="J708" t="str">
        <f>"89.29"</f>
        <v>89.29</v>
      </c>
      <c r="K708" t="s">
        <v>12822</v>
      </c>
      <c r="L708" t="s">
        <v>12823</v>
      </c>
      <c r="N708" t="s">
        <v>1463</v>
      </c>
      <c r="O708" t="s">
        <v>372</v>
      </c>
      <c r="T708" t="s">
        <v>373</v>
      </c>
      <c r="U708" t="s">
        <v>373</v>
      </c>
      <c r="V708" t="s">
        <v>13428</v>
      </c>
      <c r="W708" t="s">
        <v>13429</v>
      </c>
      <c r="X708" t="s">
        <v>13430</v>
      </c>
      <c r="Y708" t="s">
        <v>13431</v>
      </c>
      <c r="Z708" t="s">
        <v>13432</v>
      </c>
      <c r="AA708" t="s">
        <v>13433</v>
      </c>
      <c r="AB708" t="s">
        <v>13434</v>
      </c>
      <c r="AC708" t="s">
        <v>13435</v>
      </c>
      <c r="AD708" t="s">
        <v>13436</v>
      </c>
      <c r="AE708" t="s">
        <v>13437</v>
      </c>
      <c r="AF708" t="s">
        <v>13438</v>
      </c>
      <c r="AG708" t="s">
        <v>13439</v>
      </c>
      <c r="AH708" t="s">
        <v>13440</v>
      </c>
      <c r="AI708" t="s">
        <v>13441</v>
      </c>
      <c r="AJ708" t="s">
        <v>13442</v>
      </c>
      <c r="AK708" t="s">
        <v>13443</v>
      </c>
      <c r="AL708" t="s">
        <v>13444</v>
      </c>
      <c r="BA708" t="str">
        <f>"1049"</f>
        <v>1049</v>
      </c>
      <c r="BB708" t="str">
        <f>"445"</f>
        <v>445</v>
      </c>
      <c r="BC708" t="s">
        <v>665</v>
      </c>
      <c r="BD708" t="str">
        <f>"1"</f>
        <v>1</v>
      </c>
      <c r="BE708" t="s">
        <v>4975</v>
      </c>
      <c r="BF708" t="str">
        <f>"35.04"</f>
        <v>35.04</v>
      </c>
      <c r="BG708" t="str">
        <f>"21.46"</f>
        <v>21.46</v>
      </c>
      <c r="BH708" t="str">
        <f>"32.28"</f>
        <v>32.28</v>
      </c>
      <c r="BI708" t="str">
        <f>"110.23"</f>
        <v>110.23</v>
      </c>
      <c r="BY708" t="str">
        <f>"14.06"</f>
        <v>14.06</v>
      </c>
      <c r="BZ708" t="str">
        <f>"0.398"</f>
        <v>0.398</v>
      </c>
      <c r="CA708" t="s">
        <v>431</v>
      </c>
      <c r="CR708" t="s">
        <v>1007</v>
      </c>
      <c r="CS708">
        <v>3</v>
      </c>
      <c r="CT708" t="s">
        <v>400</v>
      </c>
      <c r="CV708">
        <v>0</v>
      </c>
      <c r="CX708" t="s">
        <v>1980</v>
      </c>
      <c r="CY708" t="s">
        <v>1009</v>
      </c>
      <c r="DC708">
        <v>0</v>
      </c>
      <c r="DJ708" t="s">
        <v>408</v>
      </c>
      <c r="DK708" t="s">
        <v>12842</v>
      </c>
      <c r="DM708" t="s">
        <v>473</v>
      </c>
      <c r="DX708" t="s">
        <v>395</v>
      </c>
      <c r="EM708" t="s">
        <v>402</v>
      </c>
      <c r="EN708">
        <v>0</v>
      </c>
      <c r="FI708">
        <v>0</v>
      </c>
      <c r="FJ708" t="s">
        <v>1012</v>
      </c>
      <c r="FR708" t="s">
        <v>13445</v>
      </c>
      <c r="FT708" t="s">
        <v>13446</v>
      </c>
      <c r="FV708" t="s">
        <v>534</v>
      </c>
      <c r="FX708" t="s">
        <v>4210</v>
      </c>
    </row>
    <row r="709" spans="1:287" x14ac:dyDescent="0.25">
      <c r="A709" t="s">
        <v>13447</v>
      </c>
      <c r="B709" t="str">
        <f>"801542114145"</f>
        <v>801542114145</v>
      </c>
      <c r="C709" t="s">
        <v>13448</v>
      </c>
      <c r="D709" t="s">
        <v>1224</v>
      </c>
      <c r="E709" t="s">
        <v>1077</v>
      </c>
      <c r="G709" t="str">
        <f>"55"</f>
        <v>55</v>
      </c>
      <c r="H709" t="str">
        <f>"55"</f>
        <v>55</v>
      </c>
      <c r="I709" t="str">
        <f>"15.25"</f>
        <v>15.25</v>
      </c>
      <c r="J709" t="str">
        <f>"91.05"</f>
        <v>91.05</v>
      </c>
      <c r="K709" t="s">
        <v>13449</v>
      </c>
      <c r="L709" t="s">
        <v>460</v>
      </c>
      <c r="N709" t="s">
        <v>13450</v>
      </c>
      <c r="O709" t="s">
        <v>461</v>
      </c>
      <c r="T709" t="s">
        <v>373</v>
      </c>
      <c r="U709" t="s">
        <v>373</v>
      </c>
      <c r="V709" t="s">
        <v>13451</v>
      </c>
      <c r="W709" t="s">
        <v>13452</v>
      </c>
      <c r="X709" t="s">
        <v>13453</v>
      </c>
      <c r="Y709" t="s">
        <v>13454</v>
      </c>
      <c r="Z709" t="s">
        <v>13455</v>
      </c>
      <c r="AA709" t="s">
        <v>13456</v>
      </c>
      <c r="AB709" t="s">
        <v>13457</v>
      </c>
      <c r="AC709" t="s">
        <v>13458</v>
      </c>
      <c r="BA709" t="str">
        <f>"2399"</f>
        <v>2399</v>
      </c>
      <c r="BB709" t="str">
        <f>"1010"</f>
        <v>1010</v>
      </c>
      <c r="BC709" t="s">
        <v>1149</v>
      </c>
      <c r="BD709" t="str">
        <f>"1"</f>
        <v>1</v>
      </c>
      <c r="BE709" t="s">
        <v>389</v>
      </c>
      <c r="BF709" t="str">
        <f>"63.78"</f>
        <v>63.78</v>
      </c>
      <c r="BG709" t="str">
        <f>"62.2"</f>
        <v>62.2</v>
      </c>
      <c r="BH709" t="str">
        <f>"22.05"</f>
        <v>22.05</v>
      </c>
      <c r="BI709" t="str">
        <f>"152.89"</f>
        <v>152.89</v>
      </c>
      <c r="BY709" t="str">
        <f>"50.61"</f>
        <v>50.61</v>
      </c>
      <c r="BZ709" t="str">
        <f>"1.433"</f>
        <v>1.433</v>
      </c>
      <c r="CA709" t="s">
        <v>495</v>
      </c>
      <c r="CR709" t="s">
        <v>400</v>
      </c>
      <c r="CS709">
        <v>0</v>
      </c>
      <c r="CT709" t="s">
        <v>400</v>
      </c>
      <c r="CV709">
        <v>0</v>
      </c>
      <c r="CX709" t="s">
        <v>1241</v>
      </c>
      <c r="CY709" t="s">
        <v>400</v>
      </c>
      <c r="DC709">
        <v>0</v>
      </c>
      <c r="DJ709" t="s">
        <v>471</v>
      </c>
      <c r="DK709" t="s">
        <v>3965</v>
      </c>
      <c r="DM709" t="s">
        <v>473</v>
      </c>
      <c r="DX709" t="s">
        <v>13459</v>
      </c>
      <c r="EI709" t="s">
        <v>3702</v>
      </c>
      <c r="EJ709" t="s">
        <v>13459</v>
      </c>
      <c r="EK709" t="s">
        <v>3702</v>
      </c>
      <c r="EL709" t="s">
        <v>10118</v>
      </c>
      <c r="EM709" t="s">
        <v>402</v>
      </c>
      <c r="EN709">
        <v>0</v>
      </c>
      <c r="EO709">
        <v>0</v>
      </c>
      <c r="EX709" t="s">
        <v>447</v>
      </c>
    </row>
    <row r="710" spans="1:287" x14ac:dyDescent="0.25">
      <c r="A710" t="s">
        <v>13460</v>
      </c>
      <c r="B710" t="str">
        <f>"801542114138"</f>
        <v>801542114138</v>
      </c>
      <c r="C710" t="s">
        <v>13461</v>
      </c>
      <c r="D710" t="s">
        <v>1224</v>
      </c>
      <c r="E710" t="s">
        <v>1077</v>
      </c>
      <c r="G710" t="str">
        <f>"55"</f>
        <v>55</v>
      </c>
      <c r="H710" t="str">
        <f>"55"</f>
        <v>55</v>
      </c>
      <c r="I710" t="str">
        <f>"15.25"</f>
        <v>15.25</v>
      </c>
      <c r="J710" t="str">
        <f>"91.05"</f>
        <v>91.05</v>
      </c>
      <c r="K710" t="s">
        <v>5646</v>
      </c>
      <c r="L710" t="s">
        <v>460</v>
      </c>
      <c r="N710" t="s">
        <v>5648</v>
      </c>
      <c r="O710" t="s">
        <v>461</v>
      </c>
      <c r="T710" t="s">
        <v>373</v>
      </c>
      <c r="U710" t="s">
        <v>373</v>
      </c>
      <c r="V710" t="s">
        <v>13462</v>
      </c>
      <c r="W710" t="s">
        <v>13463</v>
      </c>
      <c r="X710" t="s">
        <v>13464</v>
      </c>
      <c r="Y710" t="s">
        <v>13465</v>
      </c>
      <c r="Z710" t="s">
        <v>13466</v>
      </c>
      <c r="AA710" t="s">
        <v>13467</v>
      </c>
      <c r="AB710" t="s">
        <v>13468</v>
      </c>
      <c r="AC710" t="s">
        <v>13469</v>
      </c>
      <c r="AD710" t="s">
        <v>13470</v>
      </c>
      <c r="AE710" t="s">
        <v>13471</v>
      </c>
      <c r="AF710" t="s">
        <v>13472</v>
      </c>
      <c r="AG710" t="s">
        <v>13473</v>
      </c>
      <c r="AH710" t="s">
        <v>13474</v>
      </c>
      <c r="BA710" t="str">
        <f>"2399"</f>
        <v>2399</v>
      </c>
      <c r="BB710" t="str">
        <f>"1010"</f>
        <v>1010</v>
      </c>
      <c r="BC710" t="s">
        <v>1149</v>
      </c>
      <c r="BD710" t="str">
        <f>"1"</f>
        <v>1</v>
      </c>
      <c r="BE710" t="s">
        <v>389</v>
      </c>
      <c r="BF710" t="str">
        <f>"63.78"</f>
        <v>63.78</v>
      </c>
      <c r="BG710" t="str">
        <f>"62.2"</f>
        <v>62.2</v>
      </c>
      <c r="BH710" t="str">
        <f>"22.05"</f>
        <v>22.05</v>
      </c>
      <c r="BI710" t="str">
        <f>"152.89"</f>
        <v>152.89</v>
      </c>
      <c r="BY710" t="str">
        <f>"50.61"</f>
        <v>50.61</v>
      </c>
      <c r="BZ710" t="str">
        <f>"1.433"</f>
        <v>1.433</v>
      </c>
      <c r="CA710" t="s">
        <v>495</v>
      </c>
      <c r="CR710" t="s">
        <v>400</v>
      </c>
      <c r="CS710">
        <v>0</v>
      </c>
      <c r="CT710" t="s">
        <v>400</v>
      </c>
      <c r="CV710">
        <v>0</v>
      </c>
      <c r="CX710" t="s">
        <v>1241</v>
      </c>
      <c r="CY710" t="s">
        <v>400</v>
      </c>
      <c r="DC710">
        <v>0</v>
      </c>
      <c r="DJ710" t="s">
        <v>471</v>
      </c>
      <c r="DK710" t="s">
        <v>3965</v>
      </c>
      <c r="DM710" t="s">
        <v>473</v>
      </c>
      <c r="DX710" t="s">
        <v>13459</v>
      </c>
      <c r="EI710" t="s">
        <v>3702</v>
      </c>
      <c r="EJ710" t="s">
        <v>13459</v>
      </c>
      <c r="EK710" t="s">
        <v>3702</v>
      </c>
      <c r="EL710" t="s">
        <v>10118</v>
      </c>
      <c r="EM710" t="s">
        <v>402</v>
      </c>
      <c r="EN710">
        <v>0</v>
      </c>
      <c r="EO710">
        <v>0</v>
      </c>
      <c r="EX710" t="s">
        <v>447</v>
      </c>
    </row>
    <row r="711" spans="1:287" x14ac:dyDescent="0.25">
      <c r="A711" t="s">
        <v>13475</v>
      </c>
      <c r="B711" t="str">
        <f>"801542114114"</f>
        <v>801542114114</v>
      </c>
      <c r="C711" t="s">
        <v>13476</v>
      </c>
      <c r="D711" t="s">
        <v>1224</v>
      </c>
      <c r="E711" t="s">
        <v>1077</v>
      </c>
      <c r="G711" t="str">
        <f>"55"</f>
        <v>55</v>
      </c>
      <c r="H711" t="str">
        <f>"55"</f>
        <v>55</v>
      </c>
      <c r="I711" t="str">
        <f>"15.25"</f>
        <v>15.25</v>
      </c>
      <c r="J711" t="str">
        <f>"91.05"</f>
        <v>91.05</v>
      </c>
      <c r="K711" t="s">
        <v>3952</v>
      </c>
      <c r="L711" t="s">
        <v>460</v>
      </c>
      <c r="N711" t="s">
        <v>3953</v>
      </c>
      <c r="O711" t="s">
        <v>461</v>
      </c>
      <c r="T711" t="s">
        <v>373</v>
      </c>
      <c r="U711" t="s">
        <v>373</v>
      </c>
      <c r="V711" t="s">
        <v>13477</v>
      </c>
      <c r="W711" t="s">
        <v>13478</v>
      </c>
      <c r="X711" t="s">
        <v>13479</v>
      </c>
      <c r="Y711" t="s">
        <v>13480</v>
      </c>
      <c r="Z711" t="s">
        <v>13481</v>
      </c>
      <c r="AA711" t="s">
        <v>13482</v>
      </c>
      <c r="AB711" t="s">
        <v>13483</v>
      </c>
      <c r="AC711" t="s">
        <v>13484</v>
      </c>
      <c r="BA711" t="str">
        <f>"2399"</f>
        <v>2399</v>
      </c>
      <c r="BB711" t="str">
        <f>"1010"</f>
        <v>1010</v>
      </c>
      <c r="BC711" t="s">
        <v>1149</v>
      </c>
      <c r="BD711" t="str">
        <f>"1"</f>
        <v>1</v>
      </c>
      <c r="BE711" t="s">
        <v>389</v>
      </c>
      <c r="BF711" t="str">
        <f>"63.78"</f>
        <v>63.78</v>
      </c>
      <c r="BG711" t="str">
        <f>"62.2"</f>
        <v>62.2</v>
      </c>
      <c r="BH711" t="str">
        <f>"22.05"</f>
        <v>22.05</v>
      </c>
      <c r="BI711" t="str">
        <f>"152.89"</f>
        <v>152.89</v>
      </c>
      <c r="BY711" t="str">
        <f>"50.61"</f>
        <v>50.61</v>
      </c>
      <c r="BZ711" t="str">
        <f>"1.433"</f>
        <v>1.433</v>
      </c>
      <c r="CA711" t="s">
        <v>390</v>
      </c>
      <c r="CR711" t="s">
        <v>400</v>
      </c>
      <c r="CS711">
        <v>0</v>
      </c>
      <c r="CT711" t="s">
        <v>400</v>
      </c>
      <c r="CV711">
        <v>0</v>
      </c>
      <c r="CX711" t="s">
        <v>1241</v>
      </c>
      <c r="CY711" t="s">
        <v>400</v>
      </c>
      <c r="DC711">
        <v>0</v>
      </c>
      <c r="DJ711" t="s">
        <v>471</v>
      </c>
      <c r="DK711" t="s">
        <v>3965</v>
      </c>
      <c r="DM711" t="s">
        <v>473</v>
      </c>
      <c r="DX711" t="s">
        <v>13459</v>
      </c>
      <c r="EI711" t="s">
        <v>3702</v>
      </c>
      <c r="EJ711" t="s">
        <v>13459</v>
      </c>
      <c r="EK711" t="s">
        <v>3702</v>
      </c>
      <c r="EL711" t="s">
        <v>10118</v>
      </c>
      <c r="EM711" t="s">
        <v>402</v>
      </c>
      <c r="EN711">
        <v>0</v>
      </c>
      <c r="EO711">
        <v>0</v>
      </c>
      <c r="EX711" t="s">
        <v>447</v>
      </c>
    </row>
    <row r="712" spans="1:287" x14ac:dyDescent="0.25">
      <c r="A712" t="s">
        <v>13485</v>
      </c>
      <c r="B712" t="str">
        <f>"801542123611"</f>
        <v>801542123611</v>
      </c>
      <c r="C712" t="s">
        <v>13486</v>
      </c>
      <c r="D712" t="s">
        <v>1118</v>
      </c>
      <c r="E712" t="s">
        <v>1077</v>
      </c>
      <c r="G712" t="str">
        <f>"47"</f>
        <v>47</v>
      </c>
      <c r="H712" t="str">
        <f>"47"</f>
        <v>47</v>
      </c>
      <c r="I712" t="str">
        <f>"17"</f>
        <v>17</v>
      </c>
      <c r="J712" t="str">
        <f>"191.58"</f>
        <v>191.58</v>
      </c>
      <c r="K712" t="s">
        <v>6054</v>
      </c>
      <c r="L712" t="s">
        <v>6055</v>
      </c>
      <c r="N712" t="s">
        <v>6002</v>
      </c>
      <c r="O712" t="s">
        <v>1121</v>
      </c>
      <c r="T712" t="s">
        <v>373</v>
      </c>
      <c r="U712" t="s">
        <v>373</v>
      </c>
      <c r="V712" t="s">
        <v>13487</v>
      </c>
      <c r="W712" t="s">
        <v>13488</v>
      </c>
      <c r="X712" t="s">
        <v>13489</v>
      </c>
      <c r="Y712" t="s">
        <v>13490</v>
      </c>
      <c r="Z712" t="s">
        <v>13491</v>
      </c>
      <c r="AA712" t="s">
        <v>13492</v>
      </c>
      <c r="AB712" t="s">
        <v>13493</v>
      </c>
      <c r="AC712" t="s">
        <v>13494</v>
      </c>
      <c r="AD712" t="s">
        <v>13495</v>
      </c>
      <c r="BA712" t="str">
        <f>"2299"</f>
        <v>2299</v>
      </c>
      <c r="BB712" t="str">
        <f>"970"</f>
        <v>970</v>
      </c>
      <c r="BC712" t="s">
        <v>949</v>
      </c>
      <c r="BD712" t="str">
        <f>"2"</f>
        <v>2</v>
      </c>
      <c r="BE712" t="s">
        <v>1089</v>
      </c>
      <c r="BF712" t="str">
        <f>"55.25"</f>
        <v>55.25</v>
      </c>
      <c r="BG712" t="str">
        <f>"9"</f>
        <v>9</v>
      </c>
      <c r="BH712" t="str">
        <f>"56"</f>
        <v>56</v>
      </c>
      <c r="BI712" t="str">
        <f>"182.94"</f>
        <v>182.94</v>
      </c>
      <c r="BJ712" t="s">
        <v>1090</v>
      </c>
      <c r="BK712" t="str">
        <f>"50.75"</f>
        <v>50.75</v>
      </c>
      <c r="BL712" t="str">
        <f>"51"</f>
        <v>51</v>
      </c>
      <c r="BM712" t="str">
        <f>"20.5"</f>
        <v>20.5</v>
      </c>
      <c r="BN712" t="str">
        <f>"125.27"</f>
        <v>125.27</v>
      </c>
      <c r="BY712" t="str">
        <f>"46.79"</f>
        <v>46.79</v>
      </c>
      <c r="BZ712" t="str">
        <f>"1.325"</f>
        <v>1.325</v>
      </c>
      <c r="CA712" t="s">
        <v>431</v>
      </c>
      <c r="CR712" t="s">
        <v>400</v>
      </c>
      <c r="CS712">
        <v>0</v>
      </c>
      <c r="CT712" t="s">
        <v>400</v>
      </c>
      <c r="CV712">
        <v>0</v>
      </c>
      <c r="CY712" t="s">
        <v>400</v>
      </c>
      <c r="DC712">
        <v>0</v>
      </c>
      <c r="DJ712" t="s">
        <v>471</v>
      </c>
      <c r="DK712" t="s">
        <v>6068</v>
      </c>
      <c r="DM712" t="s">
        <v>473</v>
      </c>
      <c r="DX712" t="s">
        <v>2073</v>
      </c>
      <c r="EI712" t="s">
        <v>2074</v>
      </c>
      <c r="EJ712" t="s">
        <v>958</v>
      </c>
      <c r="EK712" t="s">
        <v>2074</v>
      </c>
      <c r="EL712" t="s">
        <v>3483</v>
      </c>
      <c r="EM712" t="s">
        <v>402</v>
      </c>
      <c r="EN712">
        <v>0</v>
      </c>
      <c r="EO712">
        <v>0</v>
      </c>
      <c r="EX712" t="s">
        <v>13496</v>
      </c>
    </row>
    <row r="713" spans="1:287" x14ac:dyDescent="0.25">
      <c r="A713" t="s">
        <v>13497</v>
      </c>
      <c r="B713" t="str">
        <f>"801542146320"</f>
        <v>801542146320</v>
      </c>
      <c r="C713" t="s">
        <v>13498</v>
      </c>
      <c r="D713" t="s">
        <v>769</v>
      </c>
      <c r="E713" t="s">
        <v>515</v>
      </c>
      <c r="F713" t="s">
        <v>516</v>
      </c>
      <c r="G713" t="str">
        <f>"37.5"</f>
        <v>37.5</v>
      </c>
      <c r="H713" t="str">
        <f>"38.75"</f>
        <v>38.75</v>
      </c>
      <c r="I713" t="str">
        <f>"29.75"</f>
        <v>29.75</v>
      </c>
      <c r="J713" t="str">
        <f>"88.18"</f>
        <v>88.18</v>
      </c>
      <c r="K713" t="s">
        <v>13499</v>
      </c>
      <c r="N713" t="s">
        <v>416</v>
      </c>
      <c r="T713" t="s">
        <v>373</v>
      </c>
      <c r="U713" t="s">
        <v>373</v>
      </c>
      <c r="V713" t="s">
        <v>13500</v>
      </c>
      <c r="W713" t="s">
        <v>13501</v>
      </c>
      <c r="X713" t="s">
        <v>13502</v>
      </c>
      <c r="Y713" t="s">
        <v>13503</v>
      </c>
      <c r="Z713" t="s">
        <v>13504</v>
      </c>
      <c r="AA713" t="s">
        <v>13504</v>
      </c>
      <c r="AB713" t="s">
        <v>13505</v>
      </c>
      <c r="AC713" t="s">
        <v>13506</v>
      </c>
      <c r="AD713" t="s">
        <v>13507</v>
      </c>
      <c r="AE713" t="s">
        <v>13508</v>
      </c>
      <c r="AF713" t="s">
        <v>13509</v>
      </c>
      <c r="AG713" t="s">
        <v>13510</v>
      </c>
      <c r="AH713" t="s">
        <v>13511</v>
      </c>
      <c r="AI713" t="s">
        <v>13512</v>
      </c>
      <c r="AJ713" t="s">
        <v>13513</v>
      </c>
      <c r="AK713" t="s">
        <v>13514</v>
      </c>
      <c r="BA713" t="str">
        <f>"2699"</f>
        <v>2699</v>
      </c>
      <c r="BB713" t="str">
        <f>"1135"</f>
        <v>1135</v>
      </c>
      <c r="BC713" t="s">
        <v>388</v>
      </c>
      <c r="BD713" t="str">
        <f>"1"</f>
        <v>1</v>
      </c>
      <c r="BE713" t="s">
        <v>389</v>
      </c>
      <c r="BF713" t="str">
        <f>"38.58"</f>
        <v>38.58</v>
      </c>
      <c r="BG713" t="str">
        <f>"38.19"</f>
        <v>38.19</v>
      </c>
      <c r="BH713" t="str">
        <f>"30.71"</f>
        <v>30.71</v>
      </c>
      <c r="BI713" t="str">
        <f>"101.41"</f>
        <v>101.41</v>
      </c>
      <c r="BY713" t="str">
        <f>"26.17"</f>
        <v>26.17</v>
      </c>
      <c r="BZ713" t="str">
        <f>"0.741"</f>
        <v>0.741</v>
      </c>
      <c r="CA713" t="s">
        <v>431</v>
      </c>
      <c r="CH713" t="s">
        <v>1553</v>
      </c>
      <c r="CI713" t="s">
        <v>797</v>
      </c>
      <c r="CJ713" t="s">
        <v>1157</v>
      </c>
      <c r="CK713" t="s">
        <v>1553</v>
      </c>
      <c r="CL713" t="s">
        <v>957</v>
      </c>
      <c r="CN713">
        <v>0</v>
      </c>
      <c r="CO713">
        <v>0</v>
      </c>
      <c r="CP713" t="s">
        <v>437</v>
      </c>
      <c r="CQ713" t="s">
        <v>438</v>
      </c>
      <c r="CX713" t="s">
        <v>403</v>
      </c>
      <c r="CY713" t="s">
        <v>1753</v>
      </c>
      <c r="CZ713">
        <v>0</v>
      </c>
      <c r="DD713">
        <v>0</v>
      </c>
      <c r="DE713" t="s">
        <v>439</v>
      </c>
      <c r="DF713" t="s">
        <v>2640</v>
      </c>
      <c r="DG713" t="s">
        <v>2380</v>
      </c>
      <c r="DH713">
        <v>1</v>
      </c>
      <c r="DI713">
        <v>1</v>
      </c>
      <c r="DK713" t="s">
        <v>13515</v>
      </c>
      <c r="DL713">
        <v>0</v>
      </c>
      <c r="DM713" t="s">
        <v>538</v>
      </c>
      <c r="DN713" t="s">
        <v>855</v>
      </c>
      <c r="DO713" t="s">
        <v>13516</v>
      </c>
      <c r="DP713" t="s">
        <v>1510</v>
      </c>
      <c r="DT713" t="s">
        <v>797</v>
      </c>
      <c r="DX713" t="s">
        <v>637</v>
      </c>
      <c r="EA713" t="s">
        <v>1056</v>
      </c>
      <c r="EG713" t="s">
        <v>1513</v>
      </c>
      <c r="EP713" t="s">
        <v>600</v>
      </c>
      <c r="EQ713" t="s">
        <v>1157</v>
      </c>
      <c r="ER713">
        <v>0</v>
      </c>
      <c r="ES713">
        <v>0</v>
      </c>
      <c r="ET713" t="s">
        <v>549</v>
      </c>
      <c r="EU713">
        <v>0</v>
      </c>
      <c r="HM713" t="s">
        <v>1754</v>
      </c>
    </row>
    <row r="714" spans="1:287" x14ac:dyDescent="0.25">
      <c r="A714" t="s">
        <v>13517</v>
      </c>
      <c r="B714" t="str">
        <f>"801542133696"</f>
        <v>801542133696</v>
      </c>
      <c r="C714" t="s">
        <v>13518</v>
      </c>
      <c r="D714" t="s">
        <v>769</v>
      </c>
      <c r="E714" t="s">
        <v>515</v>
      </c>
      <c r="F714" t="s">
        <v>516</v>
      </c>
      <c r="G714" t="str">
        <f>"35"</f>
        <v>35</v>
      </c>
      <c r="H714" t="str">
        <f>"36"</f>
        <v>36</v>
      </c>
      <c r="I714" t="str">
        <f>"28"</f>
        <v>28</v>
      </c>
      <c r="J714" t="str">
        <f>"72.75"</f>
        <v>72.75</v>
      </c>
      <c r="K714" t="s">
        <v>414</v>
      </c>
      <c r="N714" t="s">
        <v>416</v>
      </c>
      <c r="T714" t="s">
        <v>373</v>
      </c>
      <c r="U714" t="s">
        <v>373</v>
      </c>
      <c r="V714" t="s">
        <v>13519</v>
      </c>
      <c r="W714" t="s">
        <v>13520</v>
      </c>
      <c r="X714" t="s">
        <v>13521</v>
      </c>
      <c r="Y714" t="s">
        <v>13522</v>
      </c>
      <c r="Z714" t="s">
        <v>13523</v>
      </c>
      <c r="AA714" t="s">
        <v>13524</v>
      </c>
      <c r="AB714" t="s">
        <v>13525</v>
      </c>
      <c r="AC714" t="s">
        <v>13526</v>
      </c>
      <c r="AD714" t="s">
        <v>426</v>
      </c>
      <c r="AE714" t="s">
        <v>13527</v>
      </c>
      <c r="AF714" t="s">
        <v>13528</v>
      </c>
      <c r="AG714" t="s">
        <v>13529</v>
      </c>
      <c r="AH714" t="s">
        <v>13530</v>
      </c>
      <c r="AI714" t="s">
        <v>13531</v>
      </c>
      <c r="AJ714" t="s">
        <v>13532</v>
      </c>
      <c r="AK714" t="s">
        <v>13533</v>
      </c>
      <c r="BA714" t="str">
        <f>"1899"</f>
        <v>1899</v>
      </c>
      <c r="BB714" t="str">
        <f>"800"</f>
        <v>800</v>
      </c>
      <c r="BC714" t="s">
        <v>388</v>
      </c>
      <c r="BD714" t="str">
        <f>"1"</f>
        <v>1</v>
      </c>
      <c r="BE714" t="s">
        <v>389</v>
      </c>
      <c r="BF714" t="str">
        <f>"37.01"</f>
        <v>37.01</v>
      </c>
      <c r="BG714" t="str">
        <f>"37.01"</f>
        <v>37.01</v>
      </c>
      <c r="BH714" t="str">
        <f>"29.53"</f>
        <v>29.53</v>
      </c>
      <c r="BI714" t="str">
        <f>"92.59"</f>
        <v>92.59</v>
      </c>
      <c r="BY714" t="str">
        <f>"23.41"</f>
        <v>23.41</v>
      </c>
      <c r="BZ714" t="str">
        <f>"0.663"</f>
        <v>0.663</v>
      </c>
      <c r="CA714" t="s">
        <v>495</v>
      </c>
      <c r="CK714" t="s">
        <v>638</v>
      </c>
      <c r="CL714" t="s">
        <v>449</v>
      </c>
      <c r="CM714" t="s">
        <v>1557</v>
      </c>
      <c r="CN714">
        <v>0</v>
      </c>
      <c r="CO714">
        <v>0</v>
      </c>
      <c r="CP714" t="s">
        <v>437</v>
      </c>
      <c r="CQ714" t="s">
        <v>438</v>
      </c>
      <c r="CX714" t="s">
        <v>403</v>
      </c>
      <c r="CY714" t="s">
        <v>1753</v>
      </c>
      <c r="CZ714">
        <v>0</v>
      </c>
      <c r="DD714">
        <v>0</v>
      </c>
      <c r="DE714" t="s">
        <v>439</v>
      </c>
      <c r="DH714">
        <v>0</v>
      </c>
      <c r="DI714">
        <v>1</v>
      </c>
      <c r="DK714" t="s">
        <v>13534</v>
      </c>
      <c r="DL714">
        <v>0</v>
      </c>
      <c r="DM714" t="s">
        <v>538</v>
      </c>
      <c r="DN714" t="s">
        <v>609</v>
      </c>
      <c r="DO714" t="s">
        <v>635</v>
      </c>
      <c r="DP714" t="s">
        <v>443</v>
      </c>
      <c r="DT714" t="s">
        <v>607</v>
      </c>
      <c r="DX714" t="s">
        <v>1094</v>
      </c>
      <c r="EA714" t="s">
        <v>635</v>
      </c>
      <c r="EG714" t="s">
        <v>2029</v>
      </c>
      <c r="EH714" t="s">
        <v>5549</v>
      </c>
      <c r="ER714">
        <v>0</v>
      </c>
      <c r="ES714">
        <v>0</v>
      </c>
      <c r="EU714">
        <v>0</v>
      </c>
      <c r="HM714" t="s">
        <v>1754</v>
      </c>
    </row>
    <row r="715" spans="1:287" x14ac:dyDescent="0.25">
      <c r="A715" t="s">
        <v>13535</v>
      </c>
      <c r="B715" t="str">
        <f>"801542127633"</f>
        <v>801542127633</v>
      </c>
      <c r="C715" t="s">
        <v>13536</v>
      </c>
      <c r="D715" t="s">
        <v>1420</v>
      </c>
      <c r="E715" t="s">
        <v>1319</v>
      </c>
      <c r="F715" t="s">
        <v>1320</v>
      </c>
      <c r="G715" t="str">
        <f>"71"</f>
        <v>71</v>
      </c>
      <c r="H715" t="str">
        <f>"31"</f>
        <v>31</v>
      </c>
      <c r="I715" t="str">
        <f>"31"</f>
        <v>31</v>
      </c>
      <c r="J715" t="str">
        <f>"208.33"</f>
        <v>208.33</v>
      </c>
      <c r="K715" t="s">
        <v>10864</v>
      </c>
      <c r="L715" t="s">
        <v>13537</v>
      </c>
      <c r="N715" t="s">
        <v>1970</v>
      </c>
      <c r="O715" t="s">
        <v>372</v>
      </c>
      <c r="P715" t="s">
        <v>555</v>
      </c>
      <c r="T715" t="s">
        <v>373</v>
      </c>
      <c r="U715" t="s">
        <v>373</v>
      </c>
      <c r="V715" t="s">
        <v>13538</v>
      </c>
      <c r="W715" t="s">
        <v>13539</v>
      </c>
      <c r="X715" t="s">
        <v>13540</v>
      </c>
      <c r="Y715" t="s">
        <v>13541</v>
      </c>
      <c r="Z715" t="s">
        <v>13542</v>
      </c>
      <c r="AA715" t="s">
        <v>13543</v>
      </c>
      <c r="AB715" t="s">
        <v>13544</v>
      </c>
      <c r="AC715" t="s">
        <v>13545</v>
      </c>
      <c r="AD715" t="s">
        <v>13546</v>
      </c>
      <c r="AE715" t="s">
        <v>13547</v>
      </c>
      <c r="AF715" t="s">
        <v>13548</v>
      </c>
      <c r="AG715" t="s">
        <v>13549</v>
      </c>
      <c r="AH715" t="s">
        <v>13550</v>
      </c>
      <c r="AI715" t="s">
        <v>13551</v>
      </c>
      <c r="AJ715" t="s">
        <v>13552</v>
      </c>
      <c r="AK715" t="s">
        <v>13553</v>
      </c>
      <c r="AL715" t="s">
        <v>13554</v>
      </c>
      <c r="AM715" t="s">
        <v>13555</v>
      </c>
      <c r="AN715" t="s">
        <v>13556</v>
      </c>
      <c r="AO715" t="s">
        <v>13557</v>
      </c>
      <c r="BA715" t="str">
        <f>"2699"</f>
        <v>2699</v>
      </c>
      <c r="BB715" t="str">
        <f>"1135"</f>
        <v>1135</v>
      </c>
      <c r="BC715" t="s">
        <v>665</v>
      </c>
      <c r="BD715" t="str">
        <f>"1"</f>
        <v>1</v>
      </c>
      <c r="BE715" t="s">
        <v>9942</v>
      </c>
      <c r="BF715" t="str">
        <f>"74.02"</f>
        <v>74.02</v>
      </c>
      <c r="BG715" t="str">
        <f>"34.25"</f>
        <v>34.25</v>
      </c>
      <c r="BH715" t="str">
        <f>"39.49"</f>
        <v>39.49</v>
      </c>
      <c r="BI715" t="str">
        <f>"262.35"</f>
        <v>262.35</v>
      </c>
      <c r="BY715" t="str">
        <f>"57.95"</f>
        <v>57.95</v>
      </c>
      <c r="BZ715" t="str">
        <f>"1.641"</f>
        <v>1.641</v>
      </c>
      <c r="CA715" t="s">
        <v>495</v>
      </c>
      <c r="CB715" t="s">
        <v>6014</v>
      </c>
      <c r="CC715" t="s">
        <v>4614</v>
      </c>
      <c r="CD715" t="s">
        <v>1356</v>
      </c>
      <c r="CE715" t="s">
        <v>6014</v>
      </c>
      <c r="CF715" t="s">
        <v>13558</v>
      </c>
      <c r="CG715" t="s">
        <v>1356</v>
      </c>
      <c r="CR715" t="s">
        <v>1007</v>
      </c>
      <c r="CS715">
        <v>6</v>
      </c>
      <c r="CT715" t="s">
        <v>400</v>
      </c>
      <c r="CV715">
        <v>2</v>
      </c>
      <c r="CW715" t="s">
        <v>402</v>
      </c>
      <c r="CX715" t="s">
        <v>4903</v>
      </c>
      <c r="CY715" t="s">
        <v>1009</v>
      </c>
      <c r="DC715">
        <v>0</v>
      </c>
      <c r="DJ715" t="s">
        <v>1345</v>
      </c>
      <c r="DK715" t="s">
        <v>9282</v>
      </c>
      <c r="DM715" t="s">
        <v>669</v>
      </c>
      <c r="DX715" t="s">
        <v>635</v>
      </c>
      <c r="DY715" t="s">
        <v>13559</v>
      </c>
      <c r="DZ715" t="s">
        <v>9649</v>
      </c>
      <c r="EL715" t="s">
        <v>9379</v>
      </c>
      <c r="EM715" t="s">
        <v>402</v>
      </c>
      <c r="EN715">
        <v>5</v>
      </c>
      <c r="EW715" t="s">
        <v>10580</v>
      </c>
      <c r="FI715">
        <v>0</v>
      </c>
      <c r="FJ715" t="s">
        <v>1012</v>
      </c>
      <c r="FR715" t="s">
        <v>8684</v>
      </c>
      <c r="FS715" t="s">
        <v>1416</v>
      </c>
      <c r="FT715" t="s">
        <v>1552</v>
      </c>
      <c r="FU715" t="s">
        <v>4208</v>
      </c>
      <c r="FV715" t="s">
        <v>4180</v>
      </c>
      <c r="FW715" t="s">
        <v>11268</v>
      </c>
      <c r="FX715" t="s">
        <v>1017</v>
      </c>
      <c r="FZ715" t="s">
        <v>1018</v>
      </c>
      <c r="GB715" t="s">
        <v>6014</v>
      </c>
      <c r="GC715" t="s">
        <v>13558</v>
      </c>
      <c r="GD715" t="s">
        <v>1356</v>
      </c>
      <c r="GE715">
        <v>2</v>
      </c>
      <c r="GR715" t="s">
        <v>6014</v>
      </c>
      <c r="GS715" t="s">
        <v>6014</v>
      </c>
      <c r="GT715" t="s">
        <v>13558</v>
      </c>
      <c r="GU715" t="s">
        <v>13558</v>
      </c>
      <c r="GV715" t="s">
        <v>1356</v>
      </c>
      <c r="GW715" t="s">
        <v>1356</v>
      </c>
      <c r="GY715" t="s">
        <v>1416</v>
      </c>
      <c r="HA715" t="s">
        <v>951</v>
      </c>
      <c r="HC715" t="s">
        <v>11268</v>
      </c>
      <c r="HH715" t="s">
        <v>402</v>
      </c>
      <c r="JM715" t="s">
        <v>6014</v>
      </c>
      <c r="JN715" t="s">
        <v>4614</v>
      </c>
      <c r="JO715" t="s">
        <v>578</v>
      </c>
      <c r="JY715" t="s">
        <v>6014</v>
      </c>
      <c r="JZ715" t="s">
        <v>13558</v>
      </c>
      <c r="KA715" t="s">
        <v>578</v>
      </c>
    </row>
    <row r="716" spans="1:287" x14ac:dyDescent="0.25">
      <c r="A716" t="s">
        <v>13560</v>
      </c>
      <c r="B716" t="str">
        <f>"198394068420"</f>
        <v>198394068420</v>
      </c>
      <c r="C716" t="s">
        <v>13561</v>
      </c>
      <c r="D716" t="s">
        <v>7204</v>
      </c>
      <c r="E716" t="s">
        <v>930</v>
      </c>
      <c r="G716" t="str">
        <f>"82"</f>
        <v>82</v>
      </c>
      <c r="H716" t="str">
        <f>"18"</f>
        <v>18</v>
      </c>
      <c r="I716" t="str">
        <f>"30"</f>
        <v>30</v>
      </c>
      <c r="J716" t="str">
        <f>"199.52"</f>
        <v>199.52</v>
      </c>
      <c r="K716" t="s">
        <v>13562</v>
      </c>
      <c r="L716" t="s">
        <v>13563</v>
      </c>
      <c r="N716" t="s">
        <v>1970</v>
      </c>
      <c r="O716" t="s">
        <v>1324</v>
      </c>
      <c r="T716" t="s">
        <v>373</v>
      </c>
      <c r="U716" t="s">
        <v>373</v>
      </c>
      <c r="V716" t="s">
        <v>13564</v>
      </c>
      <c r="W716" t="s">
        <v>13565</v>
      </c>
      <c r="X716" t="s">
        <v>13566</v>
      </c>
      <c r="Y716" t="s">
        <v>13567</v>
      </c>
      <c r="Z716" t="s">
        <v>13568</v>
      </c>
      <c r="AA716" t="s">
        <v>13569</v>
      </c>
      <c r="AB716" t="s">
        <v>13570</v>
      </c>
      <c r="AC716" t="s">
        <v>13571</v>
      </c>
      <c r="AD716" t="s">
        <v>13572</v>
      </c>
      <c r="AE716" t="s">
        <v>13573</v>
      </c>
      <c r="AF716" t="s">
        <v>13574</v>
      </c>
      <c r="AG716" t="s">
        <v>13575</v>
      </c>
      <c r="AH716" t="s">
        <v>13576</v>
      </c>
      <c r="AI716" t="s">
        <v>13577</v>
      </c>
      <c r="BA716" t="str">
        <f>"2599"</f>
        <v>2599</v>
      </c>
      <c r="BB716" t="str">
        <f>"1095"</f>
        <v>1095</v>
      </c>
      <c r="BC716" t="s">
        <v>6158</v>
      </c>
      <c r="BD716" t="str">
        <f>"1"</f>
        <v>1</v>
      </c>
      <c r="BE716" t="s">
        <v>389</v>
      </c>
      <c r="BF716" t="str">
        <f>"86.22"</f>
        <v>86.22</v>
      </c>
      <c r="BG716" t="str">
        <f>"22.44"</f>
        <v>22.44</v>
      </c>
      <c r="BH716" t="str">
        <f>"36.02"</f>
        <v>36.02</v>
      </c>
      <c r="BI716" t="str">
        <f>"242.51"</f>
        <v>242.51</v>
      </c>
      <c r="BY716" t="str">
        <f>"40.33"</f>
        <v>40.33</v>
      </c>
      <c r="BZ716" t="str">
        <f>"1.142"</f>
        <v>1.142</v>
      </c>
      <c r="CA716" t="s">
        <v>495</v>
      </c>
      <c r="CE716" t="s">
        <v>1313</v>
      </c>
      <c r="CF716" t="s">
        <v>4245</v>
      </c>
      <c r="CG716" t="s">
        <v>13578</v>
      </c>
      <c r="CR716" t="s">
        <v>400</v>
      </c>
      <c r="CS716">
        <v>0</v>
      </c>
      <c r="CT716" t="s">
        <v>400</v>
      </c>
      <c r="CV716">
        <v>0</v>
      </c>
      <c r="CX716" t="s">
        <v>1980</v>
      </c>
      <c r="CY716" t="s">
        <v>954</v>
      </c>
      <c r="DA716">
        <v>18.14</v>
      </c>
      <c r="DB716">
        <v>40</v>
      </c>
      <c r="DC716">
        <v>2</v>
      </c>
      <c r="DK716" t="s">
        <v>13579</v>
      </c>
      <c r="DM716" t="s">
        <v>669</v>
      </c>
      <c r="DX716" t="s">
        <v>446</v>
      </c>
      <c r="EM716" t="s">
        <v>402</v>
      </c>
      <c r="EN716">
        <v>2</v>
      </c>
      <c r="EZ716" t="s">
        <v>444</v>
      </c>
      <c r="FA716" t="s">
        <v>9379</v>
      </c>
      <c r="FB716" t="s">
        <v>3857</v>
      </c>
      <c r="FC716" t="s">
        <v>7224</v>
      </c>
      <c r="FD716" t="s">
        <v>956</v>
      </c>
      <c r="FE716" t="s">
        <v>13580</v>
      </c>
      <c r="FF716">
        <v>0</v>
      </c>
      <c r="FG716" t="s">
        <v>402</v>
      </c>
      <c r="FI716">
        <v>4</v>
      </c>
      <c r="FJ716" t="s">
        <v>960</v>
      </c>
      <c r="FK716" t="s">
        <v>961</v>
      </c>
      <c r="FL716">
        <v>0</v>
      </c>
      <c r="FM716" t="s">
        <v>402</v>
      </c>
      <c r="FO716" t="s">
        <v>984</v>
      </c>
      <c r="GB716" t="s">
        <v>1313</v>
      </c>
      <c r="GC716" t="s">
        <v>4245</v>
      </c>
      <c r="GD716" t="s">
        <v>13578</v>
      </c>
      <c r="GX716" t="s">
        <v>1357</v>
      </c>
      <c r="HI716" t="s">
        <v>402</v>
      </c>
    </row>
    <row r="717" spans="1:287" x14ac:dyDescent="0.25">
      <c r="A717" t="s">
        <v>13581</v>
      </c>
      <c r="B717" t="str">
        <f>"801542954789"</f>
        <v>801542954789</v>
      </c>
      <c r="C717" t="s">
        <v>13582</v>
      </c>
      <c r="D717" t="s">
        <v>10298</v>
      </c>
      <c r="E717" t="s">
        <v>647</v>
      </c>
      <c r="F717" t="s">
        <v>3367</v>
      </c>
      <c r="G717" t="str">
        <f>"70"</f>
        <v>70</v>
      </c>
      <c r="H717" t="str">
        <f>"35"</f>
        <v>35</v>
      </c>
      <c r="I717" t="str">
        <f>"42"</f>
        <v>42</v>
      </c>
      <c r="J717" t="str">
        <f>"127.65"</f>
        <v>127.65</v>
      </c>
      <c r="K717" t="s">
        <v>10432</v>
      </c>
      <c r="N717" t="s">
        <v>372</v>
      </c>
      <c r="T717" t="s">
        <v>373</v>
      </c>
      <c r="U717" t="s">
        <v>373</v>
      </c>
      <c r="V717" t="s">
        <v>13583</v>
      </c>
      <c r="W717" t="s">
        <v>13584</v>
      </c>
      <c r="X717" t="s">
        <v>13585</v>
      </c>
      <c r="Y717" t="s">
        <v>13586</v>
      </c>
      <c r="Z717" t="s">
        <v>13587</v>
      </c>
      <c r="AA717" t="s">
        <v>13588</v>
      </c>
      <c r="AB717" t="s">
        <v>13589</v>
      </c>
      <c r="AC717" t="s">
        <v>13590</v>
      </c>
      <c r="AD717" t="s">
        <v>13591</v>
      </c>
      <c r="AE717" t="s">
        <v>13592</v>
      </c>
      <c r="AF717" t="s">
        <v>13593</v>
      </c>
      <c r="AG717" t="s">
        <v>13594</v>
      </c>
      <c r="AH717" t="s">
        <v>13595</v>
      </c>
      <c r="AI717" t="s">
        <v>13596</v>
      </c>
      <c r="BA717" t="str">
        <f>"2299"</f>
        <v>2299</v>
      </c>
      <c r="BB717" t="str">
        <f>"970"</f>
        <v>970</v>
      </c>
      <c r="BC717" t="s">
        <v>388</v>
      </c>
      <c r="BD717" t="str">
        <f>"2"</f>
        <v>2</v>
      </c>
      <c r="BE717" t="s">
        <v>13597</v>
      </c>
      <c r="BF717" t="str">
        <f>"74.41"</f>
        <v>74.41</v>
      </c>
      <c r="BG717" t="str">
        <f>"39.37"</f>
        <v>39.37</v>
      </c>
      <c r="BH717" t="str">
        <f>"9.84"</f>
        <v>9.84</v>
      </c>
      <c r="BI717" t="str">
        <f>"91.49"</f>
        <v>91.49</v>
      </c>
      <c r="BJ717" t="s">
        <v>1090</v>
      </c>
      <c r="BK717" t="str">
        <f>"46.85"</f>
        <v>46.85</v>
      </c>
      <c r="BL717" t="str">
        <f>"11.81"</f>
        <v>11.81</v>
      </c>
      <c r="BM717" t="str">
        <f>"30.31"</f>
        <v>30.31</v>
      </c>
      <c r="BN717" t="str">
        <f>"68.78"</f>
        <v>68.78</v>
      </c>
      <c r="BY717" t="str">
        <f>"26.42"</f>
        <v>26.42</v>
      </c>
      <c r="BZ717" t="str">
        <f>"0.748"</f>
        <v>0.748</v>
      </c>
      <c r="CA717" t="s">
        <v>390</v>
      </c>
      <c r="CR717" t="s">
        <v>400</v>
      </c>
      <c r="CS717">
        <v>0</v>
      </c>
      <c r="CT717" t="s">
        <v>400</v>
      </c>
      <c r="CV717">
        <v>0</v>
      </c>
      <c r="CX717" t="s">
        <v>667</v>
      </c>
      <c r="CY717" t="s">
        <v>400</v>
      </c>
      <c r="DA717">
        <v>0</v>
      </c>
      <c r="DB717">
        <v>0</v>
      </c>
      <c r="DC717">
        <v>0</v>
      </c>
      <c r="DI717">
        <v>6</v>
      </c>
      <c r="DJ717" t="s">
        <v>408</v>
      </c>
      <c r="DK717" t="s">
        <v>13598</v>
      </c>
      <c r="DM717" t="s">
        <v>473</v>
      </c>
      <c r="DX717" t="s">
        <v>10883</v>
      </c>
      <c r="DY717" t="s">
        <v>2595</v>
      </c>
      <c r="DZ717" t="s">
        <v>13599</v>
      </c>
      <c r="EI717" t="s">
        <v>638</v>
      </c>
      <c r="EJ717" t="s">
        <v>13600</v>
      </c>
      <c r="EK717" t="s">
        <v>3545</v>
      </c>
      <c r="EL717" t="s">
        <v>637</v>
      </c>
      <c r="EM717" t="s">
        <v>402</v>
      </c>
      <c r="EN717">
        <v>0</v>
      </c>
      <c r="EO717">
        <v>0</v>
      </c>
      <c r="EV717" t="s">
        <v>12373</v>
      </c>
      <c r="EX717" t="s">
        <v>446</v>
      </c>
      <c r="IG717" t="s">
        <v>3387</v>
      </c>
    </row>
    <row r="718" spans="1:287" x14ac:dyDescent="0.25">
      <c r="A718" t="s">
        <v>13601</v>
      </c>
      <c r="B718" t="str">
        <f>"801542954796"</f>
        <v>801542954796</v>
      </c>
      <c r="C718" t="s">
        <v>13582</v>
      </c>
      <c r="D718" t="s">
        <v>10298</v>
      </c>
      <c r="E718" t="s">
        <v>647</v>
      </c>
      <c r="F718" t="s">
        <v>3367</v>
      </c>
      <c r="G718" t="str">
        <f>"70"</f>
        <v>70</v>
      </c>
      <c r="H718" t="str">
        <f>"35"</f>
        <v>35</v>
      </c>
      <c r="I718" t="str">
        <f>"36"</f>
        <v>36</v>
      </c>
      <c r="J718" t="str">
        <f>"119.93"</f>
        <v>119.93</v>
      </c>
      <c r="K718" t="s">
        <v>10432</v>
      </c>
      <c r="N718" t="s">
        <v>372</v>
      </c>
      <c r="T718" t="s">
        <v>373</v>
      </c>
      <c r="U718" t="s">
        <v>373</v>
      </c>
      <c r="V718" t="s">
        <v>13602</v>
      </c>
      <c r="W718" t="s">
        <v>13603</v>
      </c>
      <c r="X718" t="s">
        <v>13604</v>
      </c>
      <c r="Y718" t="s">
        <v>13605</v>
      </c>
      <c r="Z718" t="s">
        <v>13606</v>
      </c>
      <c r="AA718" t="s">
        <v>13607</v>
      </c>
      <c r="AB718" t="s">
        <v>13608</v>
      </c>
      <c r="AC718" t="s">
        <v>13609</v>
      </c>
      <c r="AD718" t="s">
        <v>13610</v>
      </c>
      <c r="AE718" t="s">
        <v>13611</v>
      </c>
      <c r="AF718" t="s">
        <v>13612</v>
      </c>
      <c r="AG718" t="s">
        <v>13613</v>
      </c>
      <c r="AH718" t="s">
        <v>13614</v>
      </c>
      <c r="AI718" t="s">
        <v>13615</v>
      </c>
      <c r="AJ718" t="s">
        <v>13616</v>
      </c>
      <c r="BA718" t="str">
        <f>"2199"</f>
        <v>2199</v>
      </c>
      <c r="BB718" t="str">
        <f>"925"</f>
        <v>925</v>
      </c>
      <c r="BC718" t="s">
        <v>388</v>
      </c>
      <c r="BD718" t="str">
        <f>"2"</f>
        <v>2</v>
      </c>
      <c r="BE718" t="s">
        <v>13597</v>
      </c>
      <c r="BF718" t="str">
        <f>"74.41"</f>
        <v>74.41</v>
      </c>
      <c r="BG718" t="str">
        <f>"39.37"</f>
        <v>39.37</v>
      </c>
      <c r="BH718" t="str">
        <f>"9.84"</f>
        <v>9.84</v>
      </c>
      <c r="BI718" t="str">
        <f>"91.49"</f>
        <v>91.49</v>
      </c>
      <c r="BJ718" t="s">
        <v>1090</v>
      </c>
      <c r="BK718" t="str">
        <f>"39.37"</f>
        <v>39.37</v>
      </c>
      <c r="BL718" t="str">
        <f>"11.81"</f>
        <v>11.81</v>
      </c>
      <c r="BM718" t="str">
        <f>"30.31"</f>
        <v>30.31</v>
      </c>
      <c r="BN718" t="str">
        <f>"60.19"</f>
        <v>60.19</v>
      </c>
      <c r="BY718" t="str">
        <f>"24.86"</f>
        <v>24.86</v>
      </c>
      <c r="BZ718" t="str">
        <f>"0.704"</f>
        <v>0.704</v>
      </c>
      <c r="CA718" t="s">
        <v>495</v>
      </c>
      <c r="CR718" t="s">
        <v>400</v>
      </c>
      <c r="CS718">
        <v>0</v>
      </c>
      <c r="CT718" t="s">
        <v>400</v>
      </c>
      <c r="CV718">
        <v>0</v>
      </c>
      <c r="CX718" t="s">
        <v>667</v>
      </c>
      <c r="CY718" t="s">
        <v>400</v>
      </c>
      <c r="DA718">
        <v>0</v>
      </c>
      <c r="DB718">
        <v>0</v>
      </c>
      <c r="DC718">
        <v>0</v>
      </c>
      <c r="DI718">
        <v>6</v>
      </c>
      <c r="DJ718" t="s">
        <v>408</v>
      </c>
      <c r="DK718" t="s">
        <v>13598</v>
      </c>
      <c r="DM718" t="s">
        <v>473</v>
      </c>
      <c r="DX718" t="s">
        <v>10883</v>
      </c>
      <c r="DY718" t="s">
        <v>2595</v>
      </c>
      <c r="DZ718" t="s">
        <v>13599</v>
      </c>
      <c r="EI718" t="s">
        <v>638</v>
      </c>
      <c r="EJ718" t="s">
        <v>13617</v>
      </c>
      <c r="EK718" t="s">
        <v>3545</v>
      </c>
      <c r="EL718" t="s">
        <v>637</v>
      </c>
      <c r="EM718" t="s">
        <v>402</v>
      </c>
      <c r="EN718">
        <v>0</v>
      </c>
      <c r="EO718">
        <v>0</v>
      </c>
      <c r="EV718" t="s">
        <v>12373</v>
      </c>
      <c r="EX718" t="s">
        <v>446</v>
      </c>
      <c r="IG718" t="s">
        <v>6371</v>
      </c>
    </row>
    <row r="719" spans="1:287" x14ac:dyDescent="0.25">
      <c r="A719" t="s">
        <v>13618</v>
      </c>
      <c r="B719" t="str">
        <f>"801542243890"</f>
        <v>801542243890</v>
      </c>
      <c r="C719" t="s">
        <v>13619</v>
      </c>
      <c r="D719" t="s">
        <v>1592</v>
      </c>
      <c r="E719" t="s">
        <v>413</v>
      </c>
      <c r="G719" t="str">
        <f>"96"</f>
        <v>96</v>
      </c>
      <c r="H719" t="str">
        <f>"36"</f>
        <v>36</v>
      </c>
      <c r="I719" t="str">
        <f>"28.25"</f>
        <v>28.25</v>
      </c>
      <c r="J719" t="str">
        <f>"131.17"</f>
        <v>131.17</v>
      </c>
      <c r="K719" t="s">
        <v>1517</v>
      </c>
      <c r="L719" t="s">
        <v>1518</v>
      </c>
      <c r="N719" t="s">
        <v>416</v>
      </c>
      <c r="O719" t="s">
        <v>775</v>
      </c>
      <c r="T719" t="s">
        <v>373</v>
      </c>
      <c r="U719" t="s">
        <v>373</v>
      </c>
      <c r="V719" t="s">
        <v>13620</v>
      </c>
      <c r="W719" t="s">
        <v>13621</v>
      </c>
      <c r="X719" t="s">
        <v>13622</v>
      </c>
      <c r="Y719" t="s">
        <v>13623</v>
      </c>
      <c r="Z719" t="s">
        <v>13624</v>
      </c>
      <c r="AA719" t="s">
        <v>13625</v>
      </c>
      <c r="AB719" t="s">
        <v>13626</v>
      </c>
      <c r="AC719" t="s">
        <v>13627</v>
      </c>
      <c r="AD719" t="s">
        <v>13628</v>
      </c>
      <c r="AE719" t="s">
        <v>13629</v>
      </c>
      <c r="AF719" t="s">
        <v>13630</v>
      </c>
      <c r="AG719" t="s">
        <v>13631</v>
      </c>
      <c r="AH719" t="s">
        <v>13632</v>
      </c>
      <c r="AI719" t="s">
        <v>13633</v>
      </c>
      <c r="BA719" t="str">
        <f>"4499"</f>
        <v>4499</v>
      </c>
      <c r="BB719" t="str">
        <f>"1890"</f>
        <v>1890</v>
      </c>
      <c r="BC719" t="s">
        <v>665</v>
      </c>
      <c r="BD719" t="str">
        <f>"1"</f>
        <v>1</v>
      </c>
      <c r="BE719" t="s">
        <v>13634</v>
      </c>
      <c r="BF719" t="str">
        <f>"97.05"</f>
        <v>97.05</v>
      </c>
      <c r="BG719" t="str">
        <f>"37.2"</f>
        <v>37.2</v>
      </c>
      <c r="BH719" t="str">
        <f>"24.21"</f>
        <v>24.21</v>
      </c>
      <c r="BI719" t="str">
        <f>"162.04"</f>
        <v>162.04</v>
      </c>
      <c r="BY719" t="str">
        <f>"50.61"</f>
        <v>50.61</v>
      </c>
      <c r="BZ719" t="str">
        <f>"1.433"</f>
        <v>1.433</v>
      </c>
      <c r="CA719" t="s">
        <v>431</v>
      </c>
      <c r="CH719" t="s">
        <v>2071</v>
      </c>
      <c r="CI719" t="s">
        <v>8267</v>
      </c>
      <c r="CJ719" t="s">
        <v>13635</v>
      </c>
      <c r="CK719" t="s">
        <v>2071</v>
      </c>
      <c r="CL719" t="s">
        <v>7642</v>
      </c>
      <c r="CM719" t="s">
        <v>13635</v>
      </c>
      <c r="CN719">
        <v>0</v>
      </c>
      <c r="CO719">
        <v>0</v>
      </c>
      <c r="CP719" t="s">
        <v>437</v>
      </c>
      <c r="CQ719" t="s">
        <v>438</v>
      </c>
      <c r="CU719" t="s">
        <v>13636</v>
      </c>
      <c r="CX719" t="s">
        <v>1609</v>
      </c>
      <c r="CY719" t="s">
        <v>400</v>
      </c>
      <c r="CZ719">
        <v>0</v>
      </c>
      <c r="DD719">
        <v>0</v>
      </c>
      <c r="DE719" t="s">
        <v>439</v>
      </c>
      <c r="DF719" t="s">
        <v>406</v>
      </c>
      <c r="DH719">
        <v>1</v>
      </c>
      <c r="DI719">
        <v>4</v>
      </c>
      <c r="DK719" t="s">
        <v>13637</v>
      </c>
      <c r="DL719">
        <v>0</v>
      </c>
      <c r="DM719" t="s">
        <v>795</v>
      </c>
      <c r="DN719" t="s">
        <v>544</v>
      </c>
      <c r="DO719" t="s">
        <v>13638</v>
      </c>
      <c r="DP719" t="s">
        <v>541</v>
      </c>
      <c r="DT719" t="s">
        <v>13639</v>
      </c>
      <c r="DX719" t="s">
        <v>3079</v>
      </c>
      <c r="DY719" t="s">
        <v>13640</v>
      </c>
      <c r="DZ719" t="s">
        <v>13641</v>
      </c>
      <c r="EA719" t="s">
        <v>13638</v>
      </c>
      <c r="EG719" t="s">
        <v>641</v>
      </c>
      <c r="EM719" t="s">
        <v>402</v>
      </c>
      <c r="EP719" t="s">
        <v>13635</v>
      </c>
      <c r="EQ719" t="s">
        <v>13635</v>
      </c>
    </row>
    <row r="720" spans="1:287" x14ac:dyDescent="0.25">
      <c r="A720" t="s">
        <v>13642</v>
      </c>
      <c r="B720" t="str">
        <f>"801542995232"</f>
        <v>801542995232</v>
      </c>
      <c r="C720" t="s">
        <v>13643</v>
      </c>
      <c r="D720" t="s">
        <v>583</v>
      </c>
      <c r="E720" t="s">
        <v>515</v>
      </c>
      <c r="F720" t="s">
        <v>516</v>
      </c>
      <c r="G720" t="str">
        <f>"42"</f>
        <v>42</v>
      </c>
      <c r="H720" t="str">
        <f>"39"</f>
        <v>39</v>
      </c>
      <c r="I720" t="str">
        <f>"29.5"</f>
        <v>29.5</v>
      </c>
      <c r="J720" t="str">
        <f>"91.49"</f>
        <v>91.49</v>
      </c>
      <c r="K720" t="s">
        <v>2833</v>
      </c>
      <c r="N720" t="s">
        <v>1793</v>
      </c>
      <c r="O720" t="s">
        <v>1794</v>
      </c>
      <c r="T720" t="s">
        <v>373</v>
      </c>
      <c r="U720" t="s">
        <v>373</v>
      </c>
      <c r="V720" t="s">
        <v>13644</v>
      </c>
      <c r="W720" t="s">
        <v>13645</v>
      </c>
      <c r="X720" t="s">
        <v>13646</v>
      </c>
      <c r="Y720" t="s">
        <v>13647</v>
      </c>
      <c r="Z720" t="s">
        <v>13648</v>
      </c>
      <c r="AA720" t="s">
        <v>13649</v>
      </c>
      <c r="AB720" t="s">
        <v>13650</v>
      </c>
      <c r="AC720" t="s">
        <v>13651</v>
      </c>
      <c r="AD720" t="s">
        <v>13652</v>
      </c>
      <c r="AE720" t="s">
        <v>13653</v>
      </c>
      <c r="AF720" t="s">
        <v>13654</v>
      </c>
      <c r="BA720" t="str">
        <f>"1499"</f>
        <v>1499</v>
      </c>
      <c r="BB720" t="str">
        <f>"630"</f>
        <v>630</v>
      </c>
      <c r="BC720" t="s">
        <v>388</v>
      </c>
      <c r="BD720" t="str">
        <f>"1"</f>
        <v>1</v>
      </c>
      <c r="BE720" t="s">
        <v>389</v>
      </c>
      <c r="BF720" t="str">
        <f>"43.31"</f>
        <v>43.31</v>
      </c>
      <c r="BG720" t="str">
        <f>"39.76"</f>
        <v>39.76</v>
      </c>
      <c r="BH720" t="str">
        <f>"31.1"</f>
        <v>31.1</v>
      </c>
      <c r="BI720" t="str">
        <f>"111.33"</f>
        <v>111.33</v>
      </c>
      <c r="BY720" t="str">
        <f>"31.01"</f>
        <v>31.01</v>
      </c>
      <c r="BZ720" t="str">
        <f>"0.878"</f>
        <v>0.878</v>
      </c>
      <c r="CA720" t="s">
        <v>431</v>
      </c>
      <c r="CK720" t="s">
        <v>638</v>
      </c>
      <c r="CL720" t="s">
        <v>449</v>
      </c>
      <c r="CN720">
        <v>0</v>
      </c>
      <c r="CO720">
        <v>1</v>
      </c>
      <c r="CP720" t="s">
        <v>437</v>
      </c>
      <c r="CQ720" t="s">
        <v>438</v>
      </c>
      <c r="CX720" t="s">
        <v>403</v>
      </c>
      <c r="CY720" t="s">
        <v>400</v>
      </c>
      <c r="CZ720">
        <v>0</v>
      </c>
      <c r="DD720">
        <v>30000</v>
      </c>
      <c r="DE720" t="s">
        <v>439</v>
      </c>
      <c r="DF720" t="s">
        <v>632</v>
      </c>
      <c r="DH720">
        <v>1</v>
      </c>
      <c r="DI720">
        <v>1</v>
      </c>
      <c r="DK720" t="s">
        <v>13655</v>
      </c>
      <c r="DL720">
        <v>0</v>
      </c>
      <c r="DM720" t="s">
        <v>538</v>
      </c>
      <c r="DN720" t="s">
        <v>432</v>
      </c>
      <c r="DO720" t="s">
        <v>2908</v>
      </c>
      <c r="DP720" t="s">
        <v>601</v>
      </c>
      <c r="DT720" t="s">
        <v>610</v>
      </c>
      <c r="DX720" t="s">
        <v>827</v>
      </c>
      <c r="EA720" t="s">
        <v>2240</v>
      </c>
      <c r="ED720" t="s">
        <v>632</v>
      </c>
      <c r="EG720" t="s">
        <v>641</v>
      </c>
      <c r="EP720" t="s">
        <v>791</v>
      </c>
      <c r="EQ720" t="s">
        <v>603</v>
      </c>
      <c r="ER720">
        <v>0</v>
      </c>
      <c r="ES720">
        <v>0</v>
      </c>
      <c r="EU720">
        <v>0</v>
      </c>
    </row>
    <row r="721" spans="1:293" x14ac:dyDescent="0.25">
      <c r="A721" t="s">
        <v>13656</v>
      </c>
      <c r="B721" t="str">
        <f>"801542153175"</f>
        <v>801542153175</v>
      </c>
      <c r="C721" t="s">
        <v>13657</v>
      </c>
      <c r="D721" t="s">
        <v>1276</v>
      </c>
      <c r="E721" t="s">
        <v>988</v>
      </c>
      <c r="G721" t="str">
        <f>"85"</f>
        <v>85</v>
      </c>
      <c r="H721" t="str">
        <f>"20"</f>
        <v>20</v>
      </c>
      <c r="I721" t="str">
        <f>"31"</f>
        <v>31</v>
      </c>
      <c r="J721" t="str">
        <f>"295.42"</f>
        <v>295.42</v>
      </c>
      <c r="K721" t="s">
        <v>13090</v>
      </c>
      <c r="N721" t="s">
        <v>1463</v>
      </c>
      <c r="O721" t="s">
        <v>372</v>
      </c>
      <c r="T721" t="s">
        <v>373</v>
      </c>
      <c r="U721" t="s">
        <v>373</v>
      </c>
      <c r="V721" t="s">
        <v>13658</v>
      </c>
      <c r="W721" t="s">
        <v>13659</v>
      </c>
      <c r="X721" t="s">
        <v>13660</v>
      </c>
      <c r="Y721" t="s">
        <v>13661</v>
      </c>
      <c r="Z721" t="s">
        <v>13662</v>
      </c>
      <c r="AA721" t="s">
        <v>13663</v>
      </c>
      <c r="AB721" t="s">
        <v>13664</v>
      </c>
      <c r="AC721" t="s">
        <v>13665</v>
      </c>
      <c r="AD721" t="s">
        <v>13666</v>
      </c>
      <c r="AE721" t="s">
        <v>13667</v>
      </c>
      <c r="AF721" t="s">
        <v>13668</v>
      </c>
      <c r="AG721" t="s">
        <v>13669</v>
      </c>
      <c r="AH721" t="s">
        <v>13670</v>
      </c>
      <c r="AI721" t="s">
        <v>13671</v>
      </c>
      <c r="AJ721" t="s">
        <v>13672</v>
      </c>
      <c r="AK721" t="s">
        <v>13673</v>
      </c>
      <c r="AL721" t="s">
        <v>13674</v>
      </c>
      <c r="BA721" t="str">
        <f>"2899"</f>
        <v>2899</v>
      </c>
      <c r="BB721" t="str">
        <f>"1220"</f>
        <v>1220</v>
      </c>
      <c r="BC721" t="s">
        <v>665</v>
      </c>
      <c r="BD721" t="str">
        <f>"1"</f>
        <v>1</v>
      </c>
      <c r="BE721" t="s">
        <v>389</v>
      </c>
      <c r="BF721" t="str">
        <f>"88.5"</f>
        <v>88.5</v>
      </c>
      <c r="BG721" t="str">
        <f>"23.54"</f>
        <v>23.54</v>
      </c>
      <c r="BH721" t="str">
        <f>"37.28"</f>
        <v>37.28</v>
      </c>
      <c r="BI721" t="str">
        <f>"325.18"</f>
        <v>325.18</v>
      </c>
      <c r="BY721" t="str">
        <f>"44.96"</f>
        <v>44.96</v>
      </c>
      <c r="BZ721" t="str">
        <f>"1.273"</f>
        <v>1.273</v>
      </c>
      <c r="CA721" t="s">
        <v>431</v>
      </c>
      <c r="CR721" t="s">
        <v>1007</v>
      </c>
      <c r="CS721">
        <v>9</v>
      </c>
      <c r="CT721" t="s">
        <v>400</v>
      </c>
      <c r="CV721">
        <v>0</v>
      </c>
      <c r="CX721" t="s">
        <v>1980</v>
      </c>
      <c r="CY721" t="s">
        <v>1009</v>
      </c>
      <c r="DC721">
        <v>0</v>
      </c>
      <c r="DJ721" t="s">
        <v>1010</v>
      </c>
      <c r="DK721" t="s">
        <v>12842</v>
      </c>
      <c r="DM721" t="s">
        <v>669</v>
      </c>
      <c r="DX721" t="s">
        <v>13675</v>
      </c>
      <c r="EM721" t="s">
        <v>402</v>
      </c>
      <c r="EN721">
        <v>0</v>
      </c>
      <c r="FI721">
        <v>0</v>
      </c>
      <c r="FJ721" t="s">
        <v>1012</v>
      </c>
      <c r="FR721" t="s">
        <v>9623</v>
      </c>
      <c r="FT721" t="s">
        <v>1015</v>
      </c>
      <c r="FV721" t="s">
        <v>13676</v>
      </c>
      <c r="FX721" t="s">
        <v>4210</v>
      </c>
    </row>
    <row r="722" spans="1:293" x14ac:dyDescent="0.25">
      <c r="A722" t="s">
        <v>13677</v>
      </c>
      <c r="B722" t="str">
        <f>"198394059428"</f>
        <v>198394059428</v>
      </c>
      <c r="C722" t="s">
        <v>13678</v>
      </c>
      <c r="D722" t="s">
        <v>1276</v>
      </c>
      <c r="E722" t="s">
        <v>988</v>
      </c>
      <c r="G722" t="str">
        <f>"85"</f>
        <v>85</v>
      </c>
      <c r="H722" t="str">
        <f>"20"</f>
        <v>20</v>
      </c>
      <c r="I722" t="str">
        <f>"31"</f>
        <v>31</v>
      </c>
      <c r="J722" t="str">
        <f>"295.42"</f>
        <v>295.42</v>
      </c>
      <c r="K722" t="s">
        <v>12822</v>
      </c>
      <c r="L722" t="s">
        <v>12823</v>
      </c>
      <c r="N722" t="s">
        <v>1463</v>
      </c>
      <c r="O722" t="s">
        <v>372</v>
      </c>
      <c r="T722" t="s">
        <v>373</v>
      </c>
      <c r="U722" t="s">
        <v>373</v>
      </c>
      <c r="V722" t="s">
        <v>13679</v>
      </c>
      <c r="W722" t="s">
        <v>13680</v>
      </c>
      <c r="X722" t="s">
        <v>13681</v>
      </c>
      <c r="Y722" t="s">
        <v>13682</v>
      </c>
      <c r="Z722" t="s">
        <v>13683</v>
      </c>
      <c r="AA722" t="s">
        <v>13684</v>
      </c>
      <c r="AB722" t="s">
        <v>13685</v>
      </c>
      <c r="AC722" t="s">
        <v>13686</v>
      </c>
      <c r="AD722" t="s">
        <v>13687</v>
      </c>
      <c r="AE722" t="s">
        <v>13688</v>
      </c>
      <c r="AF722" t="s">
        <v>13689</v>
      </c>
      <c r="AG722" t="s">
        <v>13690</v>
      </c>
      <c r="AH722" t="s">
        <v>13691</v>
      </c>
      <c r="AI722" t="s">
        <v>13692</v>
      </c>
      <c r="AJ722" t="s">
        <v>13693</v>
      </c>
      <c r="BA722" t="str">
        <f>"2899"</f>
        <v>2899</v>
      </c>
      <c r="BB722" t="str">
        <f>"1220"</f>
        <v>1220</v>
      </c>
      <c r="BC722" t="s">
        <v>665</v>
      </c>
      <c r="BD722" t="str">
        <f>"1"</f>
        <v>1</v>
      </c>
      <c r="BE722" t="s">
        <v>389</v>
      </c>
      <c r="BF722" t="str">
        <f>"88.5"</f>
        <v>88.5</v>
      </c>
      <c r="BG722" t="str">
        <f>"23.54"</f>
        <v>23.54</v>
      </c>
      <c r="BH722" t="str">
        <f>"37.28"</f>
        <v>37.28</v>
      </c>
      <c r="BI722" t="str">
        <f>"325.18"</f>
        <v>325.18</v>
      </c>
      <c r="BY722" t="str">
        <f>"44.96"</f>
        <v>44.96</v>
      </c>
      <c r="BZ722" t="str">
        <f>"1.273"</f>
        <v>1.273</v>
      </c>
      <c r="CA722" t="s">
        <v>431</v>
      </c>
      <c r="CR722" t="s">
        <v>1007</v>
      </c>
      <c r="CS722">
        <v>9</v>
      </c>
      <c r="CT722" t="s">
        <v>400</v>
      </c>
      <c r="CV722">
        <v>0</v>
      </c>
      <c r="CX722" t="s">
        <v>1980</v>
      </c>
      <c r="CY722" t="s">
        <v>1009</v>
      </c>
      <c r="DC722">
        <v>0</v>
      </c>
      <c r="DJ722" t="s">
        <v>1010</v>
      </c>
      <c r="DK722" t="s">
        <v>12842</v>
      </c>
      <c r="DM722" t="s">
        <v>669</v>
      </c>
      <c r="DX722" t="s">
        <v>13675</v>
      </c>
      <c r="EM722" t="s">
        <v>402</v>
      </c>
      <c r="EN722">
        <v>0</v>
      </c>
      <c r="FI722">
        <v>0</v>
      </c>
      <c r="FJ722" t="s">
        <v>1012</v>
      </c>
      <c r="FR722" t="s">
        <v>9623</v>
      </c>
      <c r="FT722" t="s">
        <v>1015</v>
      </c>
      <c r="FV722" t="s">
        <v>13676</v>
      </c>
      <c r="FX722" t="s">
        <v>4210</v>
      </c>
    </row>
    <row r="723" spans="1:293" x14ac:dyDescent="0.25">
      <c r="A723" t="s">
        <v>13694</v>
      </c>
      <c r="B723" t="str">
        <f>"801542101954"</f>
        <v>801542101954</v>
      </c>
      <c r="C723" t="s">
        <v>13695</v>
      </c>
      <c r="D723" t="s">
        <v>1318</v>
      </c>
      <c r="E723" t="s">
        <v>1077</v>
      </c>
      <c r="G723" t="str">
        <f>"47.75"</f>
        <v>47.75</v>
      </c>
      <c r="H723" t="str">
        <f>"47.75"</f>
        <v>47.75</v>
      </c>
      <c r="I723" t="str">
        <f>"17"</f>
        <v>17</v>
      </c>
      <c r="J723" t="str">
        <f>"130.07"</f>
        <v>130.07</v>
      </c>
      <c r="K723" t="s">
        <v>1321</v>
      </c>
      <c r="L723" t="s">
        <v>1323</v>
      </c>
      <c r="N723" t="s">
        <v>1324</v>
      </c>
      <c r="T723" t="s">
        <v>373</v>
      </c>
      <c r="U723" t="s">
        <v>373</v>
      </c>
      <c r="V723" t="s">
        <v>13696</v>
      </c>
      <c r="W723" t="s">
        <v>13697</v>
      </c>
      <c r="X723" t="s">
        <v>13698</v>
      </c>
      <c r="Y723" t="s">
        <v>13699</v>
      </c>
      <c r="Z723" t="s">
        <v>13700</v>
      </c>
      <c r="AA723" t="s">
        <v>13701</v>
      </c>
      <c r="AB723" t="s">
        <v>13702</v>
      </c>
      <c r="AC723" t="s">
        <v>13703</v>
      </c>
      <c r="AD723" t="s">
        <v>13704</v>
      </c>
      <c r="AE723" t="s">
        <v>13705</v>
      </c>
      <c r="BA723" t="str">
        <f>"2699"</f>
        <v>2699</v>
      </c>
      <c r="BB723" t="str">
        <f>"1135"</f>
        <v>1135</v>
      </c>
      <c r="BC723" t="s">
        <v>665</v>
      </c>
      <c r="BD723" t="str">
        <f>"1"</f>
        <v>1</v>
      </c>
      <c r="BE723" t="s">
        <v>13706</v>
      </c>
      <c r="BF723" t="str">
        <f>"51.97"</f>
        <v>51.97</v>
      </c>
      <c r="BG723" t="str">
        <f>"51.77"</f>
        <v>51.77</v>
      </c>
      <c r="BH723" t="str">
        <f>"22.05"</f>
        <v>22.05</v>
      </c>
      <c r="BI723" t="str">
        <f>"180.78"</f>
        <v>180.78</v>
      </c>
      <c r="BY723" t="str">
        <f>"34.33"</f>
        <v>34.33</v>
      </c>
      <c r="BZ723" t="str">
        <f>"0.972"</f>
        <v>0.972</v>
      </c>
      <c r="CA723" t="s">
        <v>495</v>
      </c>
      <c r="CR723" t="s">
        <v>400</v>
      </c>
      <c r="CS723">
        <v>0</v>
      </c>
      <c r="CT723" t="s">
        <v>400</v>
      </c>
      <c r="CV723">
        <v>0</v>
      </c>
      <c r="CX723" t="s">
        <v>953</v>
      </c>
      <c r="CY723" t="s">
        <v>400</v>
      </c>
      <c r="DC723">
        <v>0</v>
      </c>
      <c r="DJ723" t="s">
        <v>471</v>
      </c>
      <c r="DK723" t="s">
        <v>13707</v>
      </c>
      <c r="DM723" t="s">
        <v>473</v>
      </c>
      <c r="EI723" t="s">
        <v>13708</v>
      </c>
      <c r="EJ723" t="s">
        <v>4303</v>
      </c>
      <c r="EK723" t="s">
        <v>13708</v>
      </c>
      <c r="EL723" t="s">
        <v>956</v>
      </c>
      <c r="EM723" t="s">
        <v>402</v>
      </c>
      <c r="EN723">
        <v>0</v>
      </c>
      <c r="EO723">
        <v>0</v>
      </c>
      <c r="EX723" t="s">
        <v>13709</v>
      </c>
    </row>
    <row r="724" spans="1:293" x14ac:dyDescent="0.25">
      <c r="A724" t="s">
        <v>13710</v>
      </c>
      <c r="B724" t="str">
        <f>"801542268596"</f>
        <v>801542268596</v>
      </c>
      <c r="C724" t="s">
        <v>13711</v>
      </c>
      <c r="D724" t="s">
        <v>1098</v>
      </c>
      <c r="E724" t="s">
        <v>647</v>
      </c>
      <c r="F724" t="s">
        <v>648</v>
      </c>
      <c r="G724" t="str">
        <f>"72"</f>
        <v>72</v>
      </c>
      <c r="H724" t="str">
        <f>"72"</f>
        <v>72</v>
      </c>
      <c r="I724" t="str">
        <f>"30"</f>
        <v>30</v>
      </c>
      <c r="J724" t="str">
        <f>"209.65"</f>
        <v>209.65</v>
      </c>
      <c r="K724" t="s">
        <v>13712</v>
      </c>
      <c r="N724" t="s">
        <v>933</v>
      </c>
      <c r="T724" t="s">
        <v>373</v>
      </c>
      <c r="U724" t="s">
        <v>373</v>
      </c>
      <c r="V724" t="s">
        <v>13713</v>
      </c>
      <c r="W724" t="s">
        <v>13714</v>
      </c>
      <c r="X724" t="s">
        <v>13715</v>
      </c>
      <c r="Y724" t="s">
        <v>13716</v>
      </c>
      <c r="Z724" t="s">
        <v>13717</v>
      </c>
      <c r="AA724" t="s">
        <v>13718</v>
      </c>
      <c r="AB724" t="s">
        <v>13719</v>
      </c>
      <c r="AC724" t="s">
        <v>13720</v>
      </c>
      <c r="AD724" t="s">
        <v>13721</v>
      </c>
      <c r="AE724" t="s">
        <v>13722</v>
      </c>
      <c r="AF724" t="s">
        <v>13723</v>
      </c>
      <c r="AG724" t="s">
        <v>13724</v>
      </c>
      <c r="AH724" t="s">
        <v>13725</v>
      </c>
      <c r="BA724" t="str">
        <f>"1899"</f>
        <v>1899</v>
      </c>
      <c r="BB724" t="str">
        <f>"800"</f>
        <v>800</v>
      </c>
      <c r="BC724" t="s">
        <v>949</v>
      </c>
      <c r="BD724" t="str">
        <f>"3"</f>
        <v>3</v>
      </c>
      <c r="BE724" t="s">
        <v>1089</v>
      </c>
      <c r="BF724" t="str">
        <f>"75.5"</f>
        <v>75.5</v>
      </c>
      <c r="BG724" t="str">
        <f>"5"</f>
        <v>5</v>
      </c>
      <c r="BH724" t="str">
        <f>"75.5"</f>
        <v>75.5</v>
      </c>
      <c r="BI724" t="str">
        <f>"199.07"</f>
        <v>199.07</v>
      </c>
      <c r="BJ724" t="s">
        <v>1090</v>
      </c>
      <c r="BK724" t="str">
        <f>"40"</f>
        <v>40</v>
      </c>
      <c r="BL724" t="str">
        <f>"5"</f>
        <v>5</v>
      </c>
      <c r="BM724" t="str">
        <f>"40"</f>
        <v>40</v>
      </c>
      <c r="BN724" t="str">
        <f>"30.64"</f>
        <v>30.64</v>
      </c>
      <c r="BO724" t="s">
        <v>13726</v>
      </c>
      <c r="BP724" t="str">
        <f>"25.5"</f>
        <v>25.5</v>
      </c>
      <c r="BQ724" t="str">
        <f>"25.5"</f>
        <v>25.5</v>
      </c>
      <c r="BR724" t="str">
        <f>"27.5"</f>
        <v>27.5</v>
      </c>
      <c r="BS724" t="str">
        <f>"45.19"</f>
        <v>45.19</v>
      </c>
      <c r="BY724" t="str">
        <f>"31.47"</f>
        <v>31.47</v>
      </c>
      <c r="BZ724" t="str">
        <f>"0.891"</f>
        <v>0.891</v>
      </c>
      <c r="CA724" t="s">
        <v>390</v>
      </c>
      <c r="CR724" t="s">
        <v>400</v>
      </c>
      <c r="CS724">
        <v>0</v>
      </c>
      <c r="CT724" t="s">
        <v>400</v>
      </c>
      <c r="CV724">
        <v>0</v>
      </c>
      <c r="CY724" t="s">
        <v>400</v>
      </c>
      <c r="DA724">
        <v>0</v>
      </c>
      <c r="DB724">
        <v>0</v>
      </c>
      <c r="DC724">
        <v>0</v>
      </c>
      <c r="DI724">
        <v>8</v>
      </c>
      <c r="DJ724" t="s">
        <v>471</v>
      </c>
      <c r="DK724" t="s">
        <v>13727</v>
      </c>
      <c r="DM724" t="s">
        <v>669</v>
      </c>
      <c r="DX724" t="s">
        <v>855</v>
      </c>
      <c r="EI724" t="s">
        <v>7242</v>
      </c>
      <c r="EJ724" t="s">
        <v>475</v>
      </c>
      <c r="EK724" t="s">
        <v>7242</v>
      </c>
      <c r="EL724" t="s">
        <v>637</v>
      </c>
      <c r="EM724" t="s">
        <v>402</v>
      </c>
      <c r="EN724">
        <v>0</v>
      </c>
      <c r="EO724">
        <v>0</v>
      </c>
      <c r="EW724" t="s">
        <v>855</v>
      </c>
      <c r="EX724" t="s">
        <v>958</v>
      </c>
      <c r="EY724" t="s">
        <v>677</v>
      </c>
    </row>
    <row r="725" spans="1:293" x14ac:dyDescent="0.25">
      <c r="A725" t="s">
        <v>13728</v>
      </c>
      <c r="B725" t="str">
        <f>"801542207038"</f>
        <v>801542207038</v>
      </c>
      <c r="C725" t="s">
        <v>13729</v>
      </c>
      <c r="D725" t="s">
        <v>1420</v>
      </c>
      <c r="E725" t="s">
        <v>930</v>
      </c>
      <c r="G725" t="str">
        <f>"84"</f>
        <v>84</v>
      </c>
      <c r="H725" t="str">
        <f>"18"</f>
        <v>18</v>
      </c>
      <c r="I725" t="str">
        <f>"32.25"</f>
        <v>32.25</v>
      </c>
      <c r="J725" t="str">
        <f>"198.41"</f>
        <v>198.41</v>
      </c>
      <c r="K725" t="s">
        <v>13730</v>
      </c>
      <c r="L725" t="s">
        <v>13731</v>
      </c>
      <c r="N725" t="s">
        <v>1463</v>
      </c>
      <c r="O725" t="s">
        <v>555</v>
      </c>
      <c r="T725" t="s">
        <v>373</v>
      </c>
      <c r="U725" t="s">
        <v>373</v>
      </c>
      <c r="V725" t="s">
        <v>13732</v>
      </c>
      <c r="W725" t="s">
        <v>13733</v>
      </c>
      <c r="X725" t="s">
        <v>13734</v>
      </c>
      <c r="Y725" t="s">
        <v>13735</v>
      </c>
      <c r="Z725" t="s">
        <v>13736</v>
      </c>
      <c r="AA725" t="s">
        <v>13737</v>
      </c>
      <c r="AB725" t="s">
        <v>13738</v>
      </c>
      <c r="AC725" t="s">
        <v>13739</v>
      </c>
      <c r="AD725" t="s">
        <v>13740</v>
      </c>
      <c r="AE725" t="s">
        <v>13741</v>
      </c>
      <c r="AF725" t="s">
        <v>13742</v>
      </c>
      <c r="AG725" t="s">
        <v>13743</v>
      </c>
      <c r="AH725" t="s">
        <v>13744</v>
      </c>
      <c r="AI725" t="s">
        <v>13745</v>
      </c>
      <c r="AJ725" t="s">
        <v>13746</v>
      </c>
      <c r="BA725" t="str">
        <f>"2799"</f>
        <v>2799</v>
      </c>
      <c r="BB725" t="str">
        <f>"1180"</f>
        <v>1180</v>
      </c>
      <c r="BC725" t="s">
        <v>665</v>
      </c>
      <c r="BD725" t="str">
        <f t="shared" ref="BD725:BD731" si="161">"1"</f>
        <v>1</v>
      </c>
      <c r="BE725" t="s">
        <v>9060</v>
      </c>
      <c r="BF725" t="str">
        <f>"87.8"</f>
        <v>87.8</v>
      </c>
      <c r="BG725" t="str">
        <f>"22.05"</f>
        <v>22.05</v>
      </c>
      <c r="BH725" t="str">
        <f>"37.8"</f>
        <v>37.8</v>
      </c>
      <c r="BI725" t="str">
        <f>"235.89"</f>
        <v>235.89</v>
      </c>
      <c r="BY725" t="str">
        <f>"42.34"</f>
        <v>42.34</v>
      </c>
      <c r="BZ725" t="str">
        <f>"1.199"</f>
        <v>1.199</v>
      </c>
      <c r="CA725" t="s">
        <v>390</v>
      </c>
      <c r="CE725" t="s">
        <v>391</v>
      </c>
      <c r="CF725" t="s">
        <v>6563</v>
      </c>
      <c r="CG725" t="s">
        <v>13747</v>
      </c>
      <c r="CR725" t="s">
        <v>400</v>
      </c>
      <c r="CS725">
        <v>0</v>
      </c>
      <c r="CT725" t="s">
        <v>400</v>
      </c>
      <c r="CV725">
        <v>0</v>
      </c>
      <c r="CX725" t="s">
        <v>1241</v>
      </c>
      <c r="CY725" t="s">
        <v>954</v>
      </c>
      <c r="DA725">
        <v>18.14</v>
      </c>
      <c r="DB725">
        <v>40</v>
      </c>
      <c r="DC725">
        <v>2</v>
      </c>
      <c r="DK725" t="s">
        <v>13748</v>
      </c>
      <c r="DM725" t="s">
        <v>669</v>
      </c>
      <c r="DX725" t="s">
        <v>576</v>
      </c>
      <c r="EM725" t="s">
        <v>402</v>
      </c>
      <c r="EN725">
        <v>2</v>
      </c>
      <c r="EZ725" t="s">
        <v>13749</v>
      </c>
      <c r="FA725" t="s">
        <v>4614</v>
      </c>
      <c r="FB725" t="s">
        <v>5832</v>
      </c>
      <c r="FC725" t="s">
        <v>391</v>
      </c>
      <c r="FD725" t="s">
        <v>4614</v>
      </c>
      <c r="FE725" t="s">
        <v>13747</v>
      </c>
      <c r="FF725">
        <v>0</v>
      </c>
      <c r="FG725" t="s">
        <v>402</v>
      </c>
      <c r="FH725" t="s">
        <v>6663</v>
      </c>
      <c r="FI725">
        <v>4</v>
      </c>
      <c r="FJ725" t="s">
        <v>960</v>
      </c>
      <c r="FK725" t="s">
        <v>961</v>
      </c>
      <c r="FL725">
        <v>0</v>
      </c>
      <c r="FM725" t="s">
        <v>402</v>
      </c>
      <c r="FO725" t="s">
        <v>984</v>
      </c>
      <c r="GB725" t="s">
        <v>391</v>
      </c>
      <c r="GC725" t="s">
        <v>6563</v>
      </c>
      <c r="GD725" t="s">
        <v>13747</v>
      </c>
      <c r="GX725" t="s">
        <v>392</v>
      </c>
      <c r="HI725" t="s">
        <v>402</v>
      </c>
    </row>
    <row r="726" spans="1:293" x14ac:dyDescent="0.25">
      <c r="A726" t="s">
        <v>13750</v>
      </c>
      <c r="B726" t="str">
        <f>"801542374365"</f>
        <v>801542374365</v>
      </c>
      <c r="C726" t="s">
        <v>13751</v>
      </c>
      <c r="D726" t="s">
        <v>13752</v>
      </c>
      <c r="E726" t="s">
        <v>647</v>
      </c>
      <c r="F726" t="s">
        <v>648</v>
      </c>
      <c r="G726" t="str">
        <f>"114"</f>
        <v>114</v>
      </c>
      <c r="H726" t="str">
        <f>"38"</f>
        <v>38</v>
      </c>
      <c r="I726" t="str">
        <f>"30"</f>
        <v>30</v>
      </c>
      <c r="J726" t="str">
        <f>"169.75"</f>
        <v>169.75</v>
      </c>
      <c r="K726" t="s">
        <v>13753</v>
      </c>
      <c r="N726" t="s">
        <v>13754</v>
      </c>
      <c r="O726" t="s">
        <v>461</v>
      </c>
      <c r="T726" t="s">
        <v>373</v>
      </c>
      <c r="U726" t="s">
        <v>373</v>
      </c>
      <c r="V726" t="s">
        <v>13755</v>
      </c>
      <c r="W726" t="s">
        <v>13756</v>
      </c>
      <c r="X726" t="s">
        <v>13757</v>
      </c>
      <c r="Y726" t="s">
        <v>13758</v>
      </c>
      <c r="Z726" t="s">
        <v>13759</v>
      </c>
      <c r="AA726" t="s">
        <v>13760</v>
      </c>
      <c r="AB726" t="s">
        <v>13761</v>
      </c>
      <c r="AC726" t="s">
        <v>13762</v>
      </c>
      <c r="AD726" t="s">
        <v>13763</v>
      </c>
      <c r="AE726" t="s">
        <v>13764</v>
      </c>
      <c r="AF726" t="s">
        <v>13765</v>
      </c>
      <c r="AG726" t="s">
        <v>13766</v>
      </c>
      <c r="AH726" t="s">
        <v>13767</v>
      </c>
      <c r="BA726" t="str">
        <f>"4299"</f>
        <v>4299</v>
      </c>
      <c r="BB726" t="str">
        <f>"1810"</f>
        <v>1810</v>
      </c>
      <c r="BC726" t="s">
        <v>665</v>
      </c>
      <c r="BD726" t="str">
        <f t="shared" si="161"/>
        <v>1</v>
      </c>
      <c r="BE726" t="s">
        <v>389</v>
      </c>
      <c r="BF726" t="str">
        <f>"120"</f>
        <v>120</v>
      </c>
      <c r="BG726" t="str">
        <f>"12.5"</f>
        <v>12.5</v>
      </c>
      <c r="BH726" t="str">
        <f>"42.5"</f>
        <v>42.5</v>
      </c>
      <c r="BI726" t="str">
        <f>"233.69"</f>
        <v>233.69</v>
      </c>
      <c r="BY726" t="str">
        <f>"36.9"</f>
        <v>36.9</v>
      </c>
      <c r="BZ726" t="str">
        <f>"1.045"</f>
        <v>1.045</v>
      </c>
      <c r="CA726" t="s">
        <v>390</v>
      </c>
      <c r="CR726" t="s">
        <v>400</v>
      </c>
      <c r="CS726">
        <v>0</v>
      </c>
      <c r="CT726" t="s">
        <v>400</v>
      </c>
      <c r="CV726">
        <v>0</v>
      </c>
      <c r="CX726" t="s">
        <v>403</v>
      </c>
      <c r="CY726" t="s">
        <v>400</v>
      </c>
      <c r="DA726">
        <v>0</v>
      </c>
      <c r="DB726">
        <v>0</v>
      </c>
      <c r="DC726">
        <v>0</v>
      </c>
      <c r="DI726">
        <v>12</v>
      </c>
      <c r="DJ726" t="s">
        <v>408</v>
      </c>
      <c r="DK726" t="s">
        <v>13768</v>
      </c>
      <c r="DM726" t="s">
        <v>669</v>
      </c>
      <c r="DX726" t="s">
        <v>1709</v>
      </c>
      <c r="DY726" t="s">
        <v>13769</v>
      </c>
      <c r="DZ726" t="s">
        <v>5269</v>
      </c>
      <c r="EI726" t="s">
        <v>13770</v>
      </c>
      <c r="EJ726" t="s">
        <v>13771</v>
      </c>
      <c r="EK726" t="s">
        <v>13772</v>
      </c>
      <c r="EL726" t="s">
        <v>5144</v>
      </c>
      <c r="EM726" t="s">
        <v>402</v>
      </c>
      <c r="EN726">
        <v>0</v>
      </c>
      <c r="EO726">
        <v>0</v>
      </c>
      <c r="EV726" t="s">
        <v>1552</v>
      </c>
      <c r="EW726" t="s">
        <v>13771</v>
      </c>
      <c r="EX726" t="s">
        <v>13773</v>
      </c>
      <c r="EY726" t="s">
        <v>677</v>
      </c>
    </row>
    <row r="727" spans="1:293" x14ac:dyDescent="0.25">
      <c r="A727" t="s">
        <v>13774</v>
      </c>
      <c r="B727" t="str">
        <f>"801542142032"</f>
        <v>801542142032</v>
      </c>
      <c r="C727" t="s">
        <v>13775</v>
      </c>
      <c r="D727" t="s">
        <v>1224</v>
      </c>
      <c r="E727" t="s">
        <v>1077</v>
      </c>
      <c r="G727" t="str">
        <f t="shared" ref="G727:H729" si="162">"55"</f>
        <v>55</v>
      </c>
      <c r="H727" t="str">
        <f t="shared" si="162"/>
        <v>55</v>
      </c>
      <c r="I727" t="str">
        <f>"15"</f>
        <v>15</v>
      </c>
      <c r="J727" t="str">
        <f>"120.37"</f>
        <v>120.37</v>
      </c>
      <c r="K727" t="s">
        <v>5646</v>
      </c>
      <c r="L727" t="s">
        <v>460</v>
      </c>
      <c r="N727" t="s">
        <v>5648</v>
      </c>
      <c r="O727" t="s">
        <v>461</v>
      </c>
      <c r="T727" t="s">
        <v>373</v>
      </c>
      <c r="U727" t="s">
        <v>373</v>
      </c>
      <c r="V727" t="s">
        <v>13776</v>
      </c>
      <c r="W727" t="s">
        <v>13777</v>
      </c>
      <c r="X727" t="s">
        <v>13778</v>
      </c>
      <c r="Y727" t="s">
        <v>13779</v>
      </c>
      <c r="Z727" t="s">
        <v>13780</v>
      </c>
      <c r="AA727" t="s">
        <v>13781</v>
      </c>
      <c r="AB727" t="s">
        <v>13782</v>
      </c>
      <c r="AC727" t="s">
        <v>13783</v>
      </c>
      <c r="AD727" t="s">
        <v>13784</v>
      </c>
      <c r="AE727" t="s">
        <v>13785</v>
      </c>
      <c r="AF727" t="s">
        <v>13786</v>
      </c>
      <c r="AG727" t="s">
        <v>13787</v>
      </c>
      <c r="AH727" t="s">
        <v>13788</v>
      </c>
      <c r="BA727" t="str">
        <f>"2799"</f>
        <v>2799</v>
      </c>
      <c r="BB727" t="str">
        <f>"1180"</f>
        <v>1180</v>
      </c>
      <c r="BC727" t="s">
        <v>1149</v>
      </c>
      <c r="BD727" t="str">
        <f t="shared" si="161"/>
        <v>1</v>
      </c>
      <c r="BE727" t="s">
        <v>389</v>
      </c>
      <c r="BF727" t="str">
        <f t="shared" ref="BF727:BG729" si="163">"61.42"</f>
        <v>61.42</v>
      </c>
      <c r="BG727" t="str">
        <f t="shared" si="163"/>
        <v>61.42</v>
      </c>
      <c r="BH727" t="str">
        <f>"21.65"</f>
        <v>21.65</v>
      </c>
      <c r="BI727" t="str">
        <f>"192.9"</f>
        <v>192.9</v>
      </c>
      <c r="BY727" t="str">
        <f>"47.25"</f>
        <v>47.25</v>
      </c>
      <c r="BZ727" t="str">
        <f>"1.338"</f>
        <v>1.338</v>
      </c>
      <c r="CA727" t="s">
        <v>390</v>
      </c>
      <c r="CR727" t="s">
        <v>400</v>
      </c>
      <c r="CS727">
        <v>0</v>
      </c>
      <c r="CT727" t="s">
        <v>400</v>
      </c>
      <c r="CV727">
        <v>0</v>
      </c>
      <c r="CX727" t="s">
        <v>1241</v>
      </c>
      <c r="CY727" t="s">
        <v>400</v>
      </c>
      <c r="DC727">
        <v>0</v>
      </c>
      <c r="DJ727" t="s">
        <v>1132</v>
      </c>
      <c r="DK727" t="s">
        <v>3965</v>
      </c>
      <c r="DM727" t="s">
        <v>473</v>
      </c>
      <c r="DX727" t="s">
        <v>4018</v>
      </c>
      <c r="EI727" t="s">
        <v>8854</v>
      </c>
      <c r="EJ727" t="s">
        <v>4018</v>
      </c>
      <c r="EK727" t="s">
        <v>8854</v>
      </c>
      <c r="EL727" t="s">
        <v>10118</v>
      </c>
      <c r="EM727" t="s">
        <v>402</v>
      </c>
      <c r="EN727">
        <v>0</v>
      </c>
      <c r="EO727">
        <v>0</v>
      </c>
      <c r="EX727" t="s">
        <v>827</v>
      </c>
    </row>
    <row r="728" spans="1:293" x14ac:dyDescent="0.25">
      <c r="A728" t="s">
        <v>13789</v>
      </c>
      <c r="B728" t="str">
        <f>"801542242763"</f>
        <v>801542242763</v>
      </c>
      <c r="C728" t="s">
        <v>13790</v>
      </c>
      <c r="D728" t="s">
        <v>1224</v>
      </c>
      <c r="E728" t="s">
        <v>1077</v>
      </c>
      <c r="G728" t="str">
        <f t="shared" si="162"/>
        <v>55</v>
      </c>
      <c r="H728" t="str">
        <f t="shared" si="162"/>
        <v>55</v>
      </c>
      <c r="I728" t="str">
        <f>"15"</f>
        <v>15</v>
      </c>
      <c r="J728" t="str">
        <f>"120.37"</f>
        <v>120.37</v>
      </c>
      <c r="K728" t="s">
        <v>13449</v>
      </c>
      <c r="L728" t="s">
        <v>460</v>
      </c>
      <c r="N728" t="s">
        <v>13450</v>
      </c>
      <c r="O728" t="s">
        <v>461</v>
      </c>
      <c r="T728" t="s">
        <v>373</v>
      </c>
      <c r="U728" t="s">
        <v>373</v>
      </c>
      <c r="W728" t="s">
        <v>13791</v>
      </c>
      <c r="X728" t="s">
        <v>13792</v>
      </c>
      <c r="Y728" t="s">
        <v>13793</v>
      </c>
      <c r="Z728" t="s">
        <v>13794</v>
      </c>
      <c r="AA728" t="s">
        <v>13795</v>
      </c>
      <c r="AB728" t="s">
        <v>13796</v>
      </c>
      <c r="AC728" t="s">
        <v>13797</v>
      </c>
      <c r="AD728" t="s">
        <v>13798</v>
      </c>
      <c r="AE728" t="s">
        <v>13799</v>
      </c>
      <c r="AF728" t="s">
        <v>13800</v>
      </c>
      <c r="AG728" t="s">
        <v>13801</v>
      </c>
      <c r="AH728" t="s">
        <v>13802</v>
      </c>
      <c r="AI728" t="s">
        <v>13803</v>
      </c>
      <c r="BA728" t="str">
        <f>"2799"</f>
        <v>2799</v>
      </c>
      <c r="BB728" t="str">
        <f>"1180"</f>
        <v>1180</v>
      </c>
      <c r="BC728" t="s">
        <v>1149</v>
      </c>
      <c r="BD728" t="str">
        <f t="shared" si="161"/>
        <v>1</v>
      </c>
      <c r="BE728" t="s">
        <v>389</v>
      </c>
      <c r="BF728" t="str">
        <f t="shared" si="163"/>
        <v>61.42</v>
      </c>
      <c r="BG728" t="str">
        <f t="shared" si="163"/>
        <v>61.42</v>
      </c>
      <c r="BH728" t="str">
        <f>"21.65"</f>
        <v>21.65</v>
      </c>
      <c r="BI728" t="str">
        <f>"192.9"</f>
        <v>192.9</v>
      </c>
      <c r="BY728" t="str">
        <f>"47.25"</f>
        <v>47.25</v>
      </c>
      <c r="BZ728" t="str">
        <f>"1.338"</f>
        <v>1.338</v>
      </c>
      <c r="CA728" t="s">
        <v>390</v>
      </c>
      <c r="CR728" t="s">
        <v>400</v>
      </c>
      <c r="CS728">
        <v>0</v>
      </c>
      <c r="CT728" t="s">
        <v>400</v>
      </c>
      <c r="CV728">
        <v>0</v>
      </c>
      <c r="CX728" t="s">
        <v>1241</v>
      </c>
      <c r="CY728" t="s">
        <v>400</v>
      </c>
      <c r="DC728">
        <v>0</v>
      </c>
      <c r="DJ728" t="s">
        <v>1132</v>
      </c>
      <c r="DK728" t="s">
        <v>3965</v>
      </c>
      <c r="DM728" t="s">
        <v>473</v>
      </c>
      <c r="DX728" t="s">
        <v>4018</v>
      </c>
      <c r="EI728" t="s">
        <v>8854</v>
      </c>
      <c r="EJ728" t="s">
        <v>4018</v>
      </c>
      <c r="EK728" t="s">
        <v>8854</v>
      </c>
      <c r="EL728" t="s">
        <v>10118</v>
      </c>
      <c r="EM728" t="s">
        <v>402</v>
      </c>
      <c r="EN728">
        <v>0</v>
      </c>
      <c r="EO728">
        <v>0</v>
      </c>
      <c r="EX728" t="s">
        <v>827</v>
      </c>
    </row>
    <row r="729" spans="1:293" x14ac:dyDescent="0.25">
      <c r="A729" t="s">
        <v>13804</v>
      </c>
      <c r="B729" t="str">
        <f>"801542242732"</f>
        <v>801542242732</v>
      </c>
      <c r="C729" t="s">
        <v>13805</v>
      </c>
      <c r="D729" t="s">
        <v>1224</v>
      </c>
      <c r="E729" t="s">
        <v>1077</v>
      </c>
      <c r="G729" t="str">
        <f t="shared" si="162"/>
        <v>55</v>
      </c>
      <c r="H729" t="str">
        <f t="shared" si="162"/>
        <v>55</v>
      </c>
      <c r="I729" t="str">
        <f>"15"</f>
        <v>15</v>
      </c>
      <c r="J729" t="str">
        <f>"120.37"</f>
        <v>120.37</v>
      </c>
      <c r="K729" t="s">
        <v>3952</v>
      </c>
      <c r="L729" t="s">
        <v>460</v>
      </c>
      <c r="N729" t="s">
        <v>3953</v>
      </c>
      <c r="O729" t="s">
        <v>461</v>
      </c>
      <c r="T729" t="s">
        <v>373</v>
      </c>
      <c r="U729" t="s">
        <v>373</v>
      </c>
      <c r="W729" t="s">
        <v>13806</v>
      </c>
      <c r="X729" t="s">
        <v>13807</v>
      </c>
      <c r="Y729" t="s">
        <v>13808</v>
      </c>
      <c r="Z729" t="s">
        <v>13809</v>
      </c>
      <c r="AA729" t="s">
        <v>13810</v>
      </c>
      <c r="AB729" t="s">
        <v>13811</v>
      </c>
      <c r="AC729" t="s">
        <v>13812</v>
      </c>
      <c r="AD729" t="s">
        <v>13813</v>
      </c>
      <c r="AE729" t="s">
        <v>13814</v>
      </c>
      <c r="AF729" t="s">
        <v>13815</v>
      </c>
      <c r="AG729" t="s">
        <v>13816</v>
      </c>
      <c r="BA729" t="str">
        <f>"2799"</f>
        <v>2799</v>
      </c>
      <c r="BB729" t="str">
        <f>"1180"</f>
        <v>1180</v>
      </c>
      <c r="BC729" t="s">
        <v>1149</v>
      </c>
      <c r="BD729" t="str">
        <f t="shared" si="161"/>
        <v>1</v>
      </c>
      <c r="BE729" t="s">
        <v>389</v>
      </c>
      <c r="BF729" t="str">
        <f t="shared" si="163"/>
        <v>61.42</v>
      </c>
      <c r="BG729" t="str">
        <f t="shared" si="163"/>
        <v>61.42</v>
      </c>
      <c r="BH729" t="str">
        <f>"21.65"</f>
        <v>21.65</v>
      </c>
      <c r="BI729" t="str">
        <f>"192.9"</f>
        <v>192.9</v>
      </c>
      <c r="BY729" t="str">
        <f>"47.25"</f>
        <v>47.25</v>
      </c>
      <c r="BZ729" t="str">
        <f>"1.338"</f>
        <v>1.338</v>
      </c>
      <c r="CA729" t="s">
        <v>495</v>
      </c>
      <c r="CR729" t="s">
        <v>400</v>
      </c>
      <c r="CS729">
        <v>0</v>
      </c>
      <c r="CT729" t="s">
        <v>400</v>
      </c>
      <c r="CV729">
        <v>0</v>
      </c>
      <c r="CX729" t="s">
        <v>1241</v>
      </c>
      <c r="CY729" t="s">
        <v>400</v>
      </c>
      <c r="DC729">
        <v>0</v>
      </c>
      <c r="DJ729" t="s">
        <v>1132</v>
      </c>
      <c r="DK729" t="s">
        <v>3965</v>
      </c>
      <c r="DM729" t="s">
        <v>473</v>
      </c>
      <c r="DX729" t="s">
        <v>4018</v>
      </c>
      <c r="EI729" t="s">
        <v>8854</v>
      </c>
      <c r="EJ729" t="s">
        <v>4018</v>
      </c>
      <c r="EK729" t="s">
        <v>8854</v>
      </c>
      <c r="EL729" t="s">
        <v>10118</v>
      </c>
      <c r="EM729" t="s">
        <v>402</v>
      </c>
      <c r="EN729">
        <v>0</v>
      </c>
      <c r="EO729">
        <v>0</v>
      </c>
      <c r="EX729" t="s">
        <v>827</v>
      </c>
    </row>
    <row r="730" spans="1:293" x14ac:dyDescent="0.25">
      <c r="A730" t="s">
        <v>13817</v>
      </c>
      <c r="B730" t="str">
        <f>"801542429799"</f>
        <v>801542429799</v>
      </c>
      <c r="C730" t="s">
        <v>13818</v>
      </c>
      <c r="D730" t="s">
        <v>1420</v>
      </c>
      <c r="E730" t="s">
        <v>930</v>
      </c>
      <c r="G730" t="str">
        <f>"85.75"</f>
        <v>85.75</v>
      </c>
      <c r="H730" t="str">
        <f>"19.75"</f>
        <v>19.75</v>
      </c>
      <c r="I730" t="str">
        <f>"31"</f>
        <v>31</v>
      </c>
      <c r="J730" t="str">
        <f>"209.44"</f>
        <v>209.44</v>
      </c>
      <c r="K730" t="s">
        <v>10121</v>
      </c>
      <c r="L730" t="s">
        <v>10072</v>
      </c>
      <c r="N730" t="s">
        <v>372</v>
      </c>
      <c r="O730" t="s">
        <v>1463</v>
      </c>
      <c r="T730" t="s">
        <v>373</v>
      </c>
      <c r="U730" t="s">
        <v>373</v>
      </c>
      <c r="V730" t="s">
        <v>13819</v>
      </c>
      <c r="W730" t="s">
        <v>13820</v>
      </c>
      <c r="X730" t="s">
        <v>13821</v>
      </c>
      <c r="Y730" t="s">
        <v>13822</v>
      </c>
      <c r="Z730" t="s">
        <v>13823</v>
      </c>
      <c r="AA730" t="s">
        <v>13824</v>
      </c>
      <c r="AB730" t="s">
        <v>13825</v>
      </c>
      <c r="AC730" t="s">
        <v>13826</v>
      </c>
      <c r="AD730" t="s">
        <v>13827</v>
      </c>
      <c r="AE730" t="s">
        <v>13828</v>
      </c>
      <c r="AF730" t="s">
        <v>13829</v>
      </c>
      <c r="AG730" t="s">
        <v>13830</v>
      </c>
      <c r="AH730" t="s">
        <v>13831</v>
      </c>
      <c r="AI730" t="s">
        <v>13832</v>
      </c>
      <c r="AJ730" t="s">
        <v>13833</v>
      </c>
      <c r="AK730" t="s">
        <v>13834</v>
      </c>
      <c r="AL730" t="s">
        <v>13835</v>
      </c>
      <c r="AM730" t="s">
        <v>13836</v>
      </c>
      <c r="AN730" t="s">
        <v>13837</v>
      </c>
      <c r="AO730" t="s">
        <v>13838</v>
      </c>
      <c r="BA730" t="str">
        <f>"1999"</f>
        <v>1999</v>
      </c>
      <c r="BB730" t="str">
        <f>"840"</f>
        <v>840</v>
      </c>
      <c r="BC730" t="s">
        <v>665</v>
      </c>
      <c r="BD730" t="str">
        <f t="shared" si="161"/>
        <v>1</v>
      </c>
      <c r="BE730" t="s">
        <v>9060</v>
      </c>
      <c r="BF730" t="str">
        <f>"89.57"</f>
        <v>89.57</v>
      </c>
      <c r="BG730" t="str">
        <f>"23.62"</f>
        <v>23.62</v>
      </c>
      <c r="BH730" t="str">
        <f>"36.61"</f>
        <v>36.61</v>
      </c>
      <c r="BI730" t="str">
        <f>"253.53"</f>
        <v>253.53</v>
      </c>
      <c r="BY730" t="str">
        <f>"44.81"</f>
        <v>44.81</v>
      </c>
      <c r="BZ730" t="str">
        <f>"1.269"</f>
        <v>1.269</v>
      </c>
      <c r="CA730" t="s">
        <v>495</v>
      </c>
      <c r="CE730" t="s">
        <v>13839</v>
      </c>
      <c r="CF730" t="s">
        <v>13840</v>
      </c>
      <c r="CG730" t="s">
        <v>13841</v>
      </c>
      <c r="CR730" t="s">
        <v>400</v>
      </c>
      <c r="CS730">
        <v>0</v>
      </c>
      <c r="CT730" t="s">
        <v>400</v>
      </c>
      <c r="CV730">
        <v>0</v>
      </c>
      <c r="CX730" t="s">
        <v>4903</v>
      </c>
      <c r="CY730" t="s">
        <v>954</v>
      </c>
      <c r="DA730">
        <v>18.14</v>
      </c>
      <c r="DB730">
        <v>40</v>
      </c>
      <c r="DC730">
        <v>3</v>
      </c>
      <c r="DK730" t="s">
        <v>13842</v>
      </c>
      <c r="DM730" t="s">
        <v>669</v>
      </c>
      <c r="DX730" t="s">
        <v>13843</v>
      </c>
      <c r="EM730" t="s">
        <v>402</v>
      </c>
      <c r="EN730">
        <v>3</v>
      </c>
      <c r="EZ730" t="s">
        <v>13844</v>
      </c>
      <c r="FA730" t="s">
        <v>4614</v>
      </c>
      <c r="FB730" t="s">
        <v>6227</v>
      </c>
      <c r="FC730" t="s">
        <v>13839</v>
      </c>
      <c r="FD730" t="s">
        <v>4614</v>
      </c>
      <c r="FE730" t="s">
        <v>13841</v>
      </c>
      <c r="FF730">
        <v>0</v>
      </c>
      <c r="FG730" t="s">
        <v>402</v>
      </c>
      <c r="FH730" t="s">
        <v>959</v>
      </c>
      <c r="FI730">
        <v>4</v>
      </c>
      <c r="FJ730" t="s">
        <v>960</v>
      </c>
      <c r="FK730" t="s">
        <v>961</v>
      </c>
      <c r="FL730">
        <v>0</v>
      </c>
      <c r="FM730" t="s">
        <v>402</v>
      </c>
      <c r="FO730" t="s">
        <v>984</v>
      </c>
      <c r="GB730" t="s">
        <v>13839</v>
      </c>
      <c r="GC730" t="s">
        <v>13840</v>
      </c>
      <c r="GD730" t="s">
        <v>9111</v>
      </c>
      <c r="GR730" t="s">
        <v>13839</v>
      </c>
      <c r="GT730" t="s">
        <v>13840</v>
      </c>
      <c r="GV730" t="s">
        <v>9111</v>
      </c>
      <c r="GX730" t="s">
        <v>392</v>
      </c>
      <c r="HE730" t="s">
        <v>13839</v>
      </c>
      <c r="HF730" t="s">
        <v>4614</v>
      </c>
      <c r="HG730" t="s">
        <v>9111</v>
      </c>
      <c r="HI730" t="s">
        <v>402</v>
      </c>
    </row>
    <row r="731" spans="1:293" x14ac:dyDescent="0.25">
      <c r="A731" t="s">
        <v>13845</v>
      </c>
      <c r="B731" t="str">
        <f>"801542222055"</f>
        <v>801542222055</v>
      </c>
      <c r="C731" t="s">
        <v>13846</v>
      </c>
      <c r="D731" t="s">
        <v>835</v>
      </c>
      <c r="E731" t="s">
        <v>930</v>
      </c>
      <c r="G731" t="str">
        <f>"80"</f>
        <v>80</v>
      </c>
      <c r="H731" t="str">
        <f>"18"</f>
        <v>18</v>
      </c>
      <c r="I731" t="str">
        <f>"31.25"</f>
        <v>31.25</v>
      </c>
      <c r="J731" t="str">
        <f>"255.73"</f>
        <v>255.73</v>
      </c>
      <c r="K731" t="s">
        <v>7764</v>
      </c>
      <c r="L731" t="s">
        <v>7763</v>
      </c>
      <c r="N731" t="s">
        <v>372</v>
      </c>
      <c r="O731" t="s">
        <v>6002</v>
      </c>
      <c r="T731" t="s">
        <v>373</v>
      </c>
      <c r="U731" t="s">
        <v>373</v>
      </c>
      <c r="V731" t="s">
        <v>13847</v>
      </c>
      <c r="W731" t="s">
        <v>13848</v>
      </c>
      <c r="X731" t="s">
        <v>13849</v>
      </c>
      <c r="Y731" t="s">
        <v>13850</v>
      </c>
      <c r="Z731" t="s">
        <v>13851</v>
      </c>
      <c r="AA731" t="s">
        <v>13852</v>
      </c>
      <c r="AB731" t="s">
        <v>13853</v>
      </c>
      <c r="AC731" t="s">
        <v>13854</v>
      </c>
      <c r="AD731" t="s">
        <v>13855</v>
      </c>
      <c r="AE731" t="s">
        <v>13856</v>
      </c>
      <c r="AF731" t="s">
        <v>13857</v>
      </c>
      <c r="AG731" t="s">
        <v>13858</v>
      </c>
      <c r="AH731" t="s">
        <v>13859</v>
      </c>
      <c r="AI731" t="s">
        <v>13860</v>
      </c>
      <c r="AJ731" t="s">
        <v>13861</v>
      </c>
      <c r="AK731" t="s">
        <v>13862</v>
      </c>
      <c r="AL731" t="s">
        <v>13863</v>
      </c>
      <c r="AM731" t="s">
        <v>13864</v>
      </c>
      <c r="AN731" t="s">
        <v>13865</v>
      </c>
      <c r="BA731" t="str">
        <f>"3299"</f>
        <v>3299</v>
      </c>
      <c r="BB731" t="str">
        <f>"1390"</f>
        <v>1390</v>
      </c>
      <c r="BC731" t="s">
        <v>388</v>
      </c>
      <c r="BD731" t="str">
        <f t="shared" si="161"/>
        <v>1</v>
      </c>
      <c r="BE731" t="s">
        <v>389</v>
      </c>
      <c r="BF731" t="str">
        <f>"84.65"</f>
        <v>84.65</v>
      </c>
      <c r="BG731" t="str">
        <f>"21.65"</f>
        <v>21.65</v>
      </c>
      <c r="BH731" t="str">
        <f>"36.61"</f>
        <v>36.61</v>
      </c>
      <c r="BI731" t="str">
        <f>"294.31"</f>
        <v>294.31</v>
      </c>
      <c r="BY731" t="str">
        <f>"38.85"</f>
        <v>38.85</v>
      </c>
      <c r="BZ731" t="str">
        <f>"1.1"</f>
        <v>1.1</v>
      </c>
      <c r="CA731" t="s">
        <v>495</v>
      </c>
      <c r="CB731" t="s">
        <v>7531</v>
      </c>
      <c r="CC731" t="s">
        <v>956</v>
      </c>
      <c r="CD731" t="s">
        <v>3024</v>
      </c>
      <c r="CE731" t="s">
        <v>7531</v>
      </c>
      <c r="CF731" t="s">
        <v>2240</v>
      </c>
      <c r="CG731" t="s">
        <v>3024</v>
      </c>
      <c r="CR731" t="s">
        <v>400</v>
      </c>
      <c r="CS731">
        <v>0</v>
      </c>
      <c r="CT731" t="s">
        <v>400</v>
      </c>
      <c r="CV731">
        <v>2</v>
      </c>
      <c r="CW731" t="s">
        <v>402</v>
      </c>
      <c r="CX731" t="s">
        <v>403</v>
      </c>
      <c r="CY731" t="s">
        <v>404</v>
      </c>
      <c r="DA731">
        <v>18.14</v>
      </c>
      <c r="DB731">
        <v>40</v>
      </c>
      <c r="DC731">
        <v>0</v>
      </c>
      <c r="DK731" t="s">
        <v>13866</v>
      </c>
      <c r="DM731" t="s">
        <v>669</v>
      </c>
      <c r="DX731" t="s">
        <v>1290</v>
      </c>
      <c r="EM731" t="s">
        <v>402</v>
      </c>
      <c r="EN731">
        <v>4</v>
      </c>
      <c r="EZ731" t="s">
        <v>12374</v>
      </c>
      <c r="FA731" t="s">
        <v>3518</v>
      </c>
      <c r="FB731" t="s">
        <v>9650</v>
      </c>
      <c r="FF731">
        <v>0</v>
      </c>
      <c r="FG731" t="s">
        <v>402</v>
      </c>
      <c r="FI731">
        <v>2</v>
      </c>
      <c r="FJ731" t="s">
        <v>13867</v>
      </c>
      <c r="FL731">
        <v>0</v>
      </c>
      <c r="FO731" t="s">
        <v>984</v>
      </c>
      <c r="GB731" t="s">
        <v>7531</v>
      </c>
      <c r="GC731" t="s">
        <v>2240</v>
      </c>
      <c r="GD731" t="s">
        <v>3024</v>
      </c>
      <c r="GR731" t="s">
        <v>7531</v>
      </c>
      <c r="GS731" t="s">
        <v>7531</v>
      </c>
      <c r="GT731" t="s">
        <v>2240</v>
      </c>
      <c r="GU731" t="s">
        <v>2240</v>
      </c>
      <c r="GV731" t="s">
        <v>3024</v>
      </c>
      <c r="GW731" t="s">
        <v>3024</v>
      </c>
      <c r="KG731" t="s">
        <v>1312</v>
      </c>
    </row>
    <row r="732" spans="1:293" x14ac:dyDescent="0.25">
      <c r="A732" t="s">
        <v>13868</v>
      </c>
      <c r="B732" t="str">
        <f>"801542125035"</f>
        <v>801542125035</v>
      </c>
      <c r="C732" t="s">
        <v>13869</v>
      </c>
      <c r="D732" t="s">
        <v>769</v>
      </c>
      <c r="E732" t="s">
        <v>515</v>
      </c>
      <c r="F732" t="s">
        <v>516</v>
      </c>
      <c r="G732" t="str">
        <f>"30"</f>
        <v>30</v>
      </c>
      <c r="H732" t="str">
        <f>"57.75"</f>
        <v>57.75</v>
      </c>
      <c r="I732" t="str">
        <f>"32"</f>
        <v>32</v>
      </c>
      <c r="J732" t="str">
        <f>"65.25"</f>
        <v>65.25</v>
      </c>
      <c r="K732" t="s">
        <v>2310</v>
      </c>
      <c r="L732" t="s">
        <v>4748</v>
      </c>
      <c r="N732" t="s">
        <v>416</v>
      </c>
      <c r="O732" t="s">
        <v>519</v>
      </c>
      <c r="T732" t="s">
        <v>373</v>
      </c>
      <c r="U732" t="s">
        <v>373</v>
      </c>
      <c r="V732" t="s">
        <v>8552</v>
      </c>
      <c r="W732" t="s">
        <v>13870</v>
      </c>
      <c r="X732" t="s">
        <v>13871</v>
      </c>
      <c r="Y732" t="s">
        <v>13872</v>
      </c>
      <c r="Z732" t="s">
        <v>13873</v>
      </c>
      <c r="AA732" t="s">
        <v>13874</v>
      </c>
      <c r="AB732" t="s">
        <v>13875</v>
      </c>
      <c r="AC732" t="s">
        <v>2319</v>
      </c>
      <c r="AD732" t="s">
        <v>13876</v>
      </c>
      <c r="AE732" t="s">
        <v>13877</v>
      </c>
      <c r="BA732" t="str">
        <f>"2599"</f>
        <v>2599</v>
      </c>
      <c r="BB732" t="str">
        <f>"1095"</f>
        <v>1095</v>
      </c>
      <c r="BC732" t="s">
        <v>388</v>
      </c>
      <c r="BD732" t="str">
        <f>"2"</f>
        <v>2</v>
      </c>
      <c r="BE732" t="s">
        <v>8548</v>
      </c>
      <c r="BF732" t="str">
        <f>"33.07"</f>
        <v>33.07</v>
      </c>
      <c r="BG732" t="str">
        <f>"38.58"</f>
        <v>38.58</v>
      </c>
      <c r="BH732" t="str">
        <f>"32.28"</f>
        <v>32.28</v>
      </c>
      <c r="BI732" t="str">
        <f>"61.73"</f>
        <v>61.73</v>
      </c>
      <c r="BJ732" t="s">
        <v>389</v>
      </c>
      <c r="BK732" t="str">
        <f>"31.5"</f>
        <v>31.5</v>
      </c>
      <c r="BL732" t="str">
        <f>"27.95"</f>
        <v>27.95</v>
      </c>
      <c r="BM732" t="str">
        <f>"14.96"</f>
        <v>14.96</v>
      </c>
      <c r="BN732" t="str">
        <f>"34.17"</f>
        <v>34.17</v>
      </c>
      <c r="BY732" t="str">
        <f>"28.25"</f>
        <v>28.25</v>
      </c>
      <c r="BZ732" t="str">
        <f>"0.8"</f>
        <v>0.8</v>
      </c>
      <c r="CA732" t="s">
        <v>390</v>
      </c>
      <c r="CP732" t="s">
        <v>437</v>
      </c>
      <c r="CQ732" t="s">
        <v>438</v>
      </c>
      <c r="CY732" t="s">
        <v>400</v>
      </c>
      <c r="DD732">
        <v>0</v>
      </c>
      <c r="DF732" t="s">
        <v>2640</v>
      </c>
      <c r="DG732" t="s">
        <v>2380</v>
      </c>
      <c r="DI732">
        <v>1</v>
      </c>
      <c r="DK732" t="s">
        <v>8549</v>
      </c>
      <c r="DM732" t="s">
        <v>538</v>
      </c>
      <c r="ED732" t="s">
        <v>2640</v>
      </c>
      <c r="EE732" t="s">
        <v>2380</v>
      </c>
      <c r="EG732" t="s">
        <v>2361</v>
      </c>
      <c r="ET732" t="s">
        <v>549</v>
      </c>
    </row>
    <row r="733" spans="1:293" x14ac:dyDescent="0.25">
      <c r="A733" t="s">
        <v>13878</v>
      </c>
      <c r="B733" t="str">
        <f>"801542125028"</f>
        <v>801542125028</v>
      </c>
      <c r="C733" t="s">
        <v>13879</v>
      </c>
      <c r="D733" t="s">
        <v>769</v>
      </c>
      <c r="E733" t="s">
        <v>515</v>
      </c>
      <c r="F733" t="s">
        <v>516</v>
      </c>
      <c r="G733" t="str">
        <f>"30"</f>
        <v>30</v>
      </c>
      <c r="H733" t="str">
        <f>"57.75"</f>
        <v>57.75</v>
      </c>
      <c r="I733" t="str">
        <f>"32"</f>
        <v>32</v>
      </c>
      <c r="J733" t="str">
        <f>"65.25"</f>
        <v>65.25</v>
      </c>
      <c r="K733" t="s">
        <v>1576</v>
      </c>
      <c r="L733" t="s">
        <v>4748</v>
      </c>
      <c r="N733" t="s">
        <v>416</v>
      </c>
      <c r="O733" t="s">
        <v>519</v>
      </c>
      <c r="T733" t="s">
        <v>373</v>
      </c>
      <c r="U733" t="s">
        <v>373</v>
      </c>
      <c r="V733" t="s">
        <v>8535</v>
      </c>
      <c r="W733" t="s">
        <v>13880</v>
      </c>
      <c r="X733" t="s">
        <v>13881</v>
      </c>
      <c r="Y733" t="s">
        <v>13882</v>
      </c>
      <c r="Z733" t="s">
        <v>13883</v>
      </c>
      <c r="AA733" t="s">
        <v>13884</v>
      </c>
      <c r="AB733" t="s">
        <v>13885</v>
      </c>
      <c r="AC733" t="s">
        <v>13886</v>
      </c>
      <c r="AD733" t="s">
        <v>13887</v>
      </c>
      <c r="BA733" t="str">
        <f>"2599"</f>
        <v>2599</v>
      </c>
      <c r="BB733" t="str">
        <f>"1095"</f>
        <v>1095</v>
      </c>
      <c r="BC733" t="s">
        <v>388</v>
      </c>
      <c r="BD733" t="str">
        <f>"2"</f>
        <v>2</v>
      </c>
      <c r="BE733" t="s">
        <v>8548</v>
      </c>
      <c r="BF733" t="str">
        <f>"33.07"</f>
        <v>33.07</v>
      </c>
      <c r="BG733" t="str">
        <f>"38.58"</f>
        <v>38.58</v>
      </c>
      <c r="BH733" t="str">
        <f>"32.28"</f>
        <v>32.28</v>
      </c>
      <c r="BI733" t="str">
        <f>"61.73"</f>
        <v>61.73</v>
      </c>
      <c r="BJ733" t="s">
        <v>389</v>
      </c>
      <c r="BK733" t="str">
        <f>"31.5"</f>
        <v>31.5</v>
      </c>
      <c r="BL733" t="str">
        <f>"27.95"</f>
        <v>27.95</v>
      </c>
      <c r="BM733" t="str">
        <f>"14.96"</f>
        <v>14.96</v>
      </c>
      <c r="BN733" t="str">
        <f>"34.17"</f>
        <v>34.17</v>
      </c>
      <c r="BY733" t="str">
        <f>"28.25"</f>
        <v>28.25</v>
      </c>
      <c r="BZ733" t="str">
        <f>"0.8"</f>
        <v>0.8</v>
      </c>
      <c r="CA733" t="s">
        <v>495</v>
      </c>
      <c r="CP733" t="s">
        <v>437</v>
      </c>
      <c r="CQ733" t="s">
        <v>438</v>
      </c>
      <c r="CY733" t="s">
        <v>400</v>
      </c>
      <c r="DD733">
        <v>0</v>
      </c>
      <c r="DF733" t="s">
        <v>2640</v>
      </c>
      <c r="DG733" t="s">
        <v>2380</v>
      </c>
      <c r="DI733">
        <v>1</v>
      </c>
      <c r="DK733" t="s">
        <v>8549</v>
      </c>
      <c r="DM733" t="s">
        <v>538</v>
      </c>
      <c r="ED733" t="s">
        <v>2640</v>
      </c>
      <c r="EE733" t="s">
        <v>2380</v>
      </c>
      <c r="EG733" t="s">
        <v>2361</v>
      </c>
      <c r="ET733" t="s">
        <v>549</v>
      </c>
    </row>
    <row r="734" spans="1:293" x14ac:dyDescent="0.25">
      <c r="A734" t="s">
        <v>13888</v>
      </c>
      <c r="B734" t="str">
        <f>"801542994402"</f>
        <v>801542994402</v>
      </c>
      <c r="C734" t="s">
        <v>13889</v>
      </c>
      <c r="D734" t="s">
        <v>769</v>
      </c>
      <c r="E734" t="s">
        <v>515</v>
      </c>
      <c r="F734" t="s">
        <v>516</v>
      </c>
      <c r="G734" t="str">
        <f>"30"</f>
        <v>30</v>
      </c>
      <c r="H734" t="str">
        <f>"57.75"</f>
        <v>57.75</v>
      </c>
      <c r="I734" t="str">
        <f>"32"</f>
        <v>32</v>
      </c>
      <c r="J734" t="str">
        <f>"65.25"</f>
        <v>65.25</v>
      </c>
      <c r="K734" t="s">
        <v>584</v>
      </c>
      <c r="L734" t="s">
        <v>4748</v>
      </c>
      <c r="N734" t="s">
        <v>416</v>
      </c>
      <c r="O734" t="s">
        <v>519</v>
      </c>
      <c r="T734" t="s">
        <v>373</v>
      </c>
      <c r="U734" t="s">
        <v>373</v>
      </c>
      <c r="V734" t="s">
        <v>13890</v>
      </c>
      <c r="W734" t="s">
        <v>13891</v>
      </c>
      <c r="X734" t="s">
        <v>13892</v>
      </c>
      <c r="Y734" t="s">
        <v>13893</v>
      </c>
      <c r="Z734" t="s">
        <v>13894</v>
      </c>
      <c r="AA734" t="s">
        <v>13895</v>
      </c>
      <c r="AB734" t="s">
        <v>13896</v>
      </c>
      <c r="AC734" t="s">
        <v>13897</v>
      </c>
      <c r="AD734" t="s">
        <v>13898</v>
      </c>
      <c r="BA734" t="str">
        <f>"2699"</f>
        <v>2699</v>
      </c>
      <c r="BB734" t="str">
        <f>"1135"</f>
        <v>1135</v>
      </c>
      <c r="BC734" t="s">
        <v>388</v>
      </c>
      <c r="BD734" t="str">
        <f>"2"</f>
        <v>2</v>
      </c>
      <c r="BE734" t="s">
        <v>8548</v>
      </c>
      <c r="BF734" t="str">
        <f>"33.07"</f>
        <v>33.07</v>
      </c>
      <c r="BG734" t="str">
        <f>"38.58"</f>
        <v>38.58</v>
      </c>
      <c r="BH734" t="str">
        <f>"33.46"</f>
        <v>33.46</v>
      </c>
      <c r="BI734" t="str">
        <f>"61.73"</f>
        <v>61.73</v>
      </c>
      <c r="BJ734" t="s">
        <v>389</v>
      </c>
      <c r="BK734" t="str">
        <f>"31.5"</f>
        <v>31.5</v>
      </c>
      <c r="BL734" t="str">
        <f>"27.95"</f>
        <v>27.95</v>
      </c>
      <c r="BM734" t="str">
        <f>"14.96"</f>
        <v>14.96</v>
      </c>
      <c r="BN734" t="str">
        <f>"34.17"</f>
        <v>34.17</v>
      </c>
      <c r="BY734" t="str">
        <f>"28.25"</f>
        <v>28.25</v>
      </c>
      <c r="BZ734" t="str">
        <f>"0.8"</f>
        <v>0.8</v>
      </c>
      <c r="CA734" t="s">
        <v>390</v>
      </c>
      <c r="CP734" t="s">
        <v>437</v>
      </c>
      <c r="CQ734" t="s">
        <v>438</v>
      </c>
      <c r="CY734" t="s">
        <v>400</v>
      </c>
      <c r="DD734">
        <v>0</v>
      </c>
      <c r="DF734" t="s">
        <v>2640</v>
      </c>
      <c r="DG734" t="s">
        <v>2380</v>
      </c>
      <c r="DI734">
        <v>1</v>
      </c>
      <c r="DK734" t="s">
        <v>8549</v>
      </c>
      <c r="DM734" t="s">
        <v>538</v>
      </c>
      <c r="ED734" t="s">
        <v>2640</v>
      </c>
      <c r="EE734" t="s">
        <v>2380</v>
      </c>
      <c r="EG734" t="s">
        <v>2361</v>
      </c>
      <c r="ET734" t="s">
        <v>549</v>
      </c>
    </row>
    <row r="735" spans="1:293" x14ac:dyDescent="0.25">
      <c r="A735" t="s">
        <v>13899</v>
      </c>
      <c r="B735" t="str">
        <f>"801542978914"</f>
        <v>801542978914</v>
      </c>
      <c r="C735" t="s">
        <v>13900</v>
      </c>
      <c r="D735" t="s">
        <v>1224</v>
      </c>
      <c r="E735" t="s">
        <v>930</v>
      </c>
      <c r="G735" t="str">
        <f>"98"</f>
        <v>98</v>
      </c>
      <c r="H735" t="str">
        <f>"17.75"</f>
        <v>17.75</v>
      </c>
      <c r="I735" t="str">
        <f>"32"</f>
        <v>32</v>
      </c>
      <c r="J735" t="str">
        <f>"247.91"</f>
        <v>247.91</v>
      </c>
      <c r="K735" t="s">
        <v>13901</v>
      </c>
      <c r="N735" t="s">
        <v>13902</v>
      </c>
      <c r="T735" t="s">
        <v>373</v>
      </c>
      <c r="U735" t="s">
        <v>373</v>
      </c>
      <c r="V735" t="s">
        <v>13903</v>
      </c>
      <c r="W735" t="s">
        <v>13904</v>
      </c>
      <c r="X735" t="s">
        <v>13905</v>
      </c>
      <c r="Y735" t="s">
        <v>13906</v>
      </c>
      <c r="Z735" t="s">
        <v>13907</v>
      </c>
      <c r="AA735" t="s">
        <v>13908</v>
      </c>
      <c r="AB735" t="s">
        <v>13909</v>
      </c>
      <c r="AC735" t="s">
        <v>13910</v>
      </c>
      <c r="AD735" t="s">
        <v>13911</v>
      </c>
      <c r="AE735" t="s">
        <v>13912</v>
      </c>
      <c r="AF735" t="s">
        <v>13913</v>
      </c>
      <c r="AG735" t="s">
        <v>13914</v>
      </c>
      <c r="AH735" t="s">
        <v>13915</v>
      </c>
      <c r="AI735" t="s">
        <v>13916</v>
      </c>
      <c r="AJ735" t="s">
        <v>13917</v>
      </c>
      <c r="AK735" t="s">
        <v>13918</v>
      </c>
      <c r="BA735" t="str">
        <f>"4699"</f>
        <v>4699</v>
      </c>
      <c r="BB735" t="str">
        <f>"1975"</f>
        <v>1975</v>
      </c>
      <c r="BC735" t="s">
        <v>1149</v>
      </c>
      <c r="BD735" t="str">
        <f t="shared" ref="BD735:BD748" si="164">"1"</f>
        <v>1</v>
      </c>
      <c r="BE735" t="s">
        <v>389</v>
      </c>
      <c r="BF735" t="str">
        <f>"102.76"</f>
        <v>102.76</v>
      </c>
      <c r="BG735" t="str">
        <f>"23.62"</f>
        <v>23.62</v>
      </c>
      <c r="BH735" t="str">
        <f>"38.58"</f>
        <v>38.58</v>
      </c>
      <c r="BI735" t="str">
        <f>"346.12"</f>
        <v>346.12</v>
      </c>
      <c r="BY735" t="str">
        <f>"54.21"</f>
        <v>54.21</v>
      </c>
      <c r="BZ735" t="str">
        <f>"1.535"</f>
        <v>1.535</v>
      </c>
      <c r="CA735" t="s">
        <v>390</v>
      </c>
      <c r="CE735" t="s">
        <v>11600</v>
      </c>
      <c r="CF735" t="s">
        <v>2083</v>
      </c>
      <c r="CG735" t="s">
        <v>13919</v>
      </c>
      <c r="CR735" t="s">
        <v>400</v>
      </c>
      <c r="CS735">
        <v>0</v>
      </c>
      <c r="CT735" t="s">
        <v>400</v>
      </c>
      <c r="CV735">
        <v>0</v>
      </c>
      <c r="CX735" t="s">
        <v>953</v>
      </c>
      <c r="CY735" t="s">
        <v>954</v>
      </c>
      <c r="DA735">
        <v>18.14</v>
      </c>
      <c r="DB735">
        <v>40</v>
      </c>
      <c r="DC735">
        <v>3</v>
      </c>
      <c r="DK735" t="s">
        <v>13920</v>
      </c>
      <c r="DM735" t="s">
        <v>669</v>
      </c>
      <c r="DX735" t="s">
        <v>1852</v>
      </c>
      <c r="EM735" t="s">
        <v>402</v>
      </c>
      <c r="EN735">
        <v>3</v>
      </c>
      <c r="EZ735" t="s">
        <v>1488</v>
      </c>
      <c r="FA735" t="s">
        <v>1040</v>
      </c>
      <c r="FB735" t="s">
        <v>979</v>
      </c>
      <c r="FC735" t="s">
        <v>979</v>
      </c>
      <c r="FD735" t="s">
        <v>956</v>
      </c>
      <c r="FE735" t="s">
        <v>13919</v>
      </c>
      <c r="FF735">
        <v>0</v>
      </c>
      <c r="FG735" t="s">
        <v>402</v>
      </c>
      <c r="FH735" t="s">
        <v>1245</v>
      </c>
      <c r="FI735">
        <v>6</v>
      </c>
      <c r="FJ735" t="s">
        <v>960</v>
      </c>
      <c r="FK735" t="s">
        <v>1246</v>
      </c>
      <c r="FL735">
        <v>0</v>
      </c>
      <c r="FM735" t="s">
        <v>402</v>
      </c>
      <c r="FO735" t="s">
        <v>984</v>
      </c>
      <c r="GB735" t="s">
        <v>11600</v>
      </c>
      <c r="GC735" t="s">
        <v>2083</v>
      </c>
      <c r="GD735" t="s">
        <v>13919</v>
      </c>
      <c r="GR735" t="s">
        <v>11600</v>
      </c>
      <c r="GT735" t="s">
        <v>2083</v>
      </c>
      <c r="GV735" t="s">
        <v>13919</v>
      </c>
      <c r="GX735" t="s">
        <v>475</v>
      </c>
      <c r="HI735" t="s">
        <v>402</v>
      </c>
    </row>
    <row r="736" spans="1:293" x14ac:dyDescent="0.25">
      <c r="A736" t="s">
        <v>13921</v>
      </c>
      <c r="B736" t="str">
        <f>"801542232832"</f>
        <v>801542232832</v>
      </c>
      <c r="C736" t="s">
        <v>13922</v>
      </c>
      <c r="D736" t="s">
        <v>987</v>
      </c>
      <c r="E736" t="s">
        <v>647</v>
      </c>
      <c r="F736" t="s">
        <v>648</v>
      </c>
      <c r="G736" t="str">
        <f>"98"</f>
        <v>98</v>
      </c>
      <c r="H736" t="str">
        <f>"46.25"</f>
        <v>46.25</v>
      </c>
      <c r="I736" t="str">
        <f>"30"</f>
        <v>30</v>
      </c>
      <c r="J736" t="str">
        <f>"189.82"</f>
        <v>189.82</v>
      </c>
      <c r="K736" t="s">
        <v>11031</v>
      </c>
      <c r="N736" t="s">
        <v>1970</v>
      </c>
      <c r="O736" t="s">
        <v>372</v>
      </c>
      <c r="T736" t="s">
        <v>373</v>
      </c>
      <c r="U736" t="s">
        <v>373</v>
      </c>
      <c r="V736" t="s">
        <v>13923</v>
      </c>
      <c r="W736" t="s">
        <v>13924</v>
      </c>
      <c r="X736" t="s">
        <v>13925</v>
      </c>
      <c r="Y736" t="s">
        <v>13926</v>
      </c>
      <c r="Z736" t="s">
        <v>13927</v>
      </c>
      <c r="AA736" t="s">
        <v>13928</v>
      </c>
      <c r="AB736" t="s">
        <v>13929</v>
      </c>
      <c r="AC736" t="s">
        <v>13930</v>
      </c>
      <c r="AD736" t="s">
        <v>13931</v>
      </c>
      <c r="AE736" t="s">
        <v>13932</v>
      </c>
      <c r="AF736" t="s">
        <v>13933</v>
      </c>
      <c r="AG736" t="s">
        <v>13934</v>
      </c>
      <c r="BA736" t="str">
        <f>"2799"</f>
        <v>2799</v>
      </c>
      <c r="BB736" t="str">
        <f>"1180"</f>
        <v>1180</v>
      </c>
      <c r="BC736" t="s">
        <v>949</v>
      </c>
      <c r="BD736" t="str">
        <f t="shared" si="164"/>
        <v>1</v>
      </c>
      <c r="BE736" t="s">
        <v>389</v>
      </c>
      <c r="BF736" t="str">
        <f>"99"</f>
        <v>99</v>
      </c>
      <c r="BG736" t="str">
        <f>"11.5"</f>
        <v>11.5</v>
      </c>
      <c r="BH736" t="str">
        <f>"46"</f>
        <v>46</v>
      </c>
      <c r="BI736" t="str">
        <f>"234.13"</f>
        <v>234.13</v>
      </c>
      <c r="BY736" t="str">
        <f>"30.3"</f>
        <v>30.3</v>
      </c>
      <c r="BZ736" t="str">
        <f>"0.858"</f>
        <v>0.858</v>
      </c>
      <c r="CA736" t="s">
        <v>390</v>
      </c>
      <c r="CR736" t="s">
        <v>400</v>
      </c>
      <c r="CS736">
        <v>0</v>
      </c>
      <c r="CT736" t="s">
        <v>400</v>
      </c>
      <c r="CV736">
        <v>0</v>
      </c>
      <c r="CY736" t="s">
        <v>400</v>
      </c>
      <c r="DA736">
        <v>0</v>
      </c>
      <c r="DB736">
        <v>0</v>
      </c>
      <c r="DC736">
        <v>0</v>
      </c>
      <c r="DI736">
        <v>6</v>
      </c>
      <c r="DJ736" t="s">
        <v>408</v>
      </c>
      <c r="DK736" t="s">
        <v>13935</v>
      </c>
      <c r="DM736" t="s">
        <v>669</v>
      </c>
      <c r="DX736" t="s">
        <v>796</v>
      </c>
      <c r="DY736" t="s">
        <v>578</v>
      </c>
      <c r="DZ736" t="s">
        <v>5384</v>
      </c>
      <c r="EI736" t="s">
        <v>446</v>
      </c>
      <c r="EJ736" t="s">
        <v>1853</v>
      </c>
      <c r="EK736" t="s">
        <v>445</v>
      </c>
      <c r="EL736" t="s">
        <v>1040</v>
      </c>
      <c r="EM736" t="s">
        <v>402</v>
      </c>
      <c r="EN736">
        <v>0</v>
      </c>
      <c r="EO736">
        <v>0</v>
      </c>
      <c r="EV736" t="s">
        <v>13936</v>
      </c>
      <c r="EW736" t="s">
        <v>796</v>
      </c>
      <c r="EY736" t="s">
        <v>5485</v>
      </c>
      <c r="FP736" t="s">
        <v>402</v>
      </c>
    </row>
    <row r="737" spans="1:221" x14ac:dyDescent="0.25">
      <c r="A737" t="s">
        <v>13937</v>
      </c>
      <c r="B737" t="str">
        <f>"801542162665"</f>
        <v>801542162665</v>
      </c>
      <c r="C737" t="s">
        <v>13938</v>
      </c>
      <c r="D737" t="s">
        <v>13939</v>
      </c>
      <c r="E737" t="s">
        <v>413</v>
      </c>
      <c r="G737" t="str">
        <f>"97"</f>
        <v>97</v>
      </c>
      <c r="H737" t="str">
        <f>"44"</f>
        <v>44</v>
      </c>
      <c r="I737" t="str">
        <f>"35"</f>
        <v>35</v>
      </c>
      <c r="J737" t="str">
        <f>"160"</f>
        <v>160</v>
      </c>
      <c r="K737" t="s">
        <v>13940</v>
      </c>
      <c r="L737" t="s">
        <v>13941</v>
      </c>
      <c r="N737" t="s">
        <v>13942</v>
      </c>
      <c r="O737" t="s">
        <v>13943</v>
      </c>
      <c r="P737" t="s">
        <v>13944</v>
      </c>
      <c r="Q737" t="s">
        <v>5372</v>
      </c>
      <c r="R737" t="s">
        <v>775</v>
      </c>
      <c r="T737" t="s">
        <v>373</v>
      </c>
      <c r="U737" t="s">
        <v>402</v>
      </c>
      <c r="V737" t="s">
        <v>13945</v>
      </c>
      <c r="W737" t="s">
        <v>13946</v>
      </c>
      <c r="X737" t="s">
        <v>13947</v>
      </c>
      <c r="Y737" t="s">
        <v>13948</v>
      </c>
      <c r="Z737" t="s">
        <v>13949</v>
      </c>
      <c r="AA737" t="s">
        <v>13950</v>
      </c>
      <c r="AB737" t="s">
        <v>13951</v>
      </c>
      <c r="AC737" t="s">
        <v>13952</v>
      </c>
      <c r="AD737" t="s">
        <v>13953</v>
      </c>
      <c r="AE737" t="s">
        <v>13954</v>
      </c>
      <c r="AF737" t="s">
        <v>13955</v>
      </c>
      <c r="AG737" t="s">
        <v>13956</v>
      </c>
      <c r="AH737" t="s">
        <v>13957</v>
      </c>
      <c r="AI737" t="s">
        <v>13958</v>
      </c>
      <c r="BA737" t="str">
        <f>"3799"</f>
        <v>3799</v>
      </c>
      <c r="BB737" t="str">
        <f>"1600"</f>
        <v>1600</v>
      </c>
      <c r="BC737" t="s">
        <v>3670</v>
      </c>
      <c r="BD737" t="str">
        <f t="shared" si="164"/>
        <v>1</v>
      </c>
      <c r="BE737" t="s">
        <v>13959</v>
      </c>
      <c r="BF737" t="str">
        <f>"98.5"</f>
        <v>98.5</v>
      </c>
      <c r="BG737" t="str">
        <f>"45.5"</f>
        <v>45.5</v>
      </c>
      <c r="BH737" t="str">
        <f>"34.5"</f>
        <v>34.5</v>
      </c>
      <c r="BI737" t="str">
        <f>"188.93"</f>
        <v>188.93</v>
      </c>
      <c r="BY737" t="str">
        <f>"89.49"</f>
        <v>89.49</v>
      </c>
      <c r="BZ737" t="str">
        <f>"2.534"</f>
        <v>2.534</v>
      </c>
      <c r="CA737" t="s">
        <v>495</v>
      </c>
      <c r="CH737" t="s">
        <v>3482</v>
      </c>
      <c r="CI737" t="s">
        <v>797</v>
      </c>
      <c r="CJ737" t="s">
        <v>1150</v>
      </c>
      <c r="CK737" t="s">
        <v>451</v>
      </c>
      <c r="CL737" t="s">
        <v>449</v>
      </c>
      <c r="CM737" t="s">
        <v>13960</v>
      </c>
      <c r="CN737">
        <v>2</v>
      </c>
      <c r="CO737">
        <v>2</v>
      </c>
      <c r="CP737" t="s">
        <v>437</v>
      </c>
      <c r="CQ737" t="s">
        <v>631</v>
      </c>
      <c r="CU737" t="s">
        <v>793</v>
      </c>
      <c r="CX737" t="s">
        <v>953</v>
      </c>
      <c r="CY737" t="s">
        <v>11304</v>
      </c>
      <c r="CZ737">
        <v>0</v>
      </c>
      <c r="DD737">
        <v>18000</v>
      </c>
      <c r="DE737" t="s">
        <v>405</v>
      </c>
      <c r="DF737" t="s">
        <v>406</v>
      </c>
      <c r="DG737" t="s">
        <v>407</v>
      </c>
      <c r="DH737">
        <v>2</v>
      </c>
      <c r="DI737">
        <v>4</v>
      </c>
      <c r="DK737" t="s">
        <v>13961</v>
      </c>
      <c r="DL737">
        <v>0</v>
      </c>
      <c r="DM737" t="s">
        <v>795</v>
      </c>
      <c r="DN737" t="s">
        <v>600</v>
      </c>
      <c r="DO737" t="s">
        <v>450</v>
      </c>
      <c r="DP737" t="s">
        <v>6873</v>
      </c>
      <c r="DQ737" t="s">
        <v>446</v>
      </c>
      <c r="DR737" t="s">
        <v>640</v>
      </c>
      <c r="DS737" t="s">
        <v>638</v>
      </c>
      <c r="DT737" t="s">
        <v>446</v>
      </c>
      <c r="DU737" t="s">
        <v>448</v>
      </c>
      <c r="DV737" t="s">
        <v>435</v>
      </c>
      <c r="DW737" t="s">
        <v>1150</v>
      </c>
      <c r="DX737" t="s">
        <v>1852</v>
      </c>
      <c r="DY737" t="s">
        <v>1157</v>
      </c>
      <c r="DZ737" t="s">
        <v>3336</v>
      </c>
      <c r="EA737" t="s">
        <v>613</v>
      </c>
      <c r="EB737" t="s">
        <v>407</v>
      </c>
      <c r="EC737" t="s">
        <v>402</v>
      </c>
      <c r="ED737" t="s">
        <v>406</v>
      </c>
      <c r="EE737" t="s">
        <v>407</v>
      </c>
      <c r="EF737" t="s">
        <v>2596</v>
      </c>
      <c r="EG737" t="s">
        <v>13962</v>
      </c>
      <c r="EM737" t="s">
        <v>402</v>
      </c>
      <c r="ET737" t="s">
        <v>832</v>
      </c>
      <c r="GL737" t="s">
        <v>448</v>
      </c>
      <c r="GM737" t="s">
        <v>435</v>
      </c>
      <c r="GN737" t="s">
        <v>1150</v>
      </c>
    </row>
    <row r="738" spans="1:221" x14ac:dyDescent="0.25">
      <c r="A738" t="s">
        <v>13963</v>
      </c>
      <c r="B738" t="str">
        <f>"801542162993"</f>
        <v>801542162993</v>
      </c>
      <c r="C738" t="s">
        <v>13964</v>
      </c>
      <c r="D738" t="s">
        <v>13939</v>
      </c>
      <c r="E738" t="s">
        <v>515</v>
      </c>
      <c r="F738" t="s">
        <v>516</v>
      </c>
      <c r="G738" t="str">
        <f>"39"</f>
        <v>39</v>
      </c>
      <c r="H738" t="str">
        <f>"40"</f>
        <v>40</v>
      </c>
      <c r="I738" t="str">
        <f>"33"</f>
        <v>33</v>
      </c>
      <c r="J738" t="str">
        <f>"65"</f>
        <v>65</v>
      </c>
      <c r="K738" t="s">
        <v>13965</v>
      </c>
      <c r="N738" t="s">
        <v>13966</v>
      </c>
      <c r="T738" t="s">
        <v>373</v>
      </c>
      <c r="U738" t="s">
        <v>402</v>
      </c>
      <c r="V738" t="s">
        <v>13967</v>
      </c>
      <c r="W738" t="s">
        <v>13968</v>
      </c>
      <c r="X738" t="s">
        <v>13969</v>
      </c>
      <c r="Y738" t="s">
        <v>13970</v>
      </c>
      <c r="Z738" t="s">
        <v>13971</v>
      </c>
      <c r="AA738" t="s">
        <v>13972</v>
      </c>
      <c r="AB738" t="s">
        <v>13973</v>
      </c>
      <c r="AC738" t="s">
        <v>13974</v>
      </c>
      <c r="AD738" t="s">
        <v>13975</v>
      </c>
      <c r="AE738" t="s">
        <v>13976</v>
      </c>
      <c r="AF738" t="s">
        <v>13977</v>
      </c>
      <c r="AG738" t="s">
        <v>13978</v>
      </c>
      <c r="AH738" t="s">
        <v>13979</v>
      </c>
      <c r="AI738" t="s">
        <v>13980</v>
      </c>
      <c r="AJ738" t="s">
        <v>13981</v>
      </c>
      <c r="AK738" t="s">
        <v>13982</v>
      </c>
      <c r="BA738" t="str">
        <f>"1899"</f>
        <v>1899</v>
      </c>
      <c r="BB738" t="str">
        <f>"800"</f>
        <v>800</v>
      </c>
      <c r="BC738" t="s">
        <v>3670</v>
      </c>
      <c r="BD738" t="str">
        <f t="shared" si="164"/>
        <v>1</v>
      </c>
      <c r="BE738" t="s">
        <v>13983</v>
      </c>
      <c r="BF738" t="str">
        <f>"40.5"</f>
        <v>40.5</v>
      </c>
      <c r="BG738" t="str">
        <f>"45"</f>
        <v>45</v>
      </c>
      <c r="BH738" t="str">
        <f>"32.5"</f>
        <v>32.5</v>
      </c>
      <c r="BI738" t="str">
        <f>"113.32"</f>
        <v>113.32</v>
      </c>
      <c r="BY738" t="str">
        <f>"34.29"</f>
        <v>34.29</v>
      </c>
      <c r="BZ738" t="str">
        <f>"0.971"</f>
        <v>0.971</v>
      </c>
      <c r="CA738" t="s">
        <v>390</v>
      </c>
      <c r="CH738" t="s">
        <v>432</v>
      </c>
      <c r="CI738" t="s">
        <v>640</v>
      </c>
      <c r="CJ738" t="s">
        <v>2792</v>
      </c>
      <c r="CK738" t="s">
        <v>828</v>
      </c>
      <c r="CL738" t="s">
        <v>449</v>
      </c>
      <c r="CM738" t="s">
        <v>2792</v>
      </c>
      <c r="CN738">
        <v>0</v>
      </c>
      <c r="CO738">
        <v>1</v>
      </c>
      <c r="CP738" t="s">
        <v>437</v>
      </c>
      <c r="CQ738" t="s">
        <v>1152</v>
      </c>
      <c r="CU738" t="s">
        <v>793</v>
      </c>
      <c r="CX738" t="s">
        <v>953</v>
      </c>
      <c r="CY738" t="s">
        <v>1753</v>
      </c>
      <c r="CZ738">
        <v>0</v>
      </c>
      <c r="DD738">
        <v>51000</v>
      </c>
      <c r="DE738" t="s">
        <v>405</v>
      </c>
      <c r="DF738" t="s">
        <v>406</v>
      </c>
      <c r="DG738" t="s">
        <v>407</v>
      </c>
      <c r="DH738">
        <v>1</v>
      </c>
      <c r="DI738">
        <v>1</v>
      </c>
      <c r="DK738" t="s">
        <v>13984</v>
      </c>
      <c r="DL738">
        <v>0</v>
      </c>
      <c r="DM738" t="s">
        <v>538</v>
      </c>
      <c r="DN738" t="s">
        <v>1553</v>
      </c>
      <c r="DO738" t="s">
        <v>2599</v>
      </c>
      <c r="DP738" t="s">
        <v>3023</v>
      </c>
      <c r="DT738" t="s">
        <v>799</v>
      </c>
      <c r="DU738" t="s">
        <v>442</v>
      </c>
      <c r="DV738" t="s">
        <v>2073</v>
      </c>
      <c r="DW738" t="s">
        <v>2792</v>
      </c>
      <c r="DX738" t="s">
        <v>1490</v>
      </c>
      <c r="EA738" t="s">
        <v>640</v>
      </c>
      <c r="ED738" t="s">
        <v>406</v>
      </c>
      <c r="EE738" t="s">
        <v>407</v>
      </c>
      <c r="EF738" t="s">
        <v>831</v>
      </c>
      <c r="EG738" t="s">
        <v>13962</v>
      </c>
      <c r="ER738">
        <v>0</v>
      </c>
      <c r="ES738">
        <v>0</v>
      </c>
      <c r="ET738" t="s">
        <v>832</v>
      </c>
      <c r="EU738">
        <v>0</v>
      </c>
      <c r="HM738" t="s">
        <v>1754</v>
      </c>
    </row>
    <row r="739" spans="1:221" x14ac:dyDescent="0.25">
      <c r="A739" t="s">
        <v>13985</v>
      </c>
      <c r="B739" t="str">
        <f>"801542162849"</f>
        <v>801542162849</v>
      </c>
      <c r="C739" t="s">
        <v>13986</v>
      </c>
      <c r="D739" t="s">
        <v>13939</v>
      </c>
      <c r="E739" t="s">
        <v>515</v>
      </c>
      <c r="F739" t="s">
        <v>516</v>
      </c>
      <c r="G739" t="str">
        <f>"39"</f>
        <v>39</v>
      </c>
      <c r="H739" t="str">
        <f>"40"</f>
        <v>40</v>
      </c>
      <c r="I739" t="str">
        <f>"33"</f>
        <v>33</v>
      </c>
      <c r="J739" t="str">
        <f>"65"</f>
        <v>65</v>
      </c>
      <c r="K739" t="s">
        <v>13940</v>
      </c>
      <c r="N739" t="s">
        <v>13942</v>
      </c>
      <c r="O739" t="s">
        <v>13943</v>
      </c>
      <c r="P739" t="s">
        <v>13944</v>
      </c>
      <c r="Q739" t="s">
        <v>5372</v>
      </c>
      <c r="T739" t="s">
        <v>373</v>
      </c>
      <c r="U739" t="s">
        <v>402</v>
      </c>
      <c r="V739" t="s">
        <v>13987</v>
      </c>
      <c r="W739" t="s">
        <v>13988</v>
      </c>
      <c r="X739" t="s">
        <v>13989</v>
      </c>
      <c r="Y739" t="s">
        <v>13990</v>
      </c>
      <c r="Z739" t="s">
        <v>13991</v>
      </c>
      <c r="AA739" t="s">
        <v>13992</v>
      </c>
      <c r="AB739" t="s">
        <v>13993</v>
      </c>
      <c r="AC739" t="s">
        <v>13994</v>
      </c>
      <c r="AD739" t="s">
        <v>13995</v>
      </c>
      <c r="AE739" t="s">
        <v>13996</v>
      </c>
      <c r="AF739" t="s">
        <v>13997</v>
      </c>
      <c r="AG739" t="s">
        <v>13998</v>
      </c>
      <c r="AH739" t="s">
        <v>13999</v>
      </c>
      <c r="AI739" t="s">
        <v>14000</v>
      </c>
      <c r="AJ739" t="s">
        <v>14001</v>
      </c>
      <c r="AK739" t="s">
        <v>14002</v>
      </c>
      <c r="BA739" t="str">
        <f>"2299"</f>
        <v>2299</v>
      </c>
      <c r="BB739" t="str">
        <f>"970"</f>
        <v>970</v>
      </c>
      <c r="BC739" t="s">
        <v>3670</v>
      </c>
      <c r="BD739" t="str">
        <f t="shared" si="164"/>
        <v>1</v>
      </c>
      <c r="BE739" t="s">
        <v>13983</v>
      </c>
      <c r="BF739" t="str">
        <f>"39"</f>
        <v>39</v>
      </c>
      <c r="BG739" t="str">
        <f>"45"</f>
        <v>45</v>
      </c>
      <c r="BH739" t="str">
        <f>"32.5"</f>
        <v>32.5</v>
      </c>
      <c r="BI739" t="str">
        <f>"113.32"</f>
        <v>113.32</v>
      </c>
      <c r="BY739" t="str">
        <f>"33.02"</f>
        <v>33.02</v>
      </c>
      <c r="BZ739" t="str">
        <f>"0.935"</f>
        <v>0.935</v>
      </c>
      <c r="CA739" t="s">
        <v>495</v>
      </c>
      <c r="CH739" t="s">
        <v>432</v>
      </c>
      <c r="CI739" t="s">
        <v>640</v>
      </c>
      <c r="CJ739" t="s">
        <v>2792</v>
      </c>
      <c r="CK739" t="s">
        <v>828</v>
      </c>
      <c r="CL739" t="s">
        <v>449</v>
      </c>
      <c r="CM739" t="s">
        <v>2792</v>
      </c>
      <c r="CN739">
        <v>0</v>
      </c>
      <c r="CO739">
        <v>1</v>
      </c>
      <c r="CP739" t="s">
        <v>437</v>
      </c>
      <c r="CQ739" t="s">
        <v>631</v>
      </c>
      <c r="CU739" t="s">
        <v>793</v>
      </c>
      <c r="CX739" t="s">
        <v>953</v>
      </c>
      <c r="CY739" t="s">
        <v>11304</v>
      </c>
      <c r="CZ739">
        <v>0</v>
      </c>
      <c r="DD739">
        <v>18000</v>
      </c>
      <c r="DE739" t="s">
        <v>405</v>
      </c>
      <c r="DF739" t="s">
        <v>406</v>
      </c>
      <c r="DG739" t="s">
        <v>407</v>
      </c>
      <c r="DH739">
        <v>1</v>
      </c>
      <c r="DI739">
        <v>1</v>
      </c>
      <c r="DK739" t="s">
        <v>13984</v>
      </c>
      <c r="DL739">
        <v>0</v>
      </c>
      <c r="DM739" t="s">
        <v>538</v>
      </c>
      <c r="DN739" t="s">
        <v>1553</v>
      </c>
      <c r="DO739" t="s">
        <v>2599</v>
      </c>
      <c r="DP739" t="s">
        <v>3023</v>
      </c>
      <c r="DT739" t="s">
        <v>799</v>
      </c>
      <c r="DU739" t="s">
        <v>442</v>
      </c>
      <c r="DV739" t="s">
        <v>2073</v>
      </c>
      <c r="DW739" t="s">
        <v>1853</v>
      </c>
      <c r="EA739" t="s">
        <v>640</v>
      </c>
      <c r="ED739" t="s">
        <v>406</v>
      </c>
      <c r="EE739" t="s">
        <v>407</v>
      </c>
      <c r="EF739" t="s">
        <v>831</v>
      </c>
      <c r="EG739" t="s">
        <v>13962</v>
      </c>
      <c r="ER739">
        <v>0</v>
      </c>
      <c r="ES739">
        <v>0</v>
      </c>
      <c r="ET739" t="s">
        <v>832</v>
      </c>
      <c r="EU739">
        <v>0</v>
      </c>
      <c r="HM739" t="s">
        <v>1754</v>
      </c>
    </row>
    <row r="740" spans="1:221" x14ac:dyDescent="0.25">
      <c r="A740" t="s">
        <v>14003</v>
      </c>
      <c r="B740" t="str">
        <f>"801542948627"</f>
        <v>801542948627</v>
      </c>
      <c r="C740" t="s">
        <v>14004</v>
      </c>
      <c r="D740" t="s">
        <v>13939</v>
      </c>
      <c r="E740" t="s">
        <v>515</v>
      </c>
      <c r="F740" t="s">
        <v>516</v>
      </c>
      <c r="G740" t="str">
        <f>"39"</f>
        <v>39</v>
      </c>
      <c r="H740" t="str">
        <f>"40"</f>
        <v>40</v>
      </c>
      <c r="I740" t="str">
        <f>"33"</f>
        <v>33</v>
      </c>
      <c r="J740" t="str">
        <f>"65"</f>
        <v>65</v>
      </c>
      <c r="K740" t="s">
        <v>770</v>
      </c>
      <c r="N740" t="s">
        <v>772</v>
      </c>
      <c r="O740" t="s">
        <v>773</v>
      </c>
      <c r="P740" t="s">
        <v>774</v>
      </c>
      <c r="T740" t="s">
        <v>373</v>
      </c>
      <c r="U740" t="s">
        <v>402</v>
      </c>
      <c r="W740" t="s">
        <v>14005</v>
      </c>
      <c r="X740" t="s">
        <v>14006</v>
      </c>
      <c r="Y740" t="s">
        <v>14007</v>
      </c>
      <c r="Z740" t="s">
        <v>14008</v>
      </c>
      <c r="AA740" t="s">
        <v>14009</v>
      </c>
      <c r="AB740" t="s">
        <v>14010</v>
      </c>
      <c r="AC740" t="s">
        <v>14011</v>
      </c>
      <c r="AD740" t="s">
        <v>14012</v>
      </c>
      <c r="AE740" t="s">
        <v>14013</v>
      </c>
      <c r="AF740" t="s">
        <v>14014</v>
      </c>
      <c r="AG740" t="s">
        <v>14015</v>
      </c>
      <c r="AH740" t="s">
        <v>14016</v>
      </c>
      <c r="BA740" t="str">
        <f>"2299"</f>
        <v>2299</v>
      </c>
      <c r="BB740" t="str">
        <f>"970"</f>
        <v>970</v>
      </c>
      <c r="BC740" t="s">
        <v>3670</v>
      </c>
      <c r="BD740" t="str">
        <f t="shared" si="164"/>
        <v>1</v>
      </c>
      <c r="BE740" t="s">
        <v>13983</v>
      </c>
      <c r="BF740" t="str">
        <f>"39"</f>
        <v>39</v>
      </c>
      <c r="BG740" t="str">
        <f>"45"</f>
        <v>45</v>
      </c>
      <c r="BH740" t="str">
        <f>"32.5"</f>
        <v>32.5</v>
      </c>
      <c r="BI740" t="str">
        <f>"113.32"</f>
        <v>113.32</v>
      </c>
      <c r="BY740" t="str">
        <f>"33.02"</f>
        <v>33.02</v>
      </c>
      <c r="BZ740" t="str">
        <f>"0.935"</f>
        <v>0.935</v>
      </c>
      <c r="CA740" t="s">
        <v>390</v>
      </c>
      <c r="CH740" t="s">
        <v>432</v>
      </c>
      <c r="CI740" t="s">
        <v>640</v>
      </c>
      <c r="CJ740" t="s">
        <v>2792</v>
      </c>
      <c r="CK740" t="s">
        <v>828</v>
      </c>
      <c r="CL740" t="s">
        <v>449</v>
      </c>
      <c r="CM740" t="s">
        <v>2792</v>
      </c>
      <c r="CN740">
        <v>0</v>
      </c>
      <c r="CO740">
        <v>1</v>
      </c>
      <c r="CP740" t="s">
        <v>437</v>
      </c>
      <c r="CQ740" t="s">
        <v>631</v>
      </c>
      <c r="CU740" t="s">
        <v>793</v>
      </c>
      <c r="CX740" t="s">
        <v>953</v>
      </c>
      <c r="CY740" t="s">
        <v>11304</v>
      </c>
      <c r="CZ740">
        <v>0</v>
      </c>
      <c r="DD740">
        <v>30000</v>
      </c>
      <c r="DE740" t="s">
        <v>405</v>
      </c>
      <c r="DF740" t="s">
        <v>406</v>
      </c>
      <c r="DG740" t="s">
        <v>407</v>
      </c>
      <c r="DH740">
        <v>1</v>
      </c>
      <c r="DI740">
        <v>1</v>
      </c>
      <c r="DK740" t="s">
        <v>13984</v>
      </c>
      <c r="DL740">
        <v>0</v>
      </c>
      <c r="DM740" t="s">
        <v>538</v>
      </c>
      <c r="DN740" t="s">
        <v>1553</v>
      </c>
      <c r="DO740" t="s">
        <v>2599</v>
      </c>
      <c r="DP740" t="s">
        <v>3023</v>
      </c>
      <c r="DT740" t="s">
        <v>799</v>
      </c>
      <c r="DU740" t="s">
        <v>442</v>
      </c>
      <c r="DV740" t="s">
        <v>2073</v>
      </c>
      <c r="DW740" t="s">
        <v>1853</v>
      </c>
      <c r="EA740" t="s">
        <v>640</v>
      </c>
      <c r="ED740" t="s">
        <v>406</v>
      </c>
      <c r="EE740" t="s">
        <v>407</v>
      </c>
      <c r="EF740" t="s">
        <v>831</v>
      </c>
      <c r="EG740" t="s">
        <v>13962</v>
      </c>
      <c r="ER740">
        <v>0</v>
      </c>
      <c r="ES740">
        <v>0</v>
      </c>
      <c r="ET740" t="s">
        <v>832</v>
      </c>
      <c r="EU740">
        <v>0</v>
      </c>
      <c r="HM740" t="s">
        <v>1754</v>
      </c>
    </row>
    <row r="741" spans="1:221" x14ac:dyDescent="0.25">
      <c r="A741" t="s">
        <v>14017</v>
      </c>
      <c r="B741" t="str">
        <f>"801542162856"</f>
        <v>801542162856</v>
      </c>
      <c r="C741" t="s">
        <v>14018</v>
      </c>
      <c r="D741" t="s">
        <v>13939</v>
      </c>
      <c r="E741" t="s">
        <v>413</v>
      </c>
      <c r="G741" t="str">
        <f>"92.5"</f>
        <v>92.5</v>
      </c>
      <c r="H741" t="str">
        <f>"40"</f>
        <v>40</v>
      </c>
      <c r="I741" t="str">
        <f>"33"</f>
        <v>33</v>
      </c>
      <c r="J741" t="str">
        <f>"140"</f>
        <v>140</v>
      </c>
      <c r="K741" t="s">
        <v>13965</v>
      </c>
      <c r="L741" t="s">
        <v>13941</v>
      </c>
      <c r="N741" t="s">
        <v>13966</v>
      </c>
      <c r="O741" t="s">
        <v>775</v>
      </c>
      <c r="T741" t="s">
        <v>373</v>
      </c>
      <c r="U741" t="s">
        <v>402</v>
      </c>
      <c r="V741" t="s">
        <v>14019</v>
      </c>
      <c r="W741" t="s">
        <v>14020</v>
      </c>
      <c r="X741" t="s">
        <v>14021</v>
      </c>
      <c r="Y741" t="s">
        <v>14022</v>
      </c>
      <c r="Z741" t="s">
        <v>14023</v>
      </c>
      <c r="AA741" t="s">
        <v>14024</v>
      </c>
      <c r="AB741" t="s">
        <v>14025</v>
      </c>
      <c r="AC741" t="s">
        <v>14026</v>
      </c>
      <c r="AD741" t="s">
        <v>14027</v>
      </c>
      <c r="AE741" t="s">
        <v>14028</v>
      </c>
      <c r="AF741" t="s">
        <v>14029</v>
      </c>
      <c r="AG741" t="s">
        <v>14030</v>
      </c>
      <c r="AH741" t="s">
        <v>14031</v>
      </c>
      <c r="AI741" t="s">
        <v>14032</v>
      </c>
      <c r="AJ741" t="s">
        <v>14033</v>
      </c>
      <c r="AK741" t="s">
        <v>14034</v>
      </c>
      <c r="AL741" t="s">
        <v>14035</v>
      </c>
      <c r="AM741" t="s">
        <v>14036</v>
      </c>
      <c r="BA741" t="str">
        <f>"3599"</f>
        <v>3599</v>
      </c>
      <c r="BB741" t="str">
        <f>"1515"</f>
        <v>1515</v>
      </c>
      <c r="BC741" t="s">
        <v>3670</v>
      </c>
      <c r="BD741" t="str">
        <f t="shared" si="164"/>
        <v>1</v>
      </c>
      <c r="BE741" t="s">
        <v>14037</v>
      </c>
      <c r="BF741" t="str">
        <f>"94.5"</f>
        <v>94.5</v>
      </c>
      <c r="BG741" t="str">
        <f>"45"</f>
        <v>45</v>
      </c>
      <c r="BH741" t="str">
        <f>"33.46"</f>
        <v>33.46</v>
      </c>
      <c r="BI741" t="str">
        <f>"167.99"</f>
        <v>167.99</v>
      </c>
      <c r="BY741" t="str">
        <f>"82.35"</f>
        <v>82.35</v>
      </c>
      <c r="BZ741" t="str">
        <f>"2.332"</f>
        <v>2.332</v>
      </c>
      <c r="CA741" t="s">
        <v>495</v>
      </c>
      <c r="CH741" t="s">
        <v>432</v>
      </c>
      <c r="CI741" t="s">
        <v>640</v>
      </c>
      <c r="CJ741" t="s">
        <v>1150</v>
      </c>
      <c r="CK741" t="s">
        <v>828</v>
      </c>
      <c r="CL741" t="s">
        <v>449</v>
      </c>
      <c r="CM741" t="s">
        <v>12637</v>
      </c>
      <c r="CN741">
        <v>0</v>
      </c>
      <c r="CO741">
        <v>2</v>
      </c>
      <c r="CP741" t="s">
        <v>437</v>
      </c>
      <c r="CQ741" t="s">
        <v>1152</v>
      </c>
      <c r="CU741" t="s">
        <v>793</v>
      </c>
      <c r="CX741" t="s">
        <v>953</v>
      </c>
      <c r="CY741" t="s">
        <v>400</v>
      </c>
      <c r="CZ741">
        <v>0</v>
      </c>
      <c r="DD741">
        <v>51000</v>
      </c>
      <c r="DE741" t="s">
        <v>405</v>
      </c>
      <c r="DF741" t="s">
        <v>406</v>
      </c>
      <c r="DG741" t="s">
        <v>407</v>
      </c>
      <c r="DH741">
        <v>2</v>
      </c>
      <c r="DI741">
        <v>4</v>
      </c>
      <c r="DK741" t="s">
        <v>13984</v>
      </c>
      <c r="DL741">
        <v>0</v>
      </c>
      <c r="DM741" t="s">
        <v>795</v>
      </c>
      <c r="DN741" t="s">
        <v>1553</v>
      </c>
      <c r="DO741" t="s">
        <v>2599</v>
      </c>
      <c r="DP741" t="s">
        <v>3023</v>
      </c>
      <c r="DT741" t="s">
        <v>799</v>
      </c>
      <c r="DU741" t="s">
        <v>442</v>
      </c>
      <c r="DV741" t="s">
        <v>2073</v>
      </c>
      <c r="DW741" t="s">
        <v>1150</v>
      </c>
      <c r="DX741" t="s">
        <v>1094</v>
      </c>
      <c r="DY741" t="s">
        <v>822</v>
      </c>
      <c r="DZ741" t="s">
        <v>14038</v>
      </c>
      <c r="EA741" t="s">
        <v>640</v>
      </c>
      <c r="ED741" t="s">
        <v>406</v>
      </c>
      <c r="EE741" t="s">
        <v>407</v>
      </c>
      <c r="EF741" t="s">
        <v>831</v>
      </c>
      <c r="EG741" t="s">
        <v>13962</v>
      </c>
      <c r="EM741" t="s">
        <v>402</v>
      </c>
      <c r="ET741" t="s">
        <v>832</v>
      </c>
    </row>
    <row r="742" spans="1:221" x14ac:dyDescent="0.25">
      <c r="A742" t="s">
        <v>14039</v>
      </c>
      <c r="B742" t="str">
        <f>"801542243876"</f>
        <v>801542243876</v>
      </c>
      <c r="C742" t="s">
        <v>14040</v>
      </c>
      <c r="D742" t="s">
        <v>12848</v>
      </c>
      <c r="E742" t="s">
        <v>930</v>
      </c>
      <c r="G742" t="str">
        <f>"89"</f>
        <v>89</v>
      </c>
      <c r="H742" t="str">
        <f>"18"</f>
        <v>18</v>
      </c>
      <c r="I742" t="str">
        <f>"31"</f>
        <v>31</v>
      </c>
      <c r="J742" t="str">
        <f>"240.32"</f>
        <v>240.32</v>
      </c>
      <c r="K742" t="s">
        <v>14041</v>
      </c>
      <c r="N742" t="s">
        <v>1970</v>
      </c>
      <c r="T742" t="s">
        <v>373</v>
      </c>
      <c r="U742" t="s">
        <v>373</v>
      </c>
      <c r="V742" t="s">
        <v>14042</v>
      </c>
      <c r="W742" t="s">
        <v>14043</v>
      </c>
      <c r="X742" t="s">
        <v>14044</v>
      </c>
      <c r="Y742" t="s">
        <v>14045</v>
      </c>
      <c r="Z742" t="s">
        <v>14046</v>
      </c>
      <c r="AA742" t="s">
        <v>14047</v>
      </c>
      <c r="AB742" t="s">
        <v>14048</v>
      </c>
      <c r="AC742" t="s">
        <v>14049</v>
      </c>
      <c r="AD742" t="s">
        <v>14050</v>
      </c>
      <c r="AE742" t="s">
        <v>14051</v>
      </c>
      <c r="AF742" t="s">
        <v>14052</v>
      </c>
      <c r="AG742" t="s">
        <v>14053</v>
      </c>
      <c r="AH742" t="s">
        <v>14054</v>
      </c>
      <c r="AI742" t="s">
        <v>14055</v>
      </c>
      <c r="AJ742" t="s">
        <v>14056</v>
      </c>
      <c r="AK742" t="s">
        <v>14057</v>
      </c>
      <c r="AL742" t="s">
        <v>14058</v>
      </c>
      <c r="AM742" t="s">
        <v>14059</v>
      </c>
      <c r="AN742" t="s">
        <v>14060</v>
      </c>
      <c r="AO742" t="s">
        <v>14061</v>
      </c>
      <c r="BA742" t="str">
        <f>"2099"</f>
        <v>2099</v>
      </c>
      <c r="BB742" t="str">
        <f>"885"</f>
        <v>885</v>
      </c>
      <c r="BC742" t="s">
        <v>949</v>
      </c>
      <c r="BD742" t="str">
        <f t="shared" si="164"/>
        <v>1</v>
      </c>
      <c r="BE742" t="s">
        <v>389</v>
      </c>
      <c r="BF742" t="str">
        <f>"92"</f>
        <v>92</v>
      </c>
      <c r="BG742" t="str">
        <f>"22"</f>
        <v>22</v>
      </c>
      <c r="BH742" t="str">
        <f>"36"</f>
        <v>36</v>
      </c>
      <c r="BI742" t="str">
        <f>"286.6"</f>
        <v>286.6</v>
      </c>
      <c r="BY742" t="str">
        <f>"42.17"</f>
        <v>42.17</v>
      </c>
      <c r="BZ742" t="str">
        <f>"1.194"</f>
        <v>1.194</v>
      </c>
      <c r="CA742" t="s">
        <v>495</v>
      </c>
      <c r="CE742" t="s">
        <v>474</v>
      </c>
      <c r="CF742" t="s">
        <v>1151</v>
      </c>
      <c r="CG742" t="s">
        <v>2996</v>
      </c>
      <c r="CR742" t="s">
        <v>400</v>
      </c>
      <c r="CS742">
        <v>0</v>
      </c>
      <c r="CT742" t="s">
        <v>400</v>
      </c>
      <c r="CV742">
        <v>0</v>
      </c>
      <c r="CX742" t="s">
        <v>667</v>
      </c>
      <c r="CY742" t="s">
        <v>954</v>
      </c>
      <c r="DA742">
        <v>18.14</v>
      </c>
      <c r="DB742">
        <v>40</v>
      </c>
      <c r="DC742">
        <v>2</v>
      </c>
      <c r="DK742" t="s">
        <v>14062</v>
      </c>
      <c r="DM742" t="s">
        <v>669</v>
      </c>
      <c r="DX742" t="s">
        <v>2510</v>
      </c>
      <c r="EM742" t="s">
        <v>402</v>
      </c>
      <c r="EN742">
        <v>2</v>
      </c>
      <c r="EZ742" t="s">
        <v>1151</v>
      </c>
      <c r="FA742" t="s">
        <v>3599</v>
      </c>
      <c r="FB742" t="s">
        <v>1554</v>
      </c>
      <c r="FC742" t="s">
        <v>474</v>
      </c>
      <c r="FD742" t="s">
        <v>3599</v>
      </c>
      <c r="FE742" t="s">
        <v>2996</v>
      </c>
      <c r="FF742">
        <v>0</v>
      </c>
      <c r="FG742" t="s">
        <v>402</v>
      </c>
      <c r="FI742">
        <v>4</v>
      </c>
      <c r="FJ742" t="s">
        <v>960</v>
      </c>
      <c r="FK742" t="s">
        <v>961</v>
      </c>
      <c r="FL742">
        <v>0</v>
      </c>
      <c r="FM742" t="s">
        <v>402</v>
      </c>
      <c r="FO742" t="s">
        <v>984</v>
      </c>
    </row>
    <row r="743" spans="1:221" x14ac:dyDescent="0.25">
      <c r="A743" t="s">
        <v>14063</v>
      </c>
      <c r="B743" t="str">
        <f>"801542339944"</f>
        <v>801542339944</v>
      </c>
      <c r="C743" t="s">
        <v>14064</v>
      </c>
      <c r="D743" t="s">
        <v>7204</v>
      </c>
      <c r="E743" t="s">
        <v>1319</v>
      </c>
      <c r="F743" t="s">
        <v>1320</v>
      </c>
      <c r="G743" t="str">
        <f>"78"</f>
        <v>78</v>
      </c>
      <c r="H743" t="str">
        <f>"32"</f>
        <v>32</v>
      </c>
      <c r="I743" t="str">
        <f>"31"</f>
        <v>31</v>
      </c>
      <c r="J743" t="str">
        <f>"279.98"</f>
        <v>279.98</v>
      </c>
      <c r="K743" t="s">
        <v>14065</v>
      </c>
      <c r="N743" t="s">
        <v>1324</v>
      </c>
      <c r="T743" t="s">
        <v>373</v>
      </c>
      <c r="U743" t="s">
        <v>373</v>
      </c>
      <c r="V743" t="s">
        <v>14066</v>
      </c>
      <c r="W743" t="s">
        <v>14067</v>
      </c>
      <c r="X743" t="s">
        <v>14068</v>
      </c>
      <c r="Y743" t="s">
        <v>14069</v>
      </c>
      <c r="Z743" t="s">
        <v>14070</v>
      </c>
      <c r="AA743" t="s">
        <v>14071</v>
      </c>
      <c r="AB743" t="s">
        <v>14072</v>
      </c>
      <c r="AC743" t="s">
        <v>14073</v>
      </c>
      <c r="AD743" t="s">
        <v>14074</v>
      </c>
      <c r="AE743" t="s">
        <v>14075</v>
      </c>
      <c r="AF743" t="s">
        <v>14076</v>
      </c>
      <c r="AG743" t="s">
        <v>14077</v>
      </c>
      <c r="AH743" t="s">
        <v>14078</v>
      </c>
      <c r="AI743" t="s">
        <v>14079</v>
      </c>
      <c r="AJ743" t="s">
        <v>14080</v>
      </c>
      <c r="AK743" t="s">
        <v>14081</v>
      </c>
      <c r="AL743" t="s">
        <v>14082</v>
      </c>
      <c r="AM743" t="s">
        <v>14083</v>
      </c>
      <c r="AN743" t="s">
        <v>14084</v>
      </c>
      <c r="AO743" t="s">
        <v>14085</v>
      </c>
      <c r="AP743" t="s">
        <v>14086</v>
      </c>
      <c r="AQ743" t="s">
        <v>14087</v>
      </c>
      <c r="AR743" t="s">
        <v>14088</v>
      </c>
      <c r="BA743" t="str">
        <f>"3999"</f>
        <v>3999</v>
      </c>
      <c r="BB743" t="str">
        <f>"1680"</f>
        <v>1680</v>
      </c>
      <c r="BC743" t="s">
        <v>6158</v>
      </c>
      <c r="BD743" t="str">
        <f t="shared" si="164"/>
        <v>1</v>
      </c>
      <c r="BE743" t="s">
        <v>389</v>
      </c>
      <c r="BF743" t="str">
        <f>"83.46"</f>
        <v>83.46</v>
      </c>
      <c r="BG743" t="str">
        <f>"37.2"</f>
        <v>37.2</v>
      </c>
      <c r="BH743" t="str">
        <f>"21.65"</f>
        <v>21.65</v>
      </c>
      <c r="BI743" t="str">
        <f>"334"</f>
        <v>334</v>
      </c>
      <c r="BY743" t="str">
        <f>"38.92"</f>
        <v>38.92</v>
      </c>
      <c r="BZ743" t="str">
        <f>"1.102"</f>
        <v>1.102</v>
      </c>
      <c r="CA743" t="s">
        <v>431</v>
      </c>
      <c r="CR743" t="s">
        <v>3806</v>
      </c>
      <c r="CS743">
        <v>5</v>
      </c>
      <c r="CT743" t="s">
        <v>400</v>
      </c>
      <c r="CV743">
        <v>0</v>
      </c>
      <c r="CX743" t="s">
        <v>1980</v>
      </c>
      <c r="CY743" t="s">
        <v>1009</v>
      </c>
      <c r="DC743">
        <v>0</v>
      </c>
      <c r="DJ743" t="s">
        <v>1345</v>
      </c>
      <c r="DK743" t="s">
        <v>13579</v>
      </c>
      <c r="DM743" t="s">
        <v>669</v>
      </c>
      <c r="DX743" t="s">
        <v>14089</v>
      </c>
      <c r="DZ743" t="s">
        <v>14090</v>
      </c>
      <c r="EL743" t="s">
        <v>674</v>
      </c>
      <c r="EM743" t="s">
        <v>402</v>
      </c>
      <c r="EN743">
        <v>0</v>
      </c>
      <c r="EW743" t="s">
        <v>13559</v>
      </c>
      <c r="FG743" t="s">
        <v>402</v>
      </c>
      <c r="FI743">
        <v>0</v>
      </c>
      <c r="FJ743" t="s">
        <v>1012</v>
      </c>
      <c r="FP743" t="s">
        <v>402</v>
      </c>
      <c r="FR743" t="s">
        <v>8980</v>
      </c>
      <c r="FS743" t="s">
        <v>8980</v>
      </c>
      <c r="FT743" t="s">
        <v>7187</v>
      </c>
      <c r="FU743" t="s">
        <v>7187</v>
      </c>
      <c r="FV743" t="s">
        <v>14091</v>
      </c>
      <c r="FW743" t="s">
        <v>14092</v>
      </c>
      <c r="FX743" t="s">
        <v>1017</v>
      </c>
      <c r="FZ743" t="s">
        <v>953</v>
      </c>
      <c r="GE743">
        <v>0</v>
      </c>
      <c r="GY743" t="s">
        <v>8980</v>
      </c>
      <c r="HA743" t="s">
        <v>4049</v>
      </c>
      <c r="HC743" t="s">
        <v>14092</v>
      </c>
      <c r="HH743" t="s">
        <v>402</v>
      </c>
    </row>
    <row r="744" spans="1:221" x14ac:dyDescent="0.25">
      <c r="A744" t="s">
        <v>14093</v>
      </c>
      <c r="B744" t="str">
        <f>"198394074971"</f>
        <v>198394074971</v>
      </c>
      <c r="C744" t="s">
        <v>14094</v>
      </c>
      <c r="D744" t="s">
        <v>7204</v>
      </c>
      <c r="E744" t="s">
        <v>1319</v>
      </c>
      <c r="F744" t="s">
        <v>1320</v>
      </c>
      <c r="G744" t="str">
        <f>"78"</f>
        <v>78</v>
      </c>
      <c r="H744" t="str">
        <f>"32"</f>
        <v>32</v>
      </c>
      <c r="I744" t="str">
        <f>"31"</f>
        <v>31</v>
      </c>
      <c r="J744" t="str">
        <f>"279.98"</f>
        <v>279.98</v>
      </c>
      <c r="K744" t="s">
        <v>13563</v>
      </c>
      <c r="N744" t="s">
        <v>1324</v>
      </c>
      <c r="T744" t="s">
        <v>373</v>
      </c>
      <c r="U744" t="s">
        <v>373</v>
      </c>
      <c r="V744" t="s">
        <v>14095</v>
      </c>
      <c r="W744" t="s">
        <v>14096</v>
      </c>
      <c r="X744" t="s">
        <v>14097</v>
      </c>
      <c r="Y744" t="s">
        <v>14098</v>
      </c>
      <c r="Z744" t="s">
        <v>14099</v>
      </c>
      <c r="AA744" t="s">
        <v>14100</v>
      </c>
      <c r="AB744" t="s">
        <v>14101</v>
      </c>
      <c r="AC744" t="s">
        <v>14102</v>
      </c>
      <c r="AD744" t="s">
        <v>14103</v>
      </c>
      <c r="AE744" t="s">
        <v>14104</v>
      </c>
      <c r="AF744" t="s">
        <v>14105</v>
      </c>
      <c r="AG744" t="s">
        <v>14106</v>
      </c>
      <c r="AH744" t="s">
        <v>14107</v>
      </c>
      <c r="AI744" t="s">
        <v>14108</v>
      </c>
      <c r="AJ744" t="s">
        <v>14109</v>
      </c>
      <c r="BA744" t="str">
        <f>"3999"</f>
        <v>3999</v>
      </c>
      <c r="BB744" t="str">
        <f>"1680"</f>
        <v>1680</v>
      </c>
      <c r="BC744" t="s">
        <v>6158</v>
      </c>
      <c r="BD744" t="str">
        <f t="shared" si="164"/>
        <v>1</v>
      </c>
      <c r="BE744" t="s">
        <v>389</v>
      </c>
      <c r="BF744" t="str">
        <f>"83.46"</f>
        <v>83.46</v>
      </c>
      <c r="BG744" t="str">
        <f>"37.2"</f>
        <v>37.2</v>
      </c>
      <c r="BH744" t="str">
        <f>"21.65"</f>
        <v>21.65</v>
      </c>
      <c r="BI744" t="str">
        <f>"334"</f>
        <v>334</v>
      </c>
      <c r="BY744" t="str">
        <f>"38.92"</f>
        <v>38.92</v>
      </c>
      <c r="BZ744" t="str">
        <f>"1.102"</f>
        <v>1.102</v>
      </c>
      <c r="CA744" t="s">
        <v>495</v>
      </c>
      <c r="CR744" t="s">
        <v>3806</v>
      </c>
      <c r="CS744">
        <v>5</v>
      </c>
      <c r="CT744" t="s">
        <v>400</v>
      </c>
      <c r="CV744">
        <v>0</v>
      </c>
      <c r="CX744" t="s">
        <v>1980</v>
      </c>
      <c r="CY744" t="s">
        <v>1009</v>
      </c>
      <c r="DC744">
        <v>0</v>
      </c>
      <c r="DJ744" t="s">
        <v>1345</v>
      </c>
      <c r="DK744" t="s">
        <v>13579</v>
      </c>
      <c r="DM744" t="s">
        <v>669</v>
      </c>
      <c r="DX744" t="s">
        <v>14089</v>
      </c>
      <c r="DZ744" t="s">
        <v>14090</v>
      </c>
      <c r="EL744" t="s">
        <v>674</v>
      </c>
      <c r="EM744" t="s">
        <v>402</v>
      </c>
      <c r="EN744">
        <v>0</v>
      </c>
      <c r="EW744" t="s">
        <v>13559</v>
      </c>
      <c r="FG744" t="s">
        <v>402</v>
      </c>
      <c r="FI744">
        <v>0</v>
      </c>
      <c r="FJ744" t="s">
        <v>1012</v>
      </c>
      <c r="FP744" t="s">
        <v>402</v>
      </c>
      <c r="FR744" t="s">
        <v>8980</v>
      </c>
      <c r="FS744" t="s">
        <v>8980</v>
      </c>
      <c r="FT744" t="s">
        <v>7187</v>
      </c>
      <c r="FU744" t="s">
        <v>7187</v>
      </c>
      <c r="FV744" t="s">
        <v>14091</v>
      </c>
      <c r="FW744" t="s">
        <v>14092</v>
      </c>
      <c r="FX744" t="s">
        <v>1017</v>
      </c>
      <c r="FZ744" t="s">
        <v>953</v>
      </c>
      <c r="GE744">
        <v>0</v>
      </c>
      <c r="GY744" t="s">
        <v>8980</v>
      </c>
      <c r="HA744" t="s">
        <v>4049</v>
      </c>
      <c r="HC744" t="s">
        <v>14092</v>
      </c>
      <c r="HH744" t="s">
        <v>402</v>
      </c>
    </row>
    <row r="745" spans="1:221" x14ac:dyDescent="0.25">
      <c r="A745" t="s">
        <v>14110</v>
      </c>
      <c r="B745" t="str">
        <f>"801542330699"</f>
        <v>801542330699</v>
      </c>
      <c r="C745" t="s">
        <v>14111</v>
      </c>
      <c r="D745" t="s">
        <v>7204</v>
      </c>
      <c r="E745" t="s">
        <v>647</v>
      </c>
      <c r="F745" t="s">
        <v>648</v>
      </c>
      <c r="G745" t="str">
        <f>"96"</f>
        <v>96</v>
      </c>
      <c r="H745" t="str">
        <f>"42"</f>
        <v>42</v>
      </c>
      <c r="I745" t="str">
        <f>"30"</f>
        <v>30</v>
      </c>
      <c r="J745" t="str">
        <f>"252.43"</f>
        <v>252.43</v>
      </c>
      <c r="K745" t="s">
        <v>14065</v>
      </c>
      <c r="L745" t="s">
        <v>14112</v>
      </c>
      <c r="N745" t="s">
        <v>1324</v>
      </c>
      <c r="T745" t="s">
        <v>373</v>
      </c>
      <c r="U745" t="s">
        <v>373</v>
      </c>
      <c r="V745" t="s">
        <v>14113</v>
      </c>
      <c r="W745" t="s">
        <v>14114</v>
      </c>
      <c r="X745" t="s">
        <v>14115</v>
      </c>
      <c r="Y745" t="s">
        <v>14116</v>
      </c>
      <c r="Z745" t="s">
        <v>14117</v>
      </c>
      <c r="AA745" t="s">
        <v>14118</v>
      </c>
      <c r="AB745" t="s">
        <v>14119</v>
      </c>
      <c r="AC745" t="s">
        <v>14120</v>
      </c>
      <c r="AD745" t="s">
        <v>14121</v>
      </c>
      <c r="AE745" t="s">
        <v>14122</v>
      </c>
      <c r="AF745" t="s">
        <v>14123</v>
      </c>
      <c r="AG745" t="s">
        <v>14124</v>
      </c>
      <c r="AH745" t="s">
        <v>14125</v>
      </c>
      <c r="AI745" t="s">
        <v>14126</v>
      </c>
      <c r="AJ745" t="s">
        <v>14127</v>
      </c>
      <c r="AK745" t="s">
        <v>14128</v>
      </c>
      <c r="BA745" t="str">
        <f>"2499"</f>
        <v>2499</v>
      </c>
      <c r="BB745" t="str">
        <f>"1050"</f>
        <v>1050</v>
      </c>
      <c r="BC745" t="s">
        <v>6158</v>
      </c>
      <c r="BD745" t="str">
        <f t="shared" si="164"/>
        <v>1</v>
      </c>
      <c r="BE745" t="s">
        <v>389</v>
      </c>
      <c r="BF745" t="str">
        <f>"101.18"</f>
        <v>101.18</v>
      </c>
      <c r="BG745" t="str">
        <f>"47.24"</f>
        <v>47.24</v>
      </c>
      <c r="BH745" t="str">
        <f>"12.6"</f>
        <v>12.6</v>
      </c>
      <c r="BI745" t="str">
        <f>"298.72"</f>
        <v>298.72</v>
      </c>
      <c r="BY745" t="str">
        <f>"34.86"</f>
        <v>34.86</v>
      </c>
      <c r="BZ745" t="str">
        <f>"0.987"</f>
        <v>0.987</v>
      </c>
      <c r="CA745" t="s">
        <v>495</v>
      </c>
      <c r="CR745" t="s">
        <v>400</v>
      </c>
      <c r="CS745">
        <v>0</v>
      </c>
      <c r="CT745" t="s">
        <v>400</v>
      </c>
      <c r="CV745">
        <v>0</v>
      </c>
      <c r="CX745" t="s">
        <v>1980</v>
      </c>
      <c r="CY745" t="s">
        <v>400</v>
      </c>
      <c r="DA745">
        <v>0</v>
      </c>
      <c r="DB745">
        <v>0</v>
      </c>
      <c r="DC745">
        <v>0</v>
      </c>
      <c r="DI745">
        <v>10</v>
      </c>
      <c r="DJ745" t="s">
        <v>408</v>
      </c>
      <c r="DK745" t="s">
        <v>13579</v>
      </c>
      <c r="DM745" t="s">
        <v>669</v>
      </c>
      <c r="DX745" t="s">
        <v>14129</v>
      </c>
      <c r="DZ745" t="s">
        <v>8214</v>
      </c>
      <c r="EI745" t="s">
        <v>1636</v>
      </c>
      <c r="EJ745" t="s">
        <v>14130</v>
      </c>
      <c r="EK745" t="s">
        <v>5881</v>
      </c>
      <c r="EL745" t="s">
        <v>674</v>
      </c>
      <c r="EM745" t="s">
        <v>402</v>
      </c>
      <c r="EN745">
        <v>0</v>
      </c>
      <c r="EO745">
        <v>0</v>
      </c>
      <c r="EV745" t="s">
        <v>475</v>
      </c>
      <c r="EW745" t="s">
        <v>14129</v>
      </c>
      <c r="EX745" t="s">
        <v>2595</v>
      </c>
      <c r="EY745" t="s">
        <v>1443</v>
      </c>
    </row>
    <row r="746" spans="1:221" x14ac:dyDescent="0.25">
      <c r="A746" t="s">
        <v>14131</v>
      </c>
      <c r="B746" t="str">
        <f>"198394068413"</f>
        <v>198394068413</v>
      </c>
      <c r="C746" t="s">
        <v>14132</v>
      </c>
      <c r="D746" t="s">
        <v>7204</v>
      </c>
      <c r="E746" t="s">
        <v>647</v>
      </c>
      <c r="F746" t="s">
        <v>648</v>
      </c>
      <c r="G746" t="str">
        <f>"96"</f>
        <v>96</v>
      </c>
      <c r="H746" t="str">
        <f>"42"</f>
        <v>42</v>
      </c>
      <c r="I746" t="str">
        <f>"30"</f>
        <v>30</v>
      </c>
      <c r="J746" t="str">
        <f>"252.43"</f>
        <v>252.43</v>
      </c>
      <c r="K746" t="s">
        <v>13563</v>
      </c>
      <c r="L746" t="s">
        <v>13562</v>
      </c>
      <c r="N746" t="s">
        <v>1324</v>
      </c>
      <c r="T746" t="s">
        <v>373</v>
      </c>
      <c r="U746" t="s">
        <v>373</v>
      </c>
      <c r="V746" t="s">
        <v>14113</v>
      </c>
      <c r="W746" t="s">
        <v>14133</v>
      </c>
      <c r="X746" t="s">
        <v>14134</v>
      </c>
      <c r="Y746" t="s">
        <v>14135</v>
      </c>
      <c r="Z746" t="s">
        <v>14136</v>
      </c>
      <c r="AA746" t="s">
        <v>14137</v>
      </c>
      <c r="AB746" t="s">
        <v>14138</v>
      </c>
      <c r="AC746" t="s">
        <v>14139</v>
      </c>
      <c r="AD746" t="s">
        <v>14140</v>
      </c>
      <c r="AE746" t="s">
        <v>14141</v>
      </c>
      <c r="AF746" t="s">
        <v>14142</v>
      </c>
      <c r="AG746" t="s">
        <v>14143</v>
      </c>
      <c r="AH746" t="s">
        <v>14144</v>
      </c>
      <c r="AI746" t="s">
        <v>14145</v>
      </c>
      <c r="BA746" t="str">
        <f>"2499"</f>
        <v>2499</v>
      </c>
      <c r="BB746" t="str">
        <f>"1050"</f>
        <v>1050</v>
      </c>
      <c r="BC746" t="s">
        <v>6158</v>
      </c>
      <c r="BD746" t="str">
        <f t="shared" si="164"/>
        <v>1</v>
      </c>
      <c r="BE746" t="s">
        <v>389</v>
      </c>
      <c r="BF746" t="str">
        <f>"101.18"</f>
        <v>101.18</v>
      </c>
      <c r="BG746" t="str">
        <f>"47.24"</f>
        <v>47.24</v>
      </c>
      <c r="BH746" t="str">
        <f>"12.6"</f>
        <v>12.6</v>
      </c>
      <c r="BI746" t="str">
        <f>"298.72"</f>
        <v>298.72</v>
      </c>
      <c r="BY746" t="str">
        <f>"34.86"</f>
        <v>34.86</v>
      </c>
      <c r="BZ746" t="str">
        <f>"0.987"</f>
        <v>0.987</v>
      </c>
      <c r="CA746" t="s">
        <v>495</v>
      </c>
      <c r="CR746" t="s">
        <v>400</v>
      </c>
      <c r="CS746">
        <v>0</v>
      </c>
      <c r="CT746" t="s">
        <v>400</v>
      </c>
      <c r="CV746">
        <v>0</v>
      </c>
      <c r="CX746" t="s">
        <v>1980</v>
      </c>
      <c r="CY746" t="s">
        <v>400</v>
      </c>
      <c r="DA746">
        <v>0</v>
      </c>
      <c r="DB746">
        <v>0</v>
      </c>
      <c r="DC746">
        <v>0</v>
      </c>
      <c r="DI746">
        <v>10</v>
      </c>
      <c r="DJ746" t="s">
        <v>408</v>
      </c>
      <c r="DK746" t="s">
        <v>13579</v>
      </c>
      <c r="DM746" t="s">
        <v>669</v>
      </c>
      <c r="DX746" t="s">
        <v>14129</v>
      </c>
      <c r="DZ746" t="s">
        <v>8214</v>
      </c>
      <c r="EI746" t="s">
        <v>1636</v>
      </c>
      <c r="EJ746" t="s">
        <v>14130</v>
      </c>
      <c r="EK746" t="s">
        <v>5881</v>
      </c>
      <c r="EL746" t="s">
        <v>674</v>
      </c>
      <c r="EM746" t="s">
        <v>402</v>
      </c>
      <c r="EN746">
        <v>0</v>
      </c>
      <c r="EO746">
        <v>0</v>
      </c>
      <c r="EV746" t="s">
        <v>475</v>
      </c>
      <c r="EW746" t="s">
        <v>14129</v>
      </c>
      <c r="EX746" t="s">
        <v>2595</v>
      </c>
      <c r="EY746" t="s">
        <v>1443</v>
      </c>
    </row>
    <row r="747" spans="1:221" x14ac:dyDescent="0.25">
      <c r="A747" t="s">
        <v>14146</v>
      </c>
      <c r="B747" t="str">
        <f>"801542339975"</f>
        <v>801542339975</v>
      </c>
      <c r="C747" t="s">
        <v>14147</v>
      </c>
      <c r="D747" t="s">
        <v>7204</v>
      </c>
      <c r="E747" t="s">
        <v>1043</v>
      </c>
      <c r="G747" t="str">
        <f>"32"</f>
        <v>32</v>
      </c>
      <c r="H747" t="str">
        <f>"18"</f>
        <v>18</v>
      </c>
      <c r="I747" t="str">
        <f>"25"</f>
        <v>25</v>
      </c>
      <c r="J747" t="str">
        <f>"87.08"</f>
        <v>87.08</v>
      </c>
      <c r="K747" t="s">
        <v>14065</v>
      </c>
      <c r="L747" t="s">
        <v>5580</v>
      </c>
      <c r="N747" t="s">
        <v>1324</v>
      </c>
      <c r="O747" t="s">
        <v>555</v>
      </c>
      <c r="T747" t="s">
        <v>373</v>
      </c>
      <c r="U747" t="s">
        <v>373</v>
      </c>
      <c r="V747" t="s">
        <v>14148</v>
      </c>
      <c r="W747" t="s">
        <v>14149</v>
      </c>
      <c r="X747" t="s">
        <v>14150</v>
      </c>
      <c r="Y747" t="s">
        <v>14151</v>
      </c>
      <c r="Z747" t="s">
        <v>14152</v>
      </c>
      <c r="AA747" t="s">
        <v>14153</v>
      </c>
      <c r="AB747" t="s">
        <v>14154</v>
      </c>
      <c r="AC747" t="s">
        <v>14155</v>
      </c>
      <c r="AD747" t="s">
        <v>14074</v>
      </c>
      <c r="AE747" t="s">
        <v>14156</v>
      </c>
      <c r="AF747" t="s">
        <v>14157</v>
      </c>
      <c r="AG747" t="s">
        <v>14158</v>
      </c>
      <c r="AH747" t="s">
        <v>14159</v>
      </c>
      <c r="AI747" t="s">
        <v>14160</v>
      </c>
      <c r="AJ747" t="s">
        <v>14161</v>
      </c>
      <c r="AK747" t="s">
        <v>14162</v>
      </c>
      <c r="AL747" t="s">
        <v>14163</v>
      </c>
      <c r="AM747" t="s">
        <v>14164</v>
      </c>
      <c r="BA747" t="str">
        <f>"1699"</f>
        <v>1699</v>
      </c>
      <c r="BB747" t="str">
        <f>"715"</f>
        <v>715</v>
      </c>
      <c r="BC747" t="s">
        <v>6158</v>
      </c>
      <c r="BD747" t="str">
        <f t="shared" si="164"/>
        <v>1</v>
      </c>
      <c r="BE747" t="s">
        <v>389</v>
      </c>
      <c r="BF747" t="str">
        <f>"36.22"</f>
        <v>36.22</v>
      </c>
      <c r="BG747" t="str">
        <f>"22.44"</f>
        <v>22.44</v>
      </c>
      <c r="BH747" t="str">
        <f>"31.1"</f>
        <v>31.1</v>
      </c>
      <c r="BI747" t="str">
        <f>"110.23"</f>
        <v>110.23</v>
      </c>
      <c r="BY747" t="str">
        <f>"14.62"</f>
        <v>14.62</v>
      </c>
      <c r="BZ747" t="str">
        <f>"0.414"</f>
        <v>0.414</v>
      </c>
      <c r="CA747" t="s">
        <v>390</v>
      </c>
      <c r="CR747" t="s">
        <v>5068</v>
      </c>
      <c r="CS747">
        <v>2</v>
      </c>
      <c r="CT747" t="s">
        <v>1312</v>
      </c>
      <c r="CV747">
        <v>0</v>
      </c>
      <c r="CX747" t="s">
        <v>1980</v>
      </c>
      <c r="CY747" t="s">
        <v>1009</v>
      </c>
      <c r="DC747">
        <v>0</v>
      </c>
      <c r="DJ747" t="s">
        <v>408</v>
      </c>
      <c r="DK747" t="s">
        <v>13579</v>
      </c>
      <c r="DM747" t="s">
        <v>473</v>
      </c>
      <c r="DX747" t="s">
        <v>446</v>
      </c>
      <c r="EM747" t="s">
        <v>402</v>
      </c>
      <c r="EN747">
        <v>0</v>
      </c>
      <c r="FG747" t="s">
        <v>402</v>
      </c>
      <c r="FI747">
        <v>0</v>
      </c>
      <c r="FJ747" t="s">
        <v>1012</v>
      </c>
      <c r="FP747" t="s">
        <v>402</v>
      </c>
      <c r="FR747" t="s">
        <v>8980</v>
      </c>
      <c r="FT747" t="s">
        <v>1639</v>
      </c>
      <c r="FV747" t="s">
        <v>14165</v>
      </c>
      <c r="FX747" t="s">
        <v>4210</v>
      </c>
      <c r="FZ747" t="s">
        <v>953</v>
      </c>
    </row>
    <row r="748" spans="1:221" x14ac:dyDescent="0.25">
      <c r="A748" t="s">
        <v>14166</v>
      </c>
      <c r="B748" t="str">
        <f>"198394068406"</f>
        <v>198394068406</v>
      </c>
      <c r="C748" t="s">
        <v>14167</v>
      </c>
      <c r="D748" t="s">
        <v>7204</v>
      </c>
      <c r="E748" t="s">
        <v>1043</v>
      </c>
      <c r="G748" t="str">
        <f>"32"</f>
        <v>32</v>
      </c>
      <c r="H748" t="str">
        <f>"18"</f>
        <v>18</v>
      </c>
      <c r="I748" t="str">
        <f>"25"</f>
        <v>25</v>
      </c>
      <c r="J748" t="str">
        <f>"87.08"</f>
        <v>87.08</v>
      </c>
      <c r="K748" t="s">
        <v>13563</v>
      </c>
      <c r="L748" t="s">
        <v>14168</v>
      </c>
      <c r="N748" t="s">
        <v>1324</v>
      </c>
      <c r="O748" t="s">
        <v>1121</v>
      </c>
      <c r="T748" t="s">
        <v>373</v>
      </c>
      <c r="U748" t="s">
        <v>373</v>
      </c>
      <c r="W748" t="s">
        <v>14169</v>
      </c>
      <c r="X748" t="s">
        <v>14170</v>
      </c>
      <c r="Y748" t="s">
        <v>14171</v>
      </c>
      <c r="Z748" t="s">
        <v>14172</v>
      </c>
      <c r="AA748" t="s">
        <v>14173</v>
      </c>
      <c r="AB748" t="s">
        <v>14174</v>
      </c>
      <c r="AC748" t="s">
        <v>14175</v>
      </c>
      <c r="AD748" t="s">
        <v>14176</v>
      </c>
      <c r="AE748" t="s">
        <v>14177</v>
      </c>
      <c r="AF748" t="s">
        <v>14178</v>
      </c>
      <c r="AG748" t="s">
        <v>14179</v>
      </c>
      <c r="AH748" t="s">
        <v>14180</v>
      </c>
      <c r="AI748" t="s">
        <v>14181</v>
      </c>
      <c r="AJ748" t="s">
        <v>14182</v>
      </c>
      <c r="BA748" t="str">
        <f>"1699"</f>
        <v>1699</v>
      </c>
      <c r="BB748" t="str">
        <f>"715"</f>
        <v>715</v>
      </c>
      <c r="BC748" t="s">
        <v>6158</v>
      </c>
      <c r="BD748" t="str">
        <f t="shared" si="164"/>
        <v>1</v>
      </c>
      <c r="BE748" t="s">
        <v>389</v>
      </c>
      <c r="BF748" t="str">
        <f>"36.22"</f>
        <v>36.22</v>
      </c>
      <c r="BG748" t="str">
        <f>"22.44"</f>
        <v>22.44</v>
      </c>
      <c r="BH748" t="str">
        <f>"31.1"</f>
        <v>31.1</v>
      </c>
      <c r="BI748" t="str">
        <f>"110.23"</f>
        <v>110.23</v>
      </c>
      <c r="BY748" t="str">
        <f>"14.62"</f>
        <v>14.62</v>
      </c>
      <c r="BZ748" t="str">
        <f>"0.414"</f>
        <v>0.414</v>
      </c>
      <c r="CA748" t="s">
        <v>495</v>
      </c>
      <c r="CR748" t="s">
        <v>5068</v>
      </c>
      <c r="CS748">
        <v>2</v>
      </c>
      <c r="CT748" t="s">
        <v>1312</v>
      </c>
      <c r="CV748">
        <v>0</v>
      </c>
      <c r="CX748" t="s">
        <v>1980</v>
      </c>
      <c r="CY748" t="s">
        <v>1009</v>
      </c>
      <c r="DC748">
        <v>0</v>
      </c>
      <c r="DJ748" t="s">
        <v>408</v>
      </c>
      <c r="DK748" t="s">
        <v>13579</v>
      </c>
      <c r="DM748" t="s">
        <v>473</v>
      </c>
      <c r="DX748" t="s">
        <v>446</v>
      </c>
      <c r="EM748" t="s">
        <v>402</v>
      </c>
      <c r="EN748">
        <v>0</v>
      </c>
      <c r="FG748" t="s">
        <v>402</v>
      </c>
      <c r="FI748">
        <v>0</v>
      </c>
      <c r="FJ748" t="s">
        <v>1012</v>
      </c>
      <c r="FP748" t="s">
        <v>402</v>
      </c>
      <c r="FR748" t="s">
        <v>8980</v>
      </c>
      <c r="FT748" t="s">
        <v>1639</v>
      </c>
      <c r="FV748" t="s">
        <v>14165</v>
      </c>
      <c r="FX748" t="s">
        <v>4210</v>
      </c>
      <c r="FZ748" t="s">
        <v>953</v>
      </c>
    </row>
    <row r="749" spans="1:221" x14ac:dyDescent="0.25">
      <c r="A749" t="s">
        <v>14183</v>
      </c>
      <c r="B749" t="str">
        <f>"801542192938"</f>
        <v>801542192938</v>
      </c>
      <c r="C749" t="s">
        <v>14184</v>
      </c>
      <c r="D749" t="s">
        <v>5999</v>
      </c>
      <c r="E749" t="s">
        <v>1077</v>
      </c>
      <c r="G749" t="str">
        <f>"48"</f>
        <v>48</v>
      </c>
      <c r="H749" t="str">
        <f>"30"</f>
        <v>30</v>
      </c>
      <c r="I749" t="str">
        <f>"15"</f>
        <v>15</v>
      </c>
      <c r="J749" t="str">
        <f>"386.78"</f>
        <v>386.78</v>
      </c>
      <c r="K749" t="s">
        <v>6029</v>
      </c>
      <c r="N749" t="s">
        <v>6002</v>
      </c>
      <c r="T749" t="s">
        <v>373</v>
      </c>
      <c r="U749" t="s">
        <v>373</v>
      </c>
      <c r="V749" t="s">
        <v>14185</v>
      </c>
      <c r="W749" t="s">
        <v>14186</v>
      </c>
      <c r="X749" t="s">
        <v>14187</v>
      </c>
      <c r="Y749" t="s">
        <v>14188</v>
      </c>
      <c r="Z749" t="s">
        <v>14189</v>
      </c>
      <c r="AA749" t="s">
        <v>14190</v>
      </c>
      <c r="AB749" t="s">
        <v>14191</v>
      </c>
      <c r="AC749" t="s">
        <v>14192</v>
      </c>
      <c r="AD749" t="s">
        <v>14193</v>
      </c>
      <c r="AE749" t="s">
        <v>14194</v>
      </c>
      <c r="AF749" t="s">
        <v>14195</v>
      </c>
      <c r="AG749" t="s">
        <v>14196</v>
      </c>
      <c r="AH749" t="s">
        <v>14197</v>
      </c>
      <c r="AI749" t="s">
        <v>14198</v>
      </c>
      <c r="AJ749" t="s">
        <v>14199</v>
      </c>
      <c r="BA749" t="str">
        <f>"2199"</f>
        <v>2199</v>
      </c>
      <c r="BB749" t="str">
        <f>"925"</f>
        <v>925</v>
      </c>
      <c r="BC749" t="s">
        <v>949</v>
      </c>
      <c r="BD749" t="str">
        <f>"4"</f>
        <v>4</v>
      </c>
      <c r="BE749" t="s">
        <v>1089</v>
      </c>
      <c r="BF749" t="str">
        <f>"59.5"</f>
        <v>59.5</v>
      </c>
      <c r="BG749" t="str">
        <f>"10.25"</f>
        <v>10.25</v>
      </c>
      <c r="BH749" t="str">
        <f>"41"</f>
        <v>41</v>
      </c>
      <c r="BI749" t="str">
        <f>"160.82"</f>
        <v>160.82</v>
      </c>
      <c r="BJ749" t="s">
        <v>1090</v>
      </c>
      <c r="BK749" t="str">
        <f>"42.75"</f>
        <v>42.75</v>
      </c>
      <c r="BL749" t="str">
        <f>"15"</f>
        <v>15</v>
      </c>
      <c r="BM749" t="str">
        <f>"19.25"</f>
        <v>19.25</v>
      </c>
      <c r="BN749" t="str">
        <f>"147.37"</f>
        <v>147.37</v>
      </c>
      <c r="BO749" t="s">
        <v>1089</v>
      </c>
      <c r="BP749" t="str">
        <f>"47.5"</f>
        <v>47.5</v>
      </c>
      <c r="BQ749" t="str">
        <f>"10.5"</f>
        <v>10.5</v>
      </c>
      <c r="BR749" t="str">
        <f>"36.5"</f>
        <v>36.5</v>
      </c>
      <c r="BS749" t="str">
        <f>"115.85"</f>
        <v>115.85</v>
      </c>
      <c r="BT749" t="s">
        <v>1090</v>
      </c>
      <c r="BU749" t="str">
        <f>"37"</f>
        <v>37</v>
      </c>
      <c r="BV749" t="str">
        <f>"13"</f>
        <v>13</v>
      </c>
      <c r="BW749" t="str">
        <f>"18"</f>
        <v>18</v>
      </c>
      <c r="BX749" t="str">
        <f>"94.13"</f>
        <v>94.13</v>
      </c>
      <c r="BY749" t="str">
        <f>"37.15"</f>
        <v>37.15</v>
      </c>
      <c r="BZ749" t="str">
        <f>"1.052"</f>
        <v>1.052</v>
      </c>
      <c r="CA749" t="s">
        <v>431</v>
      </c>
      <c r="CY749" t="s">
        <v>400</v>
      </c>
      <c r="DJ749" t="s">
        <v>4001</v>
      </c>
      <c r="DK749" t="s">
        <v>14200</v>
      </c>
      <c r="DM749" t="s">
        <v>473</v>
      </c>
    </row>
    <row r="750" spans="1:221" x14ac:dyDescent="0.25">
      <c r="A750" t="s">
        <v>14201</v>
      </c>
      <c r="B750" t="str">
        <f>"801542829933"</f>
        <v>801542829933</v>
      </c>
      <c r="C750" t="s">
        <v>14202</v>
      </c>
      <c r="D750" t="s">
        <v>5999</v>
      </c>
      <c r="E750" t="s">
        <v>1077</v>
      </c>
      <c r="G750" t="str">
        <f>"48"</f>
        <v>48</v>
      </c>
      <c r="H750" t="str">
        <f>"30"</f>
        <v>30</v>
      </c>
      <c r="I750" t="str">
        <f>"15"</f>
        <v>15</v>
      </c>
      <c r="J750" t="str">
        <f>"386.78"</f>
        <v>386.78</v>
      </c>
      <c r="K750" t="s">
        <v>14203</v>
      </c>
      <c r="N750" t="s">
        <v>6002</v>
      </c>
      <c r="T750" t="s">
        <v>373</v>
      </c>
      <c r="U750" t="s">
        <v>373</v>
      </c>
      <c r="V750" t="s">
        <v>14185</v>
      </c>
      <c r="W750" t="s">
        <v>14204</v>
      </c>
      <c r="X750" t="s">
        <v>14205</v>
      </c>
      <c r="Y750" t="s">
        <v>14206</v>
      </c>
      <c r="Z750" t="s">
        <v>14207</v>
      </c>
      <c r="AA750" t="s">
        <v>14208</v>
      </c>
      <c r="AB750" t="s">
        <v>14209</v>
      </c>
      <c r="AC750" t="s">
        <v>14210</v>
      </c>
      <c r="AD750" t="s">
        <v>14211</v>
      </c>
      <c r="AE750" t="s">
        <v>14212</v>
      </c>
      <c r="AF750" t="s">
        <v>14213</v>
      </c>
      <c r="AG750" t="s">
        <v>14214</v>
      </c>
      <c r="AH750" t="s">
        <v>14215</v>
      </c>
      <c r="AI750" t="s">
        <v>14216</v>
      </c>
      <c r="AJ750" t="s">
        <v>14217</v>
      </c>
      <c r="BA750" t="str">
        <f>"3099"</f>
        <v>3099</v>
      </c>
      <c r="BB750" t="str">
        <f>"1305"</f>
        <v>1305</v>
      </c>
      <c r="BC750" t="s">
        <v>949</v>
      </c>
      <c r="BD750" t="str">
        <f>"4"</f>
        <v>4</v>
      </c>
      <c r="BE750" t="s">
        <v>1089</v>
      </c>
      <c r="BF750" t="str">
        <f>"59.5"</f>
        <v>59.5</v>
      </c>
      <c r="BG750" t="str">
        <f>"10.25"</f>
        <v>10.25</v>
      </c>
      <c r="BH750" t="str">
        <f>"41"</f>
        <v>41</v>
      </c>
      <c r="BI750" t="str">
        <f>"160.82"</f>
        <v>160.82</v>
      </c>
      <c r="BJ750" t="s">
        <v>1090</v>
      </c>
      <c r="BK750" t="str">
        <f>"42.75"</f>
        <v>42.75</v>
      </c>
      <c r="BL750" t="str">
        <f>"15"</f>
        <v>15</v>
      </c>
      <c r="BM750" t="str">
        <f>"19.25"</f>
        <v>19.25</v>
      </c>
      <c r="BN750" t="str">
        <f>"147.37"</f>
        <v>147.37</v>
      </c>
      <c r="BO750" t="s">
        <v>1089</v>
      </c>
      <c r="BP750" t="str">
        <f>"47.5"</f>
        <v>47.5</v>
      </c>
      <c r="BQ750" t="str">
        <f>"10.5"</f>
        <v>10.5</v>
      </c>
      <c r="BR750" t="str">
        <f>"36.5"</f>
        <v>36.5</v>
      </c>
      <c r="BS750" t="str">
        <f>"115.85"</f>
        <v>115.85</v>
      </c>
      <c r="BT750" t="s">
        <v>1090</v>
      </c>
      <c r="BU750" t="str">
        <f>"37"</f>
        <v>37</v>
      </c>
      <c r="BV750" t="str">
        <f>"13"</f>
        <v>13</v>
      </c>
      <c r="BW750" t="str">
        <f>"18"</f>
        <v>18</v>
      </c>
      <c r="BX750" t="str">
        <f>"94.13"</f>
        <v>94.13</v>
      </c>
      <c r="BY750" t="str">
        <f>"37.15"</f>
        <v>37.15</v>
      </c>
      <c r="BZ750" t="str">
        <f>"1.052"</f>
        <v>1.052</v>
      </c>
      <c r="CA750" t="s">
        <v>431</v>
      </c>
      <c r="CY750" t="s">
        <v>400</v>
      </c>
      <c r="DJ750" t="s">
        <v>4001</v>
      </c>
      <c r="DK750" t="s">
        <v>14200</v>
      </c>
      <c r="DM750" t="s">
        <v>473</v>
      </c>
    </row>
    <row r="751" spans="1:221" x14ac:dyDescent="0.25">
      <c r="A751" t="s">
        <v>14218</v>
      </c>
      <c r="B751" t="str">
        <f>"198394057882"</f>
        <v>198394057882</v>
      </c>
      <c r="C751" t="s">
        <v>14219</v>
      </c>
      <c r="D751" t="s">
        <v>5999</v>
      </c>
      <c r="E751" t="s">
        <v>1077</v>
      </c>
      <c r="G751" t="str">
        <f>"48"</f>
        <v>48</v>
      </c>
      <c r="H751" t="str">
        <f>"30"</f>
        <v>30</v>
      </c>
      <c r="I751" t="str">
        <f>"15"</f>
        <v>15</v>
      </c>
      <c r="J751" t="str">
        <f>"86.09"</f>
        <v>86.09</v>
      </c>
      <c r="K751" t="s">
        <v>989</v>
      </c>
      <c r="L751" t="s">
        <v>1323</v>
      </c>
      <c r="N751" t="s">
        <v>372</v>
      </c>
      <c r="O751" t="s">
        <v>1970</v>
      </c>
      <c r="T751" t="s">
        <v>373</v>
      </c>
      <c r="U751" t="s">
        <v>373</v>
      </c>
      <c r="V751" t="s">
        <v>14220</v>
      </c>
      <c r="W751" t="s">
        <v>14221</v>
      </c>
      <c r="X751" t="s">
        <v>14222</v>
      </c>
      <c r="Y751" t="s">
        <v>14223</v>
      </c>
      <c r="Z751" t="s">
        <v>14224</v>
      </c>
      <c r="AA751" t="s">
        <v>14225</v>
      </c>
      <c r="AB751" t="s">
        <v>14226</v>
      </c>
      <c r="AC751" t="s">
        <v>14227</v>
      </c>
      <c r="AD751" t="s">
        <v>14228</v>
      </c>
      <c r="AE751" t="s">
        <v>14229</v>
      </c>
      <c r="AF751" t="s">
        <v>14230</v>
      </c>
      <c r="AG751" t="s">
        <v>14231</v>
      </c>
      <c r="BA751" t="str">
        <f>"1849"</f>
        <v>1849</v>
      </c>
      <c r="BB751" t="str">
        <f>"780"</f>
        <v>780</v>
      </c>
      <c r="BC751" t="s">
        <v>949</v>
      </c>
      <c r="BD751" t="str">
        <f>"4"</f>
        <v>4</v>
      </c>
      <c r="BE751" t="s">
        <v>1089</v>
      </c>
      <c r="BF751" t="str">
        <f>"60"</f>
        <v>60</v>
      </c>
      <c r="BG751" t="str">
        <f>"8.5"</f>
        <v>8.5</v>
      </c>
      <c r="BH751" t="str">
        <f>"41"</f>
        <v>41</v>
      </c>
      <c r="BI751" t="str">
        <f>"77.71"</f>
        <v>77.71</v>
      </c>
      <c r="BJ751" t="s">
        <v>1090</v>
      </c>
      <c r="BK751" t="str">
        <f>"39"</f>
        <v>39</v>
      </c>
      <c r="BL751" t="str">
        <f>"16.75"</f>
        <v>16.75</v>
      </c>
      <c r="BM751" t="str">
        <f>"21"</f>
        <v>21</v>
      </c>
      <c r="BN751" t="str">
        <f>"40.12"</f>
        <v>40.12</v>
      </c>
      <c r="BO751" t="s">
        <v>1089</v>
      </c>
      <c r="BP751" t="str">
        <f>"48"</f>
        <v>48</v>
      </c>
      <c r="BQ751" t="str">
        <f>"8.5"</f>
        <v>8.5</v>
      </c>
      <c r="BR751" t="str">
        <f>"37"</f>
        <v>37</v>
      </c>
      <c r="BS751" t="str">
        <f>"57.98"</f>
        <v>57.98</v>
      </c>
      <c r="BT751" t="s">
        <v>1090</v>
      </c>
      <c r="BU751" t="str">
        <f>"33.5"</f>
        <v>33.5</v>
      </c>
      <c r="BV751" t="str">
        <f>"15"</f>
        <v>15</v>
      </c>
      <c r="BW751" t="str">
        <f>"19"</f>
        <v>19</v>
      </c>
      <c r="BX751" t="str">
        <f>"29.54"</f>
        <v>29.54</v>
      </c>
      <c r="BY751" t="str">
        <f>"34.29"</f>
        <v>34.29</v>
      </c>
      <c r="BZ751" t="str">
        <f>"0.971"</f>
        <v>0.971</v>
      </c>
      <c r="CA751" t="s">
        <v>431</v>
      </c>
      <c r="CY751" t="s">
        <v>400</v>
      </c>
      <c r="DJ751" t="s">
        <v>4001</v>
      </c>
      <c r="DK751" t="s">
        <v>14200</v>
      </c>
      <c r="DM751" t="s">
        <v>473</v>
      </c>
    </row>
    <row r="752" spans="1:221" x14ac:dyDescent="0.25">
      <c r="A752" t="s">
        <v>14232</v>
      </c>
      <c r="B752" t="str">
        <f>"801542201661"</f>
        <v>801542201661</v>
      </c>
      <c r="C752" t="s">
        <v>14233</v>
      </c>
      <c r="D752" t="s">
        <v>583</v>
      </c>
      <c r="E752" t="s">
        <v>515</v>
      </c>
      <c r="F752" t="s">
        <v>516</v>
      </c>
      <c r="G752" t="str">
        <f>"30.5"</f>
        <v>30.5</v>
      </c>
      <c r="H752" t="str">
        <f>"31"</f>
        <v>31</v>
      </c>
      <c r="I752" t="str">
        <f>"30.5"</f>
        <v>30.5</v>
      </c>
      <c r="J752" t="str">
        <f>"48.5"</f>
        <v>48.5</v>
      </c>
      <c r="K752" t="s">
        <v>14234</v>
      </c>
      <c r="N752" t="s">
        <v>1793</v>
      </c>
      <c r="O752" t="s">
        <v>1794</v>
      </c>
      <c r="T752" t="s">
        <v>373</v>
      </c>
      <c r="U752" t="s">
        <v>373</v>
      </c>
      <c r="V752" t="s">
        <v>14235</v>
      </c>
      <c r="W752" t="s">
        <v>14236</v>
      </c>
      <c r="X752" t="s">
        <v>14237</v>
      </c>
      <c r="Y752" t="s">
        <v>14238</v>
      </c>
      <c r="Z752" t="s">
        <v>14239</v>
      </c>
      <c r="AA752" t="s">
        <v>14240</v>
      </c>
      <c r="AB752" t="s">
        <v>14241</v>
      </c>
      <c r="AC752" t="s">
        <v>14242</v>
      </c>
      <c r="AD752" t="s">
        <v>14243</v>
      </c>
      <c r="AE752" t="s">
        <v>14244</v>
      </c>
      <c r="AF752" t="s">
        <v>14245</v>
      </c>
      <c r="AG752" t="s">
        <v>14246</v>
      </c>
      <c r="AH752" t="s">
        <v>14247</v>
      </c>
      <c r="AI752" t="s">
        <v>14248</v>
      </c>
      <c r="BA752" t="str">
        <f>"949"</f>
        <v>949</v>
      </c>
      <c r="BB752" t="str">
        <f>"400"</f>
        <v>400</v>
      </c>
      <c r="BC752" t="s">
        <v>388</v>
      </c>
      <c r="BD752" t="str">
        <f t="shared" ref="BD752:BD764" si="165">"1"</f>
        <v>1</v>
      </c>
      <c r="BE752" t="s">
        <v>389</v>
      </c>
      <c r="BF752" t="str">
        <f>"31.89"</f>
        <v>31.89</v>
      </c>
      <c r="BG752" t="str">
        <f>"31.89"</f>
        <v>31.89</v>
      </c>
      <c r="BH752" t="str">
        <f>"32.28"</f>
        <v>32.28</v>
      </c>
      <c r="BI752" t="str">
        <f>"66.14"</f>
        <v>66.14</v>
      </c>
      <c r="BY752" t="str">
        <f>"19"</f>
        <v>19</v>
      </c>
      <c r="BZ752" t="str">
        <f>"0.538"</f>
        <v>0.538</v>
      </c>
      <c r="CA752" t="s">
        <v>431</v>
      </c>
      <c r="CH752" t="s">
        <v>601</v>
      </c>
      <c r="CI752" t="s">
        <v>448</v>
      </c>
      <c r="CJ752" t="s">
        <v>14249</v>
      </c>
      <c r="CK752" t="s">
        <v>601</v>
      </c>
      <c r="CL752" t="s">
        <v>14250</v>
      </c>
      <c r="CN752">
        <v>0</v>
      </c>
      <c r="CO752">
        <v>1</v>
      </c>
      <c r="CP752" t="s">
        <v>437</v>
      </c>
      <c r="CQ752" t="s">
        <v>438</v>
      </c>
      <c r="CX752" t="s">
        <v>403</v>
      </c>
      <c r="CY752" t="s">
        <v>400</v>
      </c>
      <c r="CZ752">
        <v>0</v>
      </c>
      <c r="DD752">
        <v>30000</v>
      </c>
      <c r="DE752" t="s">
        <v>439</v>
      </c>
      <c r="DF752" t="s">
        <v>632</v>
      </c>
      <c r="DG752" t="s">
        <v>2380</v>
      </c>
      <c r="DH752">
        <v>1</v>
      </c>
      <c r="DI752">
        <v>1</v>
      </c>
      <c r="DK752" t="s">
        <v>14251</v>
      </c>
      <c r="DL752">
        <v>0</v>
      </c>
      <c r="DM752" t="s">
        <v>538</v>
      </c>
      <c r="DN752" t="s">
        <v>1092</v>
      </c>
      <c r="DO752" t="s">
        <v>9335</v>
      </c>
      <c r="DP752" t="s">
        <v>1510</v>
      </c>
      <c r="DT752" t="s">
        <v>7985</v>
      </c>
      <c r="DX752" t="s">
        <v>640</v>
      </c>
      <c r="DY752" t="s">
        <v>5072</v>
      </c>
      <c r="DZ752" t="s">
        <v>796</v>
      </c>
      <c r="EA752" t="s">
        <v>14252</v>
      </c>
      <c r="ED752" t="s">
        <v>632</v>
      </c>
      <c r="EG752" t="s">
        <v>641</v>
      </c>
      <c r="EP752" t="s">
        <v>791</v>
      </c>
      <c r="EQ752" t="s">
        <v>14249</v>
      </c>
      <c r="ER752">
        <v>0</v>
      </c>
      <c r="ES752">
        <v>0</v>
      </c>
      <c r="EU752">
        <v>0</v>
      </c>
    </row>
    <row r="753" spans="1:287" x14ac:dyDescent="0.25">
      <c r="A753" t="s">
        <v>14253</v>
      </c>
      <c r="B753" t="str">
        <f>"198394077231"</f>
        <v>198394077231</v>
      </c>
      <c r="C753" t="s">
        <v>14254</v>
      </c>
      <c r="D753" t="s">
        <v>583</v>
      </c>
      <c r="E753" t="s">
        <v>515</v>
      </c>
      <c r="F753" t="s">
        <v>516</v>
      </c>
      <c r="G753" t="str">
        <f>"30.5"</f>
        <v>30.5</v>
      </c>
      <c r="H753" t="str">
        <f>"31"</f>
        <v>31</v>
      </c>
      <c r="I753" t="str">
        <f>"30.5"</f>
        <v>30.5</v>
      </c>
      <c r="J753" t="str">
        <f>"48.5"</f>
        <v>48.5</v>
      </c>
      <c r="K753" t="s">
        <v>14255</v>
      </c>
      <c r="N753" t="s">
        <v>14256</v>
      </c>
      <c r="O753" t="s">
        <v>14257</v>
      </c>
      <c r="T753" t="s">
        <v>373</v>
      </c>
      <c r="U753" t="s">
        <v>373</v>
      </c>
      <c r="V753" t="s">
        <v>14258</v>
      </c>
      <c r="W753" t="s">
        <v>14259</v>
      </c>
      <c r="X753" t="s">
        <v>14260</v>
      </c>
      <c r="Y753" t="s">
        <v>14261</v>
      </c>
      <c r="Z753" t="s">
        <v>14262</v>
      </c>
      <c r="AA753" t="s">
        <v>14263</v>
      </c>
      <c r="AB753" t="s">
        <v>14264</v>
      </c>
      <c r="AC753" t="s">
        <v>14265</v>
      </c>
      <c r="AD753" t="s">
        <v>14266</v>
      </c>
      <c r="AE753" t="s">
        <v>14267</v>
      </c>
      <c r="AF753" t="s">
        <v>14268</v>
      </c>
      <c r="BA753" t="str">
        <f>"1149"</f>
        <v>1149</v>
      </c>
      <c r="BB753" t="str">
        <f>"485"</f>
        <v>485</v>
      </c>
      <c r="BC753" t="s">
        <v>388</v>
      </c>
      <c r="BD753" t="str">
        <f t="shared" si="165"/>
        <v>1</v>
      </c>
      <c r="BE753" t="s">
        <v>389</v>
      </c>
      <c r="BF753" t="str">
        <f>"31.89"</f>
        <v>31.89</v>
      </c>
      <c r="BG753" t="str">
        <f>"31.89"</f>
        <v>31.89</v>
      </c>
      <c r="BH753" t="str">
        <f>"32.28"</f>
        <v>32.28</v>
      </c>
      <c r="BI753" t="str">
        <f>"66.14"</f>
        <v>66.14</v>
      </c>
      <c r="BY753" t="str">
        <f>"19"</f>
        <v>19</v>
      </c>
      <c r="BZ753" t="str">
        <f>"0.538"</f>
        <v>0.538</v>
      </c>
      <c r="CA753" t="s">
        <v>431</v>
      </c>
      <c r="CH753" t="s">
        <v>601</v>
      </c>
      <c r="CI753" t="s">
        <v>448</v>
      </c>
      <c r="CJ753" t="s">
        <v>14249</v>
      </c>
      <c r="CK753" t="s">
        <v>601</v>
      </c>
      <c r="CL753" t="s">
        <v>14250</v>
      </c>
      <c r="CN753">
        <v>0</v>
      </c>
      <c r="CO753">
        <v>1</v>
      </c>
      <c r="CP753" t="s">
        <v>437</v>
      </c>
      <c r="CQ753" t="s">
        <v>631</v>
      </c>
      <c r="CX753" t="s">
        <v>403</v>
      </c>
      <c r="CY753" t="s">
        <v>400</v>
      </c>
      <c r="CZ753">
        <v>0</v>
      </c>
      <c r="DD753">
        <v>25000</v>
      </c>
      <c r="DE753" t="s">
        <v>439</v>
      </c>
      <c r="DF753" t="s">
        <v>632</v>
      </c>
      <c r="DG753" t="s">
        <v>2380</v>
      </c>
      <c r="DH753">
        <v>1</v>
      </c>
      <c r="DI753">
        <v>1</v>
      </c>
      <c r="DK753" t="s">
        <v>14251</v>
      </c>
      <c r="DL753">
        <v>0</v>
      </c>
      <c r="DM753" t="s">
        <v>538</v>
      </c>
      <c r="DN753" t="s">
        <v>1092</v>
      </c>
      <c r="DO753" t="s">
        <v>9335</v>
      </c>
      <c r="DP753" t="s">
        <v>1510</v>
      </c>
      <c r="DT753" t="s">
        <v>7985</v>
      </c>
      <c r="DX753" t="s">
        <v>640</v>
      </c>
      <c r="DY753" t="s">
        <v>5072</v>
      </c>
      <c r="DZ753" t="s">
        <v>796</v>
      </c>
      <c r="EA753" t="s">
        <v>14252</v>
      </c>
      <c r="ED753" t="s">
        <v>632</v>
      </c>
      <c r="EG753" t="s">
        <v>641</v>
      </c>
      <c r="EP753" t="s">
        <v>791</v>
      </c>
      <c r="EQ753" t="s">
        <v>14249</v>
      </c>
      <c r="ER753">
        <v>0</v>
      </c>
      <c r="ES753">
        <v>0</v>
      </c>
      <c r="EU753">
        <v>0</v>
      </c>
    </row>
    <row r="754" spans="1:287" x14ac:dyDescent="0.25">
      <c r="A754" t="s">
        <v>14269</v>
      </c>
      <c r="B754" t="str">
        <f>"801542192457"</f>
        <v>801542192457</v>
      </c>
      <c r="C754" t="s">
        <v>14270</v>
      </c>
      <c r="D754" t="s">
        <v>835</v>
      </c>
      <c r="E754" t="s">
        <v>515</v>
      </c>
      <c r="F754" t="s">
        <v>516</v>
      </c>
      <c r="G754" t="str">
        <f>"44"</f>
        <v>44</v>
      </c>
      <c r="H754" t="str">
        <f>"35"</f>
        <v>35</v>
      </c>
      <c r="I754" t="str">
        <f>"28.5"</f>
        <v>28.5</v>
      </c>
      <c r="J754" t="str">
        <f>"72.75"</f>
        <v>72.75</v>
      </c>
      <c r="K754" t="s">
        <v>14271</v>
      </c>
      <c r="L754" t="s">
        <v>2550</v>
      </c>
      <c r="N754" t="s">
        <v>1170</v>
      </c>
      <c r="O754" t="s">
        <v>2269</v>
      </c>
      <c r="P754" t="s">
        <v>775</v>
      </c>
      <c r="T754" t="s">
        <v>373</v>
      </c>
      <c r="U754" t="s">
        <v>402</v>
      </c>
      <c r="W754" t="s">
        <v>14272</v>
      </c>
      <c r="X754" t="s">
        <v>14273</v>
      </c>
      <c r="Y754" t="s">
        <v>14274</v>
      </c>
      <c r="Z754" t="s">
        <v>14275</v>
      </c>
      <c r="AA754" t="s">
        <v>14276</v>
      </c>
      <c r="AB754" t="s">
        <v>14277</v>
      </c>
      <c r="AC754" t="s">
        <v>14278</v>
      </c>
      <c r="AD754" t="s">
        <v>14279</v>
      </c>
      <c r="AE754" t="s">
        <v>14280</v>
      </c>
      <c r="AF754" t="s">
        <v>14281</v>
      </c>
      <c r="AG754" t="s">
        <v>14282</v>
      </c>
      <c r="AH754" t="s">
        <v>14283</v>
      </c>
      <c r="AI754" t="s">
        <v>14284</v>
      </c>
      <c r="AJ754" t="s">
        <v>14285</v>
      </c>
      <c r="BA754" t="str">
        <f>"1349"</f>
        <v>1349</v>
      </c>
      <c r="BB754" t="str">
        <f>"570"</f>
        <v>570</v>
      </c>
      <c r="BC754" t="s">
        <v>388</v>
      </c>
      <c r="BD754" t="str">
        <f t="shared" si="165"/>
        <v>1</v>
      </c>
      <c r="BE754" t="s">
        <v>389</v>
      </c>
      <c r="BF754" t="str">
        <f>"44.88"</f>
        <v>44.88</v>
      </c>
      <c r="BG754" t="str">
        <f>"37.01"</f>
        <v>37.01</v>
      </c>
      <c r="BH754" t="str">
        <f>"31.5"</f>
        <v>31.5</v>
      </c>
      <c r="BI754" t="str">
        <f>"97"</f>
        <v>97</v>
      </c>
      <c r="BY754" t="str">
        <f>"30.26"</f>
        <v>30.26</v>
      </c>
      <c r="BZ754" t="str">
        <f>"0.857"</f>
        <v>0.857</v>
      </c>
      <c r="CA754" t="s">
        <v>390</v>
      </c>
      <c r="CK754" t="s">
        <v>1553</v>
      </c>
      <c r="CL754" t="s">
        <v>981</v>
      </c>
      <c r="CN754">
        <v>0</v>
      </c>
      <c r="CO754">
        <v>1</v>
      </c>
      <c r="CP754" t="s">
        <v>437</v>
      </c>
      <c r="CQ754" t="s">
        <v>631</v>
      </c>
      <c r="CX754" t="s">
        <v>403</v>
      </c>
      <c r="CY754" t="s">
        <v>400</v>
      </c>
      <c r="CZ754">
        <v>0</v>
      </c>
      <c r="DD754">
        <v>25000</v>
      </c>
      <c r="DE754" t="s">
        <v>439</v>
      </c>
      <c r="DF754" t="s">
        <v>632</v>
      </c>
      <c r="DH754">
        <v>1</v>
      </c>
      <c r="DI754">
        <v>1</v>
      </c>
      <c r="DK754" t="s">
        <v>14286</v>
      </c>
      <c r="DL754">
        <v>0</v>
      </c>
      <c r="DM754" t="s">
        <v>538</v>
      </c>
      <c r="DN754" t="s">
        <v>855</v>
      </c>
      <c r="DO754" t="s">
        <v>2908</v>
      </c>
      <c r="DP754" t="s">
        <v>449</v>
      </c>
      <c r="DT754" t="s">
        <v>635</v>
      </c>
      <c r="DX754" t="s">
        <v>1489</v>
      </c>
      <c r="DY754" t="s">
        <v>3020</v>
      </c>
      <c r="DZ754" t="s">
        <v>13919</v>
      </c>
      <c r="EA754" t="s">
        <v>2908</v>
      </c>
      <c r="ED754" t="s">
        <v>632</v>
      </c>
      <c r="EG754" t="s">
        <v>1513</v>
      </c>
      <c r="EP754" t="s">
        <v>791</v>
      </c>
      <c r="EQ754" t="s">
        <v>9483</v>
      </c>
      <c r="ER754">
        <v>0</v>
      </c>
      <c r="ES754">
        <v>0</v>
      </c>
      <c r="EU754">
        <v>0</v>
      </c>
    </row>
    <row r="755" spans="1:287" x14ac:dyDescent="0.25">
      <c r="A755" t="s">
        <v>14287</v>
      </c>
      <c r="B755" t="str">
        <f>"801542803445"</f>
        <v>801542803445</v>
      </c>
      <c r="C755" t="s">
        <v>14288</v>
      </c>
      <c r="D755" t="s">
        <v>835</v>
      </c>
      <c r="E755" t="s">
        <v>2388</v>
      </c>
      <c r="G755" t="str">
        <f t="shared" ref="G755:H761" si="166">"36"</f>
        <v>36</v>
      </c>
      <c r="H755" t="str">
        <f t="shared" si="166"/>
        <v>36</v>
      </c>
      <c r="I755" t="str">
        <f t="shared" ref="I755:I761" si="167">"16"</f>
        <v>16</v>
      </c>
      <c r="J755" t="str">
        <f t="shared" ref="J755:J761" si="168">"47.4"</f>
        <v>47.4</v>
      </c>
      <c r="K755" t="s">
        <v>2294</v>
      </c>
      <c r="L755" t="s">
        <v>585</v>
      </c>
      <c r="N755" t="s">
        <v>1170</v>
      </c>
      <c r="O755" t="s">
        <v>2269</v>
      </c>
      <c r="P755" t="s">
        <v>775</v>
      </c>
      <c r="T755" t="s">
        <v>373</v>
      </c>
      <c r="U755" t="s">
        <v>402</v>
      </c>
      <c r="V755" t="s">
        <v>14289</v>
      </c>
      <c r="W755" t="s">
        <v>14290</v>
      </c>
      <c r="X755" t="s">
        <v>14291</v>
      </c>
      <c r="Y755" t="s">
        <v>14292</v>
      </c>
      <c r="Z755" t="s">
        <v>14293</v>
      </c>
      <c r="AA755" t="s">
        <v>14294</v>
      </c>
      <c r="AB755" t="s">
        <v>14295</v>
      </c>
      <c r="AC755" t="s">
        <v>14296</v>
      </c>
      <c r="AD755" t="s">
        <v>14297</v>
      </c>
      <c r="AE755" t="s">
        <v>14298</v>
      </c>
      <c r="AF755" t="s">
        <v>14299</v>
      </c>
      <c r="BA755" t="str">
        <f>"749"</f>
        <v>749</v>
      </c>
      <c r="BB755" t="str">
        <f>"315"</f>
        <v>315</v>
      </c>
      <c r="BC755" t="s">
        <v>388</v>
      </c>
      <c r="BD755" t="str">
        <f t="shared" si="165"/>
        <v>1</v>
      </c>
      <c r="BE755" t="s">
        <v>389</v>
      </c>
      <c r="BF755" t="str">
        <f t="shared" ref="BF755:BG761" si="169">"37.4"</f>
        <v>37.4</v>
      </c>
      <c r="BG755" t="str">
        <f t="shared" si="169"/>
        <v>37.4</v>
      </c>
      <c r="BH755" t="str">
        <f t="shared" ref="BH755:BH761" si="170">"18.11"</f>
        <v>18.11</v>
      </c>
      <c r="BI755" t="str">
        <f t="shared" ref="BI755:BI761" si="171">"63.93"</f>
        <v>63.93</v>
      </c>
      <c r="BY755" t="str">
        <f t="shared" ref="BY755:BY761" si="172">"14.66"</f>
        <v>14.66</v>
      </c>
      <c r="BZ755" t="str">
        <f t="shared" ref="BZ755:BZ761" si="173">"0.415"</f>
        <v>0.415</v>
      </c>
      <c r="CA755" t="s">
        <v>390</v>
      </c>
      <c r="CK755" t="s">
        <v>859</v>
      </c>
      <c r="CL755" t="s">
        <v>474</v>
      </c>
      <c r="CM755" t="s">
        <v>859</v>
      </c>
      <c r="CO755">
        <v>0</v>
      </c>
      <c r="CQ755" t="s">
        <v>631</v>
      </c>
      <c r="CX755" t="s">
        <v>953</v>
      </c>
      <c r="CY755" t="s">
        <v>400</v>
      </c>
      <c r="CZ755">
        <v>0</v>
      </c>
      <c r="DD755">
        <v>25000</v>
      </c>
      <c r="DE755" t="s">
        <v>439</v>
      </c>
      <c r="DF755" t="s">
        <v>632</v>
      </c>
      <c r="DG755" t="s">
        <v>1808</v>
      </c>
      <c r="DH755">
        <v>1</v>
      </c>
      <c r="DI755">
        <v>1</v>
      </c>
      <c r="DJ755" t="s">
        <v>1132</v>
      </c>
      <c r="DK755" t="s">
        <v>2399</v>
      </c>
      <c r="DL755">
        <v>0</v>
      </c>
      <c r="DM755" t="s">
        <v>538</v>
      </c>
      <c r="DX755" t="s">
        <v>2241</v>
      </c>
      <c r="EG755" t="s">
        <v>2029</v>
      </c>
      <c r="EM755" t="s">
        <v>402</v>
      </c>
    </row>
    <row r="756" spans="1:287" x14ac:dyDescent="0.25">
      <c r="A756" t="s">
        <v>14300</v>
      </c>
      <c r="B756" t="str">
        <f>"801542803452"</f>
        <v>801542803452</v>
      </c>
      <c r="C756" t="s">
        <v>14301</v>
      </c>
      <c r="D756" t="s">
        <v>835</v>
      </c>
      <c r="E756" t="s">
        <v>2388</v>
      </c>
      <c r="G756" t="str">
        <f t="shared" si="166"/>
        <v>36</v>
      </c>
      <c r="H756" t="str">
        <f t="shared" si="166"/>
        <v>36</v>
      </c>
      <c r="I756" t="str">
        <f t="shared" si="167"/>
        <v>16</v>
      </c>
      <c r="J756" t="str">
        <f t="shared" si="168"/>
        <v>47.4</v>
      </c>
      <c r="K756" t="s">
        <v>2434</v>
      </c>
      <c r="L756" t="s">
        <v>585</v>
      </c>
      <c r="N756" t="s">
        <v>416</v>
      </c>
      <c r="O756" t="s">
        <v>775</v>
      </c>
      <c r="T756" t="s">
        <v>373</v>
      </c>
      <c r="U756" t="s">
        <v>373</v>
      </c>
      <c r="V756" t="s">
        <v>14302</v>
      </c>
      <c r="W756" t="s">
        <v>14303</v>
      </c>
      <c r="X756" t="s">
        <v>14304</v>
      </c>
      <c r="Y756" t="s">
        <v>14305</v>
      </c>
      <c r="Z756" t="s">
        <v>14306</v>
      </c>
      <c r="AA756" t="s">
        <v>14307</v>
      </c>
      <c r="AB756" t="s">
        <v>14308</v>
      </c>
      <c r="AC756" t="s">
        <v>14309</v>
      </c>
      <c r="AD756" t="s">
        <v>14310</v>
      </c>
      <c r="BA756" t="str">
        <f>"1249"</f>
        <v>1249</v>
      </c>
      <c r="BB756" t="str">
        <f>"525"</f>
        <v>525</v>
      </c>
      <c r="BC756" t="s">
        <v>388</v>
      </c>
      <c r="BD756" t="str">
        <f t="shared" si="165"/>
        <v>1</v>
      </c>
      <c r="BE756" t="s">
        <v>389</v>
      </c>
      <c r="BF756" t="str">
        <f t="shared" si="169"/>
        <v>37.4</v>
      </c>
      <c r="BG756" t="str">
        <f t="shared" si="169"/>
        <v>37.4</v>
      </c>
      <c r="BH756" t="str">
        <f t="shared" si="170"/>
        <v>18.11</v>
      </c>
      <c r="BI756" t="str">
        <f t="shared" si="171"/>
        <v>63.93</v>
      </c>
      <c r="BY756" t="str">
        <f t="shared" si="172"/>
        <v>14.66</v>
      </c>
      <c r="BZ756" t="str">
        <f t="shared" si="173"/>
        <v>0.415</v>
      </c>
      <c r="CA756" t="s">
        <v>390</v>
      </c>
      <c r="CK756" t="s">
        <v>859</v>
      </c>
      <c r="CL756" t="s">
        <v>474</v>
      </c>
      <c r="CM756" t="s">
        <v>859</v>
      </c>
      <c r="CO756">
        <v>0</v>
      </c>
      <c r="CQ756" t="s">
        <v>438</v>
      </c>
      <c r="CX756" t="s">
        <v>953</v>
      </c>
      <c r="CY756" t="s">
        <v>400</v>
      </c>
      <c r="CZ756">
        <v>0</v>
      </c>
      <c r="DD756">
        <v>0</v>
      </c>
      <c r="DE756" t="s">
        <v>439</v>
      </c>
      <c r="DF756" t="s">
        <v>632</v>
      </c>
      <c r="DG756" t="s">
        <v>1808</v>
      </c>
      <c r="DH756">
        <v>1</v>
      </c>
      <c r="DI756">
        <v>1</v>
      </c>
      <c r="DJ756" t="s">
        <v>1132</v>
      </c>
      <c r="DK756" t="s">
        <v>2399</v>
      </c>
      <c r="DL756">
        <v>0</v>
      </c>
      <c r="DM756" t="s">
        <v>538</v>
      </c>
      <c r="DX756" t="s">
        <v>2241</v>
      </c>
      <c r="EG756" t="s">
        <v>2029</v>
      </c>
      <c r="EM756" t="s">
        <v>402</v>
      </c>
    </row>
    <row r="757" spans="1:287" x14ac:dyDescent="0.25">
      <c r="A757" t="s">
        <v>14311</v>
      </c>
      <c r="B757" t="str">
        <f>"801542204969"</f>
        <v>801542204969</v>
      </c>
      <c r="C757" t="s">
        <v>14312</v>
      </c>
      <c r="D757" t="s">
        <v>835</v>
      </c>
      <c r="E757" t="s">
        <v>2388</v>
      </c>
      <c r="G757" t="str">
        <f t="shared" si="166"/>
        <v>36</v>
      </c>
      <c r="H757" t="str">
        <f t="shared" si="166"/>
        <v>36</v>
      </c>
      <c r="I757" t="str">
        <f t="shared" si="167"/>
        <v>16</v>
      </c>
      <c r="J757" t="str">
        <f t="shared" si="168"/>
        <v>47.4</v>
      </c>
      <c r="K757" t="s">
        <v>14313</v>
      </c>
      <c r="L757" t="s">
        <v>1857</v>
      </c>
      <c r="N757" t="s">
        <v>1949</v>
      </c>
      <c r="O757" t="s">
        <v>14314</v>
      </c>
      <c r="P757" t="s">
        <v>775</v>
      </c>
      <c r="T757" t="s">
        <v>373</v>
      </c>
      <c r="U757" t="s">
        <v>402</v>
      </c>
      <c r="V757" t="s">
        <v>14315</v>
      </c>
      <c r="W757" t="s">
        <v>14316</v>
      </c>
      <c r="X757" t="s">
        <v>14317</v>
      </c>
      <c r="Y757" t="s">
        <v>14318</v>
      </c>
      <c r="Z757" t="s">
        <v>14319</v>
      </c>
      <c r="AA757" t="s">
        <v>14320</v>
      </c>
      <c r="AB757" t="s">
        <v>14321</v>
      </c>
      <c r="AC757" t="s">
        <v>14322</v>
      </c>
      <c r="AD757" t="s">
        <v>14323</v>
      </c>
      <c r="AE757" t="s">
        <v>14324</v>
      </c>
      <c r="AF757" t="s">
        <v>14325</v>
      </c>
      <c r="AG757" t="s">
        <v>14326</v>
      </c>
      <c r="AH757" t="s">
        <v>14327</v>
      </c>
      <c r="AI757" t="s">
        <v>14328</v>
      </c>
      <c r="BA757" t="str">
        <f>"849"</f>
        <v>849</v>
      </c>
      <c r="BB757" t="str">
        <f>"360"</f>
        <v>360</v>
      </c>
      <c r="BC757" t="s">
        <v>388</v>
      </c>
      <c r="BD757" t="str">
        <f t="shared" si="165"/>
        <v>1</v>
      </c>
      <c r="BE757" t="s">
        <v>389</v>
      </c>
      <c r="BF757" t="str">
        <f t="shared" si="169"/>
        <v>37.4</v>
      </c>
      <c r="BG757" t="str">
        <f t="shared" si="169"/>
        <v>37.4</v>
      </c>
      <c r="BH757" t="str">
        <f t="shared" si="170"/>
        <v>18.11</v>
      </c>
      <c r="BI757" t="str">
        <f t="shared" si="171"/>
        <v>63.93</v>
      </c>
      <c r="BY757" t="str">
        <f t="shared" si="172"/>
        <v>14.66</v>
      </c>
      <c r="BZ757" t="str">
        <f t="shared" si="173"/>
        <v>0.415</v>
      </c>
      <c r="CA757" t="s">
        <v>390</v>
      </c>
      <c r="CK757" t="s">
        <v>859</v>
      </c>
      <c r="CL757" t="s">
        <v>474</v>
      </c>
      <c r="CM757" t="s">
        <v>859</v>
      </c>
      <c r="CO757">
        <v>0</v>
      </c>
      <c r="CQ757" t="s">
        <v>631</v>
      </c>
      <c r="CX757" t="s">
        <v>953</v>
      </c>
      <c r="CY757" t="s">
        <v>400</v>
      </c>
      <c r="CZ757">
        <v>0</v>
      </c>
      <c r="DD757">
        <v>25000</v>
      </c>
      <c r="DE757" t="s">
        <v>439</v>
      </c>
      <c r="DF757" t="s">
        <v>632</v>
      </c>
      <c r="DG757" t="s">
        <v>1808</v>
      </c>
      <c r="DH757">
        <v>1</v>
      </c>
      <c r="DI757">
        <v>1</v>
      </c>
      <c r="DJ757" t="s">
        <v>1132</v>
      </c>
      <c r="DK757" t="s">
        <v>2399</v>
      </c>
      <c r="DL757">
        <v>0</v>
      </c>
      <c r="DM757" t="s">
        <v>538</v>
      </c>
      <c r="DX757" t="s">
        <v>2241</v>
      </c>
      <c r="EG757" t="s">
        <v>2029</v>
      </c>
      <c r="EM757" t="s">
        <v>402</v>
      </c>
    </row>
    <row r="758" spans="1:287" x14ac:dyDescent="0.25">
      <c r="A758" t="s">
        <v>14329</v>
      </c>
      <c r="B758" t="str">
        <f>"801542364502"</f>
        <v>801542364502</v>
      </c>
      <c r="C758" t="s">
        <v>14330</v>
      </c>
      <c r="D758" t="s">
        <v>835</v>
      </c>
      <c r="E758" t="s">
        <v>2388</v>
      </c>
      <c r="G758" t="str">
        <f t="shared" si="166"/>
        <v>36</v>
      </c>
      <c r="H758" t="str">
        <f t="shared" si="166"/>
        <v>36</v>
      </c>
      <c r="I758" t="str">
        <f t="shared" si="167"/>
        <v>16</v>
      </c>
      <c r="J758" t="str">
        <f t="shared" si="168"/>
        <v>47.4</v>
      </c>
      <c r="K758" t="s">
        <v>7879</v>
      </c>
      <c r="L758" t="s">
        <v>1857</v>
      </c>
      <c r="N758" t="s">
        <v>7880</v>
      </c>
      <c r="O758" t="s">
        <v>7881</v>
      </c>
      <c r="P758" t="s">
        <v>7882</v>
      </c>
      <c r="Q758" t="s">
        <v>775</v>
      </c>
      <c r="T758" t="s">
        <v>373</v>
      </c>
      <c r="U758" t="s">
        <v>373</v>
      </c>
      <c r="V758" t="s">
        <v>14331</v>
      </c>
      <c r="W758" t="s">
        <v>14332</v>
      </c>
      <c r="X758" t="s">
        <v>14333</v>
      </c>
      <c r="Y758" t="s">
        <v>14334</v>
      </c>
      <c r="Z758" t="s">
        <v>14335</v>
      </c>
      <c r="AA758" t="s">
        <v>14336</v>
      </c>
      <c r="AB758" t="s">
        <v>14337</v>
      </c>
      <c r="AC758" t="s">
        <v>14338</v>
      </c>
      <c r="AD758" t="s">
        <v>14339</v>
      </c>
      <c r="AE758" t="s">
        <v>14340</v>
      </c>
      <c r="AF758" t="s">
        <v>14341</v>
      </c>
      <c r="BA758" t="str">
        <f>"949"</f>
        <v>949</v>
      </c>
      <c r="BB758" t="str">
        <f>"400"</f>
        <v>400</v>
      </c>
      <c r="BC758" t="s">
        <v>388</v>
      </c>
      <c r="BD758" t="str">
        <f t="shared" si="165"/>
        <v>1</v>
      </c>
      <c r="BE758" t="s">
        <v>389</v>
      </c>
      <c r="BF758" t="str">
        <f t="shared" si="169"/>
        <v>37.4</v>
      </c>
      <c r="BG758" t="str">
        <f t="shared" si="169"/>
        <v>37.4</v>
      </c>
      <c r="BH758" t="str">
        <f t="shared" si="170"/>
        <v>18.11</v>
      </c>
      <c r="BI758" t="str">
        <f t="shared" si="171"/>
        <v>63.93</v>
      </c>
      <c r="BY758" t="str">
        <f t="shared" si="172"/>
        <v>14.66</v>
      </c>
      <c r="BZ758" t="str">
        <f t="shared" si="173"/>
        <v>0.415</v>
      </c>
      <c r="CA758" t="s">
        <v>495</v>
      </c>
      <c r="CK758" t="s">
        <v>859</v>
      </c>
      <c r="CL758" t="s">
        <v>474</v>
      </c>
      <c r="CM758" t="s">
        <v>859</v>
      </c>
      <c r="CO758">
        <v>0</v>
      </c>
      <c r="CQ758" t="s">
        <v>1152</v>
      </c>
      <c r="CX758" t="s">
        <v>953</v>
      </c>
      <c r="CY758" t="s">
        <v>400</v>
      </c>
      <c r="CZ758">
        <v>0</v>
      </c>
      <c r="DD758">
        <v>50000</v>
      </c>
      <c r="DE758" t="s">
        <v>439</v>
      </c>
      <c r="DF758" t="s">
        <v>632</v>
      </c>
      <c r="DG758" t="s">
        <v>1808</v>
      </c>
      <c r="DH758">
        <v>1</v>
      </c>
      <c r="DI758">
        <v>1</v>
      </c>
      <c r="DJ758" t="s">
        <v>1132</v>
      </c>
      <c r="DK758" t="s">
        <v>2399</v>
      </c>
      <c r="DL758">
        <v>0</v>
      </c>
      <c r="DM758" t="s">
        <v>538</v>
      </c>
      <c r="DX758" t="s">
        <v>2241</v>
      </c>
      <c r="EG758" t="s">
        <v>2029</v>
      </c>
      <c r="EM758" t="s">
        <v>402</v>
      </c>
    </row>
    <row r="759" spans="1:287" x14ac:dyDescent="0.25">
      <c r="A759" t="s">
        <v>14342</v>
      </c>
      <c r="B759" t="str">
        <f>"801542331061"</f>
        <v>801542331061</v>
      </c>
      <c r="C759" t="s">
        <v>14343</v>
      </c>
      <c r="D759" t="s">
        <v>835</v>
      </c>
      <c r="E759" t="s">
        <v>2388</v>
      </c>
      <c r="G759" t="str">
        <f t="shared" si="166"/>
        <v>36</v>
      </c>
      <c r="H759" t="str">
        <f t="shared" si="166"/>
        <v>36</v>
      </c>
      <c r="I759" t="str">
        <f t="shared" si="167"/>
        <v>16</v>
      </c>
      <c r="J759" t="str">
        <f t="shared" si="168"/>
        <v>47.4</v>
      </c>
      <c r="K759" t="s">
        <v>2447</v>
      </c>
      <c r="L759" t="s">
        <v>1857</v>
      </c>
      <c r="N759" t="s">
        <v>2448</v>
      </c>
      <c r="O759" t="s">
        <v>775</v>
      </c>
      <c r="T759" t="s">
        <v>373</v>
      </c>
      <c r="U759" t="s">
        <v>373</v>
      </c>
      <c r="V759" t="s">
        <v>14344</v>
      </c>
      <c r="W759" t="s">
        <v>14345</v>
      </c>
      <c r="X759" t="s">
        <v>14346</v>
      </c>
      <c r="Y759" t="s">
        <v>14347</v>
      </c>
      <c r="Z759" t="s">
        <v>14348</v>
      </c>
      <c r="AA759" t="s">
        <v>14349</v>
      </c>
      <c r="AB759" t="s">
        <v>14350</v>
      </c>
      <c r="AC759" t="s">
        <v>14351</v>
      </c>
      <c r="AD759" t="s">
        <v>14352</v>
      </c>
      <c r="AE759" t="s">
        <v>14353</v>
      </c>
      <c r="AF759" t="s">
        <v>14354</v>
      </c>
      <c r="BA759" t="str">
        <f>"899"</f>
        <v>899</v>
      </c>
      <c r="BB759" t="str">
        <f>"380"</f>
        <v>380</v>
      </c>
      <c r="BC759" t="s">
        <v>388</v>
      </c>
      <c r="BD759" t="str">
        <f t="shared" si="165"/>
        <v>1</v>
      </c>
      <c r="BE759" t="s">
        <v>389</v>
      </c>
      <c r="BF759" t="str">
        <f t="shared" si="169"/>
        <v>37.4</v>
      </c>
      <c r="BG759" t="str">
        <f t="shared" si="169"/>
        <v>37.4</v>
      </c>
      <c r="BH759" t="str">
        <f t="shared" si="170"/>
        <v>18.11</v>
      </c>
      <c r="BI759" t="str">
        <f t="shared" si="171"/>
        <v>63.93</v>
      </c>
      <c r="BY759" t="str">
        <f t="shared" si="172"/>
        <v>14.66</v>
      </c>
      <c r="BZ759" t="str">
        <f t="shared" si="173"/>
        <v>0.415</v>
      </c>
      <c r="CA759" t="s">
        <v>390</v>
      </c>
      <c r="CK759" t="s">
        <v>859</v>
      </c>
      <c r="CL759" t="s">
        <v>474</v>
      </c>
      <c r="CM759" t="s">
        <v>859</v>
      </c>
      <c r="CO759">
        <v>0</v>
      </c>
      <c r="CQ759" t="s">
        <v>631</v>
      </c>
      <c r="CX759" t="s">
        <v>953</v>
      </c>
      <c r="CY759" t="s">
        <v>400</v>
      </c>
      <c r="CZ759">
        <v>0</v>
      </c>
      <c r="DD759">
        <v>15000</v>
      </c>
      <c r="DE759" t="s">
        <v>439</v>
      </c>
      <c r="DF759" t="s">
        <v>632</v>
      </c>
      <c r="DG759" t="s">
        <v>1808</v>
      </c>
      <c r="DH759">
        <v>1</v>
      </c>
      <c r="DI759">
        <v>1</v>
      </c>
      <c r="DJ759" t="s">
        <v>1132</v>
      </c>
      <c r="DK759" t="s">
        <v>2399</v>
      </c>
      <c r="DL759">
        <v>0</v>
      </c>
      <c r="DM759" t="s">
        <v>538</v>
      </c>
      <c r="DX759" t="s">
        <v>2241</v>
      </c>
      <c r="EG759" t="s">
        <v>2029</v>
      </c>
      <c r="EM759" t="s">
        <v>402</v>
      </c>
    </row>
    <row r="760" spans="1:287" x14ac:dyDescent="0.25">
      <c r="A760" t="s">
        <v>14355</v>
      </c>
      <c r="B760" t="str">
        <f>"801542331535"</f>
        <v>801542331535</v>
      </c>
      <c r="C760" t="s">
        <v>14356</v>
      </c>
      <c r="D760" t="s">
        <v>835</v>
      </c>
      <c r="E760" t="s">
        <v>2388</v>
      </c>
      <c r="G760" t="str">
        <f t="shared" si="166"/>
        <v>36</v>
      </c>
      <c r="H760" t="str">
        <f t="shared" si="166"/>
        <v>36</v>
      </c>
      <c r="I760" t="str">
        <f t="shared" si="167"/>
        <v>16</v>
      </c>
      <c r="J760" t="str">
        <f t="shared" si="168"/>
        <v>47.4</v>
      </c>
      <c r="K760" t="s">
        <v>2833</v>
      </c>
      <c r="L760" t="s">
        <v>1857</v>
      </c>
      <c r="N760" t="s">
        <v>1793</v>
      </c>
      <c r="O760" t="s">
        <v>1794</v>
      </c>
      <c r="P760" t="s">
        <v>775</v>
      </c>
      <c r="T760" t="s">
        <v>373</v>
      </c>
      <c r="U760" t="s">
        <v>373</v>
      </c>
      <c r="V760" t="s">
        <v>14357</v>
      </c>
      <c r="W760" t="s">
        <v>14358</v>
      </c>
      <c r="X760" t="s">
        <v>14359</v>
      </c>
      <c r="Y760" t="s">
        <v>14360</v>
      </c>
      <c r="Z760" t="s">
        <v>14361</v>
      </c>
      <c r="AA760" t="s">
        <v>14362</v>
      </c>
      <c r="AB760" t="s">
        <v>14363</v>
      </c>
      <c r="AC760" t="s">
        <v>14364</v>
      </c>
      <c r="AD760" t="s">
        <v>14365</v>
      </c>
      <c r="AE760" t="s">
        <v>14366</v>
      </c>
      <c r="AF760" t="s">
        <v>14367</v>
      </c>
      <c r="BA760" t="str">
        <f>"799"</f>
        <v>799</v>
      </c>
      <c r="BB760" t="str">
        <f>"340"</f>
        <v>340</v>
      </c>
      <c r="BC760" t="s">
        <v>388</v>
      </c>
      <c r="BD760" t="str">
        <f t="shared" si="165"/>
        <v>1</v>
      </c>
      <c r="BE760" t="s">
        <v>389</v>
      </c>
      <c r="BF760" t="str">
        <f t="shared" si="169"/>
        <v>37.4</v>
      </c>
      <c r="BG760" t="str">
        <f t="shared" si="169"/>
        <v>37.4</v>
      </c>
      <c r="BH760" t="str">
        <f t="shared" si="170"/>
        <v>18.11</v>
      </c>
      <c r="BI760" t="str">
        <f t="shared" si="171"/>
        <v>63.93</v>
      </c>
      <c r="BY760" t="str">
        <f t="shared" si="172"/>
        <v>14.66</v>
      </c>
      <c r="BZ760" t="str">
        <f t="shared" si="173"/>
        <v>0.415</v>
      </c>
      <c r="CA760" t="s">
        <v>390</v>
      </c>
      <c r="CK760" t="s">
        <v>859</v>
      </c>
      <c r="CL760" t="s">
        <v>474</v>
      </c>
      <c r="CM760" t="s">
        <v>859</v>
      </c>
      <c r="CO760">
        <v>0</v>
      </c>
      <c r="CQ760" t="s">
        <v>438</v>
      </c>
      <c r="CX760" t="s">
        <v>953</v>
      </c>
      <c r="CY760" t="s">
        <v>400</v>
      </c>
      <c r="CZ760">
        <v>0</v>
      </c>
      <c r="DD760">
        <v>30000</v>
      </c>
      <c r="DE760" t="s">
        <v>439</v>
      </c>
      <c r="DF760" t="s">
        <v>632</v>
      </c>
      <c r="DG760" t="s">
        <v>1808</v>
      </c>
      <c r="DH760">
        <v>1</v>
      </c>
      <c r="DI760">
        <v>1</v>
      </c>
      <c r="DJ760" t="s">
        <v>1132</v>
      </c>
      <c r="DK760" t="s">
        <v>2399</v>
      </c>
      <c r="DL760">
        <v>0</v>
      </c>
      <c r="DM760" t="s">
        <v>538</v>
      </c>
      <c r="DX760" t="s">
        <v>2241</v>
      </c>
      <c r="EG760" t="s">
        <v>2029</v>
      </c>
      <c r="EM760" t="s">
        <v>402</v>
      </c>
    </row>
    <row r="761" spans="1:287" x14ac:dyDescent="0.25">
      <c r="A761" t="s">
        <v>14368</v>
      </c>
      <c r="B761" t="str">
        <f>"801542830229"</f>
        <v>801542830229</v>
      </c>
      <c r="C761" t="s">
        <v>14369</v>
      </c>
      <c r="D761" t="s">
        <v>835</v>
      </c>
      <c r="E761" t="s">
        <v>2388</v>
      </c>
      <c r="G761" t="str">
        <f t="shared" si="166"/>
        <v>36</v>
      </c>
      <c r="H761" t="str">
        <f t="shared" si="166"/>
        <v>36</v>
      </c>
      <c r="I761" t="str">
        <f t="shared" si="167"/>
        <v>16</v>
      </c>
      <c r="J761" t="str">
        <f t="shared" si="168"/>
        <v>47.4</v>
      </c>
      <c r="K761" t="s">
        <v>2462</v>
      </c>
      <c r="L761" t="s">
        <v>1857</v>
      </c>
      <c r="N761" t="s">
        <v>2463</v>
      </c>
      <c r="O761" t="s">
        <v>2464</v>
      </c>
      <c r="P761" t="s">
        <v>775</v>
      </c>
      <c r="T761" t="s">
        <v>373</v>
      </c>
      <c r="U761" t="s">
        <v>373</v>
      </c>
      <c r="V761" t="s">
        <v>14370</v>
      </c>
      <c r="W761" t="s">
        <v>14371</v>
      </c>
      <c r="X761" t="s">
        <v>14372</v>
      </c>
      <c r="Y761" t="s">
        <v>14373</v>
      </c>
      <c r="Z761" t="s">
        <v>14374</v>
      </c>
      <c r="AA761" t="s">
        <v>14375</v>
      </c>
      <c r="AB761" t="s">
        <v>14376</v>
      </c>
      <c r="AC761" t="s">
        <v>14377</v>
      </c>
      <c r="AD761" t="s">
        <v>14378</v>
      </c>
      <c r="AE761" t="s">
        <v>14379</v>
      </c>
      <c r="AF761" t="s">
        <v>14380</v>
      </c>
      <c r="AG761" t="s">
        <v>14381</v>
      </c>
      <c r="AH761" t="s">
        <v>14382</v>
      </c>
      <c r="BA761" t="str">
        <f>"849"</f>
        <v>849</v>
      </c>
      <c r="BB761" t="str">
        <f>"360"</f>
        <v>360</v>
      </c>
      <c r="BC761" t="s">
        <v>388</v>
      </c>
      <c r="BD761" t="str">
        <f t="shared" si="165"/>
        <v>1</v>
      </c>
      <c r="BE761" t="s">
        <v>389</v>
      </c>
      <c r="BF761" t="str">
        <f t="shared" si="169"/>
        <v>37.4</v>
      </c>
      <c r="BG761" t="str">
        <f t="shared" si="169"/>
        <v>37.4</v>
      </c>
      <c r="BH761" t="str">
        <f t="shared" si="170"/>
        <v>18.11</v>
      </c>
      <c r="BI761" t="str">
        <f t="shared" si="171"/>
        <v>63.93</v>
      </c>
      <c r="BY761" t="str">
        <f t="shared" si="172"/>
        <v>14.66</v>
      </c>
      <c r="BZ761" t="str">
        <f t="shared" si="173"/>
        <v>0.415</v>
      </c>
      <c r="CA761" t="s">
        <v>495</v>
      </c>
      <c r="CK761" t="s">
        <v>859</v>
      </c>
      <c r="CL761" t="s">
        <v>474</v>
      </c>
      <c r="CM761" t="s">
        <v>859</v>
      </c>
      <c r="CO761">
        <v>0</v>
      </c>
      <c r="CQ761" t="s">
        <v>631</v>
      </c>
      <c r="CX761" t="s">
        <v>953</v>
      </c>
      <c r="CY761" t="s">
        <v>400</v>
      </c>
      <c r="CZ761">
        <v>0</v>
      </c>
      <c r="DD761">
        <v>35000</v>
      </c>
      <c r="DE761" t="s">
        <v>439</v>
      </c>
      <c r="DF761" t="s">
        <v>632</v>
      </c>
      <c r="DG761" t="s">
        <v>1808</v>
      </c>
      <c r="DH761">
        <v>1</v>
      </c>
      <c r="DI761">
        <v>1</v>
      </c>
      <c r="DJ761" t="s">
        <v>1132</v>
      </c>
      <c r="DK761" t="s">
        <v>2399</v>
      </c>
      <c r="DL761">
        <v>0</v>
      </c>
      <c r="DM761" t="s">
        <v>538</v>
      </c>
      <c r="DX761" t="s">
        <v>2241</v>
      </c>
      <c r="EG761" t="s">
        <v>2029</v>
      </c>
      <c r="EM761" t="s">
        <v>402</v>
      </c>
    </row>
    <row r="762" spans="1:287" x14ac:dyDescent="0.25">
      <c r="A762" t="s">
        <v>14383</v>
      </c>
      <c r="B762" t="str">
        <f>"801542293512"</f>
        <v>801542293512</v>
      </c>
      <c r="C762" t="s">
        <v>14384</v>
      </c>
      <c r="D762" t="s">
        <v>769</v>
      </c>
      <c r="E762" t="s">
        <v>515</v>
      </c>
      <c r="F762" t="s">
        <v>516</v>
      </c>
      <c r="G762" t="str">
        <f>"36"</f>
        <v>36</v>
      </c>
      <c r="H762" t="str">
        <f>"40.5"</f>
        <v>40.5</v>
      </c>
      <c r="I762" t="str">
        <f>"30"</f>
        <v>30</v>
      </c>
      <c r="J762" t="str">
        <f>"76.06"</f>
        <v>76.06</v>
      </c>
      <c r="K762" t="s">
        <v>14385</v>
      </c>
      <c r="L762" t="s">
        <v>771</v>
      </c>
      <c r="N762" t="s">
        <v>416</v>
      </c>
      <c r="O762" t="s">
        <v>775</v>
      </c>
      <c r="T762" t="s">
        <v>373</v>
      </c>
      <c r="U762" t="s">
        <v>373</v>
      </c>
      <c r="V762" t="s">
        <v>14386</v>
      </c>
      <c r="W762" t="s">
        <v>14387</v>
      </c>
      <c r="X762" t="s">
        <v>14388</v>
      </c>
      <c r="Y762" t="s">
        <v>14389</v>
      </c>
      <c r="Z762" t="s">
        <v>14390</v>
      </c>
      <c r="AA762" t="s">
        <v>14391</v>
      </c>
      <c r="AB762" t="s">
        <v>14392</v>
      </c>
      <c r="AC762" t="s">
        <v>14393</v>
      </c>
      <c r="AD762" t="s">
        <v>14394</v>
      </c>
      <c r="AE762" t="s">
        <v>14395</v>
      </c>
      <c r="AF762" t="s">
        <v>14396</v>
      </c>
      <c r="AG762" t="s">
        <v>14397</v>
      </c>
      <c r="AH762" t="s">
        <v>14398</v>
      </c>
      <c r="BA762" t="str">
        <f>"2199"</f>
        <v>2199</v>
      </c>
      <c r="BB762" t="str">
        <f>"925"</f>
        <v>925</v>
      </c>
      <c r="BC762" t="s">
        <v>388</v>
      </c>
      <c r="BD762" t="str">
        <f t="shared" si="165"/>
        <v>1</v>
      </c>
      <c r="BE762" t="s">
        <v>389</v>
      </c>
      <c r="BF762" t="str">
        <f>"40.94"</f>
        <v>40.94</v>
      </c>
      <c r="BG762" t="str">
        <f>"40.16"</f>
        <v>40.16</v>
      </c>
      <c r="BH762" t="str">
        <f>"32.28"</f>
        <v>32.28</v>
      </c>
      <c r="BI762" t="str">
        <f>"100.31"</f>
        <v>100.31</v>
      </c>
      <c r="BY762" t="str">
        <f>"30.72"</f>
        <v>30.72</v>
      </c>
      <c r="BZ762" t="str">
        <f>"0.87"</f>
        <v>0.87</v>
      </c>
      <c r="CA762" t="s">
        <v>390</v>
      </c>
      <c r="CK762" t="s">
        <v>638</v>
      </c>
      <c r="CL762" t="s">
        <v>396</v>
      </c>
      <c r="CN762">
        <v>0</v>
      </c>
      <c r="CO762">
        <v>1</v>
      </c>
      <c r="CP762" t="s">
        <v>437</v>
      </c>
      <c r="CQ762" t="s">
        <v>438</v>
      </c>
      <c r="CX762" t="s">
        <v>403</v>
      </c>
      <c r="CY762" t="s">
        <v>400</v>
      </c>
      <c r="CZ762">
        <v>0</v>
      </c>
      <c r="DD762">
        <v>0</v>
      </c>
      <c r="DE762" t="s">
        <v>439</v>
      </c>
      <c r="DF762" t="s">
        <v>632</v>
      </c>
      <c r="DH762">
        <v>1</v>
      </c>
      <c r="DI762">
        <v>1</v>
      </c>
      <c r="DK762" t="s">
        <v>14399</v>
      </c>
      <c r="DL762">
        <v>0</v>
      </c>
      <c r="DM762" t="s">
        <v>538</v>
      </c>
      <c r="DN762" t="s">
        <v>600</v>
      </c>
      <c r="DO762" t="s">
        <v>797</v>
      </c>
      <c r="DP762" t="s">
        <v>1853</v>
      </c>
      <c r="DT762" t="s">
        <v>3025</v>
      </c>
      <c r="DX762" t="s">
        <v>2599</v>
      </c>
      <c r="DY762" t="s">
        <v>14400</v>
      </c>
      <c r="DZ762" t="s">
        <v>796</v>
      </c>
      <c r="EA762" t="s">
        <v>2240</v>
      </c>
      <c r="ED762" t="s">
        <v>632</v>
      </c>
      <c r="EG762" t="s">
        <v>1513</v>
      </c>
      <c r="EP762" t="s">
        <v>1510</v>
      </c>
      <c r="EQ762" t="s">
        <v>796</v>
      </c>
      <c r="ER762">
        <v>0</v>
      </c>
      <c r="ES762">
        <v>0</v>
      </c>
      <c r="EU762">
        <v>0</v>
      </c>
    </row>
    <row r="763" spans="1:287" x14ac:dyDescent="0.25">
      <c r="A763" t="s">
        <v>14401</v>
      </c>
      <c r="B763" t="str">
        <f>"801542200343"</f>
        <v>801542200343</v>
      </c>
      <c r="C763" t="s">
        <v>14402</v>
      </c>
      <c r="D763" t="s">
        <v>1224</v>
      </c>
      <c r="E763" t="s">
        <v>1077</v>
      </c>
      <c r="G763" t="str">
        <f>"70"</f>
        <v>70</v>
      </c>
      <c r="H763" t="str">
        <f>"35"</f>
        <v>35</v>
      </c>
      <c r="I763" t="str">
        <f>"15"</f>
        <v>15</v>
      </c>
      <c r="J763" t="str">
        <f>"110.67"</f>
        <v>110.67</v>
      </c>
      <c r="K763" t="s">
        <v>8690</v>
      </c>
      <c r="N763" t="s">
        <v>1463</v>
      </c>
      <c r="T763" t="s">
        <v>373</v>
      </c>
      <c r="U763" t="s">
        <v>373</v>
      </c>
      <c r="V763" t="s">
        <v>14403</v>
      </c>
      <c r="W763" t="s">
        <v>14404</v>
      </c>
      <c r="X763" t="s">
        <v>14405</v>
      </c>
      <c r="Y763" t="s">
        <v>14406</v>
      </c>
      <c r="Z763" t="s">
        <v>14407</v>
      </c>
      <c r="AA763" t="s">
        <v>14408</v>
      </c>
      <c r="AB763" t="s">
        <v>14409</v>
      </c>
      <c r="AC763" t="s">
        <v>14410</v>
      </c>
      <c r="AD763" t="s">
        <v>14411</v>
      </c>
      <c r="AE763" t="s">
        <v>14412</v>
      </c>
      <c r="AF763" t="s">
        <v>14413</v>
      </c>
      <c r="AG763" t="s">
        <v>14414</v>
      </c>
      <c r="AH763" t="s">
        <v>14415</v>
      </c>
      <c r="AI763" t="s">
        <v>14416</v>
      </c>
      <c r="BA763" t="str">
        <f>"2499"</f>
        <v>2499</v>
      </c>
      <c r="BB763" t="str">
        <f>"1050"</f>
        <v>1050</v>
      </c>
      <c r="BC763" t="s">
        <v>1149</v>
      </c>
      <c r="BD763" t="str">
        <f t="shared" si="165"/>
        <v>1</v>
      </c>
      <c r="BE763" t="s">
        <v>389</v>
      </c>
      <c r="BF763" t="str">
        <f>"75.2"</f>
        <v>75.2</v>
      </c>
      <c r="BG763" t="str">
        <f>"40.94"</f>
        <v>40.94</v>
      </c>
      <c r="BH763" t="str">
        <f>"20.87"</f>
        <v>20.87</v>
      </c>
      <c r="BI763" t="str">
        <f>"208.89"</f>
        <v>208.89</v>
      </c>
      <c r="BY763" t="str">
        <f>"37.19"</f>
        <v>37.19</v>
      </c>
      <c r="BZ763" t="str">
        <f>"1.053"</f>
        <v>1.053</v>
      </c>
      <c r="CA763" t="s">
        <v>431</v>
      </c>
      <c r="CR763" t="s">
        <v>400</v>
      </c>
      <c r="CS763">
        <v>0</v>
      </c>
      <c r="CT763" t="s">
        <v>400</v>
      </c>
      <c r="CV763">
        <v>0</v>
      </c>
      <c r="CX763" t="s">
        <v>953</v>
      </c>
      <c r="CY763" t="s">
        <v>400</v>
      </c>
      <c r="DC763">
        <v>0</v>
      </c>
      <c r="DJ763" t="s">
        <v>408</v>
      </c>
      <c r="DK763" t="s">
        <v>8337</v>
      </c>
      <c r="DM763" t="s">
        <v>473</v>
      </c>
      <c r="DX763" t="s">
        <v>830</v>
      </c>
      <c r="DY763" t="s">
        <v>1554</v>
      </c>
      <c r="DZ763" t="s">
        <v>14417</v>
      </c>
      <c r="EI763" t="s">
        <v>5405</v>
      </c>
      <c r="EJ763" t="s">
        <v>979</v>
      </c>
      <c r="EK763" t="s">
        <v>5405</v>
      </c>
      <c r="EL763" t="s">
        <v>450</v>
      </c>
      <c r="EM763" t="s">
        <v>402</v>
      </c>
      <c r="EN763">
        <v>0</v>
      </c>
      <c r="EO763">
        <v>0</v>
      </c>
    </row>
    <row r="764" spans="1:287" x14ac:dyDescent="0.25">
      <c r="A764" t="s">
        <v>14418</v>
      </c>
      <c r="B764" t="str">
        <f>"801542200916"</f>
        <v>801542200916</v>
      </c>
      <c r="C764" t="s">
        <v>14419</v>
      </c>
      <c r="D764" t="s">
        <v>1224</v>
      </c>
      <c r="E764" t="s">
        <v>1077</v>
      </c>
      <c r="G764" t="str">
        <f>"70"</f>
        <v>70</v>
      </c>
      <c r="H764" t="str">
        <f>"35"</f>
        <v>35</v>
      </c>
      <c r="I764" t="str">
        <f>"15"</f>
        <v>15</v>
      </c>
      <c r="J764" t="str">
        <f>"110.67"</f>
        <v>110.67</v>
      </c>
      <c r="K764" t="s">
        <v>8322</v>
      </c>
      <c r="N764" t="s">
        <v>1463</v>
      </c>
      <c r="T764" t="s">
        <v>373</v>
      </c>
      <c r="U764" t="s">
        <v>373</v>
      </c>
      <c r="V764" t="s">
        <v>14420</v>
      </c>
      <c r="W764" t="s">
        <v>14421</v>
      </c>
      <c r="X764" t="s">
        <v>14422</v>
      </c>
      <c r="Y764" t="s">
        <v>14423</v>
      </c>
      <c r="Z764" t="s">
        <v>14424</v>
      </c>
      <c r="AA764" t="s">
        <v>14425</v>
      </c>
      <c r="AB764" t="s">
        <v>8330</v>
      </c>
      <c r="AC764" t="s">
        <v>14426</v>
      </c>
      <c r="AD764" t="s">
        <v>14427</v>
      </c>
      <c r="AE764" t="s">
        <v>14428</v>
      </c>
      <c r="AF764" t="s">
        <v>14429</v>
      </c>
      <c r="AG764" t="s">
        <v>14430</v>
      </c>
      <c r="AH764" t="s">
        <v>14431</v>
      </c>
      <c r="AI764" t="s">
        <v>14432</v>
      </c>
      <c r="BA764" t="str">
        <f>"2499"</f>
        <v>2499</v>
      </c>
      <c r="BB764" t="str">
        <f>"1050"</f>
        <v>1050</v>
      </c>
      <c r="BC764" t="s">
        <v>1149</v>
      </c>
      <c r="BD764" t="str">
        <f t="shared" si="165"/>
        <v>1</v>
      </c>
      <c r="BE764" t="s">
        <v>389</v>
      </c>
      <c r="BF764" t="str">
        <f>"75.2"</f>
        <v>75.2</v>
      </c>
      <c r="BG764" t="str">
        <f>"40.94"</f>
        <v>40.94</v>
      </c>
      <c r="BH764" t="str">
        <f>"20.87"</f>
        <v>20.87</v>
      </c>
      <c r="BI764" t="str">
        <f>"208.89"</f>
        <v>208.89</v>
      </c>
      <c r="BY764" t="str">
        <f>"37.19"</f>
        <v>37.19</v>
      </c>
      <c r="BZ764" t="str">
        <f>"1.053"</f>
        <v>1.053</v>
      </c>
      <c r="CA764" t="s">
        <v>431</v>
      </c>
      <c r="CR764" t="s">
        <v>400</v>
      </c>
      <c r="CS764">
        <v>0</v>
      </c>
      <c r="CT764" t="s">
        <v>400</v>
      </c>
      <c r="CV764">
        <v>0</v>
      </c>
      <c r="CX764" t="s">
        <v>953</v>
      </c>
      <c r="CY764" t="s">
        <v>400</v>
      </c>
      <c r="DC764">
        <v>0</v>
      </c>
      <c r="DJ764" t="s">
        <v>408</v>
      </c>
      <c r="DK764" t="s">
        <v>8337</v>
      </c>
      <c r="DM764" t="s">
        <v>473</v>
      </c>
      <c r="DX764" t="s">
        <v>830</v>
      </c>
      <c r="DY764" t="s">
        <v>1554</v>
      </c>
      <c r="DZ764" t="s">
        <v>14417</v>
      </c>
      <c r="EI764" t="s">
        <v>5405</v>
      </c>
      <c r="EJ764" t="s">
        <v>979</v>
      </c>
      <c r="EK764" t="s">
        <v>5405</v>
      </c>
      <c r="EL764" t="s">
        <v>450</v>
      </c>
      <c r="EM764" t="s">
        <v>402</v>
      </c>
      <c r="EN764">
        <v>0</v>
      </c>
      <c r="EO764">
        <v>0</v>
      </c>
    </row>
    <row r="765" spans="1:287" x14ac:dyDescent="0.25">
      <c r="A765" t="s">
        <v>14433</v>
      </c>
      <c r="B765" t="str">
        <f>"801542158552"</f>
        <v>801542158552</v>
      </c>
      <c r="C765" t="s">
        <v>14434</v>
      </c>
      <c r="D765" t="s">
        <v>769</v>
      </c>
      <c r="E765" t="s">
        <v>413</v>
      </c>
      <c r="G765" t="str">
        <f>"94"</f>
        <v>94</v>
      </c>
      <c r="H765" t="str">
        <f>"40"</f>
        <v>40</v>
      </c>
      <c r="I765" t="str">
        <f>"34"</f>
        <v>34</v>
      </c>
      <c r="J765" t="str">
        <f>"131.84"</f>
        <v>131.84</v>
      </c>
      <c r="K765" t="s">
        <v>11287</v>
      </c>
      <c r="N765" t="s">
        <v>2448</v>
      </c>
      <c r="T765" t="s">
        <v>373</v>
      </c>
      <c r="U765" t="s">
        <v>373</v>
      </c>
      <c r="V765" t="s">
        <v>14435</v>
      </c>
      <c r="W765" t="s">
        <v>14436</v>
      </c>
      <c r="X765" t="s">
        <v>14437</v>
      </c>
      <c r="Y765" t="s">
        <v>14438</v>
      </c>
      <c r="Z765" t="s">
        <v>14439</v>
      </c>
      <c r="AA765" t="s">
        <v>14440</v>
      </c>
      <c r="AB765" t="s">
        <v>14441</v>
      </c>
      <c r="AC765" t="s">
        <v>14442</v>
      </c>
      <c r="AD765" t="s">
        <v>14443</v>
      </c>
      <c r="AE765" t="s">
        <v>14444</v>
      </c>
      <c r="AF765" t="s">
        <v>14445</v>
      </c>
      <c r="AG765" t="s">
        <v>14446</v>
      </c>
      <c r="AH765" t="s">
        <v>14447</v>
      </c>
      <c r="AI765" t="s">
        <v>14448</v>
      </c>
      <c r="BA765" t="str">
        <f>"4199"</f>
        <v>4199</v>
      </c>
      <c r="BB765" t="str">
        <f>"1765"</f>
        <v>1765</v>
      </c>
      <c r="BC765" t="s">
        <v>388</v>
      </c>
      <c r="BD765" t="str">
        <f>"2"</f>
        <v>2</v>
      </c>
      <c r="BE765" t="s">
        <v>5995</v>
      </c>
      <c r="BF765" t="str">
        <f>"95.28"</f>
        <v>95.28</v>
      </c>
      <c r="BG765" t="str">
        <f>"40.94"</f>
        <v>40.94</v>
      </c>
      <c r="BH765" t="str">
        <f>"32.68"</f>
        <v>32.68</v>
      </c>
      <c r="BI765" t="str">
        <f>"138.89"</f>
        <v>138.89</v>
      </c>
      <c r="BJ765" t="s">
        <v>14449</v>
      </c>
      <c r="BK765" t="str">
        <f>"40.16"</f>
        <v>40.16</v>
      </c>
      <c r="BL765" t="str">
        <f>"8.66"</f>
        <v>8.66</v>
      </c>
      <c r="BM765" t="str">
        <f>"29.53"</f>
        <v>29.53</v>
      </c>
      <c r="BN765" t="str">
        <f>"102.51"</f>
        <v>102.51</v>
      </c>
      <c r="BY765" t="str">
        <f>"74.97"</f>
        <v>74.97</v>
      </c>
      <c r="BZ765" t="str">
        <f>"2.123"</f>
        <v>2.123</v>
      </c>
      <c r="CA765" t="s">
        <v>390</v>
      </c>
      <c r="CH765" t="s">
        <v>609</v>
      </c>
      <c r="CI765" t="s">
        <v>448</v>
      </c>
      <c r="CJ765" t="s">
        <v>14450</v>
      </c>
      <c r="CK765" t="s">
        <v>601</v>
      </c>
      <c r="CL765" t="s">
        <v>396</v>
      </c>
      <c r="CN765">
        <v>0</v>
      </c>
      <c r="CO765">
        <v>2</v>
      </c>
      <c r="CP765" t="s">
        <v>437</v>
      </c>
      <c r="CQ765" t="s">
        <v>1152</v>
      </c>
      <c r="CU765" t="s">
        <v>4729</v>
      </c>
      <c r="CX765" t="s">
        <v>403</v>
      </c>
      <c r="CY765" t="s">
        <v>11304</v>
      </c>
      <c r="CZ765">
        <v>0</v>
      </c>
      <c r="DD765">
        <v>25000</v>
      </c>
      <c r="DE765" t="s">
        <v>439</v>
      </c>
      <c r="DF765" t="s">
        <v>406</v>
      </c>
      <c r="DG765" t="s">
        <v>407</v>
      </c>
      <c r="DH765">
        <v>1</v>
      </c>
      <c r="DI765">
        <v>4</v>
      </c>
      <c r="DK765" t="s">
        <v>14451</v>
      </c>
      <c r="DL765">
        <v>0</v>
      </c>
      <c r="DM765" t="s">
        <v>795</v>
      </c>
      <c r="DN765" t="s">
        <v>600</v>
      </c>
      <c r="DO765" t="s">
        <v>3025</v>
      </c>
      <c r="DP765" t="s">
        <v>855</v>
      </c>
      <c r="DT765" t="s">
        <v>1852</v>
      </c>
      <c r="DU765" t="s">
        <v>830</v>
      </c>
      <c r="DV765" t="s">
        <v>602</v>
      </c>
      <c r="DW765" t="s">
        <v>1150</v>
      </c>
      <c r="DY765" t="s">
        <v>2079</v>
      </c>
      <c r="DZ765" t="s">
        <v>1807</v>
      </c>
      <c r="EA765" t="s">
        <v>510</v>
      </c>
      <c r="ED765" t="s">
        <v>406</v>
      </c>
      <c r="EE765" t="s">
        <v>407</v>
      </c>
      <c r="EF765" t="s">
        <v>793</v>
      </c>
      <c r="EG765" t="s">
        <v>641</v>
      </c>
      <c r="EP765" t="s">
        <v>14452</v>
      </c>
      <c r="EQ765" t="s">
        <v>14450</v>
      </c>
      <c r="ET765" t="s">
        <v>832</v>
      </c>
    </row>
    <row r="766" spans="1:287" x14ac:dyDescent="0.25">
      <c r="A766" t="s">
        <v>14453</v>
      </c>
      <c r="B766" t="str">
        <f>"801542374730"</f>
        <v>801542374730</v>
      </c>
      <c r="C766" t="s">
        <v>14454</v>
      </c>
      <c r="D766" t="s">
        <v>13752</v>
      </c>
      <c r="E766" t="s">
        <v>459</v>
      </c>
      <c r="G766" t="str">
        <f>"25.5"</f>
        <v>25.5</v>
      </c>
      <c r="H766" t="str">
        <f>"25.5"</f>
        <v>25.5</v>
      </c>
      <c r="I766" t="str">
        <f>"25.5"</f>
        <v>25.5</v>
      </c>
      <c r="J766" t="str">
        <f>"20.5"</f>
        <v>20.5</v>
      </c>
      <c r="K766" t="s">
        <v>14455</v>
      </c>
      <c r="N766" t="s">
        <v>13754</v>
      </c>
      <c r="O766" t="s">
        <v>461</v>
      </c>
      <c r="T766" t="s">
        <v>373</v>
      </c>
      <c r="U766" t="s">
        <v>373</v>
      </c>
      <c r="V766" t="s">
        <v>14456</v>
      </c>
      <c r="W766" t="s">
        <v>14457</v>
      </c>
      <c r="X766" t="s">
        <v>14458</v>
      </c>
      <c r="Y766" t="s">
        <v>14459</v>
      </c>
      <c r="Z766" t="s">
        <v>14460</v>
      </c>
      <c r="AA766" t="s">
        <v>14461</v>
      </c>
      <c r="AB766" t="s">
        <v>14462</v>
      </c>
      <c r="AC766" t="s">
        <v>14463</v>
      </c>
      <c r="AD766" t="s">
        <v>14464</v>
      </c>
      <c r="AE766" t="s">
        <v>14465</v>
      </c>
      <c r="AF766" t="s">
        <v>14466</v>
      </c>
      <c r="AG766" t="s">
        <v>14467</v>
      </c>
      <c r="AH766" t="s">
        <v>14468</v>
      </c>
      <c r="AI766" t="s">
        <v>14469</v>
      </c>
      <c r="BA766" t="str">
        <f>"899"</f>
        <v>899</v>
      </c>
      <c r="BB766" t="str">
        <f>"380"</f>
        <v>380</v>
      </c>
      <c r="BC766" t="s">
        <v>665</v>
      </c>
      <c r="BD766" t="str">
        <f>"1"</f>
        <v>1</v>
      </c>
      <c r="BE766" t="s">
        <v>389</v>
      </c>
      <c r="BF766" t="str">
        <f>"29"</f>
        <v>29</v>
      </c>
      <c r="BG766" t="str">
        <f>"29"</f>
        <v>29</v>
      </c>
      <c r="BH766" t="str">
        <f>"30"</f>
        <v>30</v>
      </c>
      <c r="BI766" t="str">
        <f>"47.84"</f>
        <v>47.84</v>
      </c>
      <c r="BY766" t="str">
        <f>"14.58"</f>
        <v>14.58</v>
      </c>
      <c r="BZ766" t="str">
        <f>"0.413"</f>
        <v>0.413</v>
      </c>
      <c r="CA766" t="s">
        <v>431</v>
      </c>
      <c r="CB766" t="s">
        <v>6159</v>
      </c>
      <c r="CC766" t="s">
        <v>8233</v>
      </c>
      <c r="CD766" t="s">
        <v>14470</v>
      </c>
      <c r="CE766" t="s">
        <v>6159</v>
      </c>
      <c r="CF766" t="s">
        <v>13152</v>
      </c>
      <c r="CG766" t="s">
        <v>14470</v>
      </c>
      <c r="CR766" t="s">
        <v>400</v>
      </c>
      <c r="CS766">
        <v>0</v>
      </c>
      <c r="CT766" t="s">
        <v>400</v>
      </c>
      <c r="CV766">
        <v>1</v>
      </c>
      <c r="CW766" t="s">
        <v>402</v>
      </c>
      <c r="CX766" t="s">
        <v>953</v>
      </c>
      <c r="CY766" t="s">
        <v>404</v>
      </c>
      <c r="DC766">
        <v>0</v>
      </c>
      <c r="DJ766" t="s">
        <v>471</v>
      </c>
      <c r="DK766" t="s">
        <v>14471</v>
      </c>
      <c r="DM766" t="s">
        <v>473</v>
      </c>
      <c r="DX766" t="s">
        <v>8267</v>
      </c>
      <c r="DY766" t="s">
        <v>4675</v>
      </c>
      <c r="DZ766" t="s">
        <v>8649</v>
      </c>
      <c r="EI766" t="s">
        <v>4901</v>
      </c>
      <c r="EJ766" t="s">
        <v>638</v>
      </c>
      <c r="EK766" t="s">
        <v>9078</v>
      </c>
      <c r="EL766" t="s">
        <v>9381</v>
      </c>
      <c r="EM766" t="s">
        <v>402</v>
      </c>
      <c r="EN766">
        <v>1</v>
      </c>
      <c r="EO766">
        <v>0</v>
      </c>
      <c r="EX766" t="s">
        <v>14472</v>
      </c>
    </row>
    <row r="767" spans="1:287" x14ac:dyDescent="0.25">
      <c r="A767" t="s">
        <v>14473</v>
      </c>
      <c r="B767" t="str">
        <f>"801542376529"</f>
        <v>801542376529</v>
      </c>
      <c r="C767" t="s">
        <v>14474</v>
      </c>
      <c r="D767" t="s">
        <v>13752</v>
      </c>
      <c r="E767" t="s">
        <v>459</v>
      </c>
      <c r="G767" t="str">
        <f>"24.75"</f>
        <v>24.75</v>
      </c>
      <c r="H767" t="str">
        <f>"24.75"</f>
        <v>24.75</v>
      </c>
      <c r="I767" t="str">
        <f>"26"</f>
        <v>26</v>
      </c>
      <c r="J767" t="str">
        <f>"17.64"</f>
        <v>17.64</v>
      </c>
      <c r="K767" t="s">
        <v>13753</v>
      </c>
      <c r="L767" t="s">
        <v>14168</v>
      </c>
      <c r="N767" t="s">
        <v>13754</v>
      </c>
      <c r="O767" t="s">
        <v>461</v>
      </c>
      <c r="P767" t="s">
        <v>14475</v>
      </c>
      <c r="T767" t="s">
        <v>373</v>
      </c>
      <c r="U767" t="s">
        <v>373</v>
      </c>
      <c r="V767" t="s">
        <v>14476</v>
      </c>
      <c r="W767" t="s">
        <v>14477</v>
      </c>
      <c r="X767" t="s">
        <v>14478</v>
      </c>
      <c r="Y767" t="s">
        <v>14479</v>
      </c>
      <c r="Z767" t="s">
        <v>14480</v>
      </c>
      <c r="AA767" t="s">
        <v>14481</v>
      </c>
      <c r="AB767" t="s">
        <v>14482</v>
      </c>
      <c r="AC767" t="s">
        <v>14483</v>
      </c>
      <c r="AD767" t="s">
        <v>14484</v>
      </c>
      <c r="AE767" t="s">
        <v>14485</v>
      </c>
      <c r="AF767" t="s">
        <v>14486</v>
      </c>
      <c r="AG767" t="s">
        <v>14487</v>
      </c>
      <c r="AH767" t="s">
        <v>14488</v>
      </c>
      <c r="AI767" t="s">
        <v>14489</v>
      </c>
      <c r="AJ767" t="s">
        <v>14490</v>
      </c>
      <c r="BA767" t="str">
        <f>"899"</f>
        <v>899</v>
      </c>
      <c r="BB767" t="str">
        <f>"380"</f>
        <v>380</v>
      </c>
      <c r="BC767" t="s">
        <v>665</v>
      </c>
      <c r="BD767" t="str">
        <f>"1"</f>
        <v>1</v>
      </c>
      <c r="BE767" t="s">
        <v>389</v>
      </c>
      <c r="BF767" t="str">
        <f>"28.75"</f>
        <v>28.75</v>
      </c>
      <c r="BG767" t="str">
        <f>"29"</f>
        <v>29</v>
      </c>
      <c r="BH767" t="str">
        <f>"30.75"</f>
        <v>30.75</v>
      </c>
      <c r="BI767" t="str">
        <f>"48.5"</f>
        <v>48.5</v>
      </c>
      <c r="BY767" t="str">
        <f>"14.83"</f>
        <v>14.83</v>
      </c>
      <c r="BZ767" t="str">
        <f>"0.42"</f>
        <v>0.42</v>
      </c>
      <c r="CA767" t="s">
        <v>495</v>
      </c>
      <c r="CR767" t="s">
        <v>400</v>
      </c>
      <c r="CS767">
        <v>0</v>
      </c>
      <c r="CT767" t="s">
        <v>400</v>
      </c>
      <c r="CV767">
        <v>0</v>
      </c>
      <c r="CX767" t="s">
        <v>953</v>
      </c>
      <c r="CY767" t="s">
        <v>400</v>
      </c>
      <c r="DC767">
        <v>0</v>
      </c>
      <c r="DJ767" t="s">
        <v>471</v>
      </c>
      <c r="DK767" t="s">
        <v>14491</v>
      </c>
      <c r="DM767" t="s">
        <v>473</v>
      </c>
      <c r="DX767" t="s">
        <v>12844</v>
      </c>
      <c r="DY767" t="s">
        <v>8173</v>
      </c>
      <c r="DZ767" t="s">
        <v>3313</v>
      </c>
      <c r="EI767" t="s">
        <v>1357</v>
      </c>
      <c r="EJ767" t="s">
        <v>2382</v>
      </c>
      <c r="EK767" t="s">
        <v>1357</v>
      </c>
      <c r="EL767" t="s">
        <v>9381</v>
      </c>
      <c r="EM767" t="s">
        <v>402</v>
      </c>
      <c r="EN767">
        <v>0</v>
      </c>
      <c r="EO767">
        <v>0</v>
      </c>
      <c r="EX767" t="s">
        <v>14492</v>
      </c>
    </row>
    <row r="768" spans="1:287" x14ac:dyDescent="0.25">
      <c r="A768" t="s">
        <v>14493</v>
      </c>
      <c r="B768" t="str">
        <f>"801542201630"</f>
        <v>801542201630</v>
      </c>
      <c r="C768" t="s">
        <v>14494</v>
      </c>
      <c r="D768" t="s">
        <v>10298</v>
      </c>
      <c r="E768" t="s">
        <v>930</v>
      </c>
      <c r="G768" t="str">
        <f>"102"</f>
        <v>102</v>
      </c>
      <c r="H768" t="str">
        <f>"19"</f>
        <v>19</v>
      </c>
      <c r="I768" t="str">
        <f>"34"</f>
        <v>34</v>
      </c>
      <c r="J768" t="str">
        <f>"186.51"</f>
        <v>186.51</v>
      </c>
      <c r="K768" t="s">
        <v>10323</v>
      </c>
      <c r="L768" t="s">
        <v>13030</v>
      </c>
      <c r="N768" t="s">
        <v>1839</v>
      </c>
      <c r="O768" t="s">
        <v>13031</v>
      </c>
      <c r="T768" t="s">
        <v>373</v>
      </c>
      <c r="U768" t="s">
        <v>373</v>
      </c>
      <c r="V768" t="s">
        <v>14495</v>
      </c>
      <c r="W768" t="s">
        <v>14496</v>
      </c>
      <c r="X768" t="s">
        <v>14497</v>
      </c>
      <c r="Y768" t="s">
        <v>14498</v>
      </c>
      <c r="Z768" t="s">
        <v>14499</v>
      </c>
      <c r="AA768" t="s">
        <v>14500</v>
      </c>
      <c r="AB768" t="s">
        <v>14501</v>
      </c>
      <c r="AC768" t="s">
        <v>14502</v>
      </c>
      <c r="AD768" t="s">
        <v>14503</v>
      </c>
      <c r="AE768" t="s">
        <v>14504</v>
      </c>
      <c r="AF768" t="s">
        <v>14505</v>
      </c>
      <c r="AG768" t="s">
        <v>14506</v>
      </c>
      <c r="AH768" t="s">
        <v>14507</v>
      </c>
      <c r="AI768" t="s">
        <v>14508</v>
      </c>
      <c r="AJ768" t="s">
        <v>14509</v>
      </c>
      <c r="AK768" t="s">
        <v>14510</v>
      </c>
      <c r="AL768" t="s">
        <v>14511</v>
      </c>
      <c r="BA768" t="str">
        <f>"3499"</f>
        <v>3499</v>
      </c>
      <c r="BB768" t="str">
        <f>"1470"</f>
        <v>1470</v>
      </c>
      <c r="BC768" t="s">
        <v>388</v>
      </c>
      <c r="BD768" t="str">
        <f>"1"</f>
        <v>1</v>
      </c>
      <c r="BE768" t="s">
        <v>14512</v>
      </c>
      <c r="BF768" t="str">
        <f>"106.3"</f>
        <v>106.3</v>
      </c>
      <c r="BG768" t="str">
        <f>"22.83"</f>
        <v>22.83</v>
      </c>
      <c r="BH768" t="str">
        <f>"38.98"</f>
        <v>38.98</v>
      </c>
      <c r="BI768" t="str">
        <f>"226.19"</f>
        <v>226.19</v>
      </c>
      <c r="BY768" t="str">
        <f>"54.74"</f>
        <v>54.74</v>
      </c>
      <c r="BZ768" t="str">
        <f>"1.55"</f>
        <v>1.55</v>
      </c>
      <c r="CA768" t="s">
        <v>495</v>
      </c>
      <c r="CB768" t="s">
        <v>4865</v>
      </c>
      <c r="CC768" t="s">
        <v>5144</v>
      </c>
      <c r="CD768" t="s">
        <v>539</v>
      </c>
      <c r="CE768" t="s">
        <v>474</v>
      </c>
      <c r="CF768" t="s">
        <v>1055</v>
      </c>
      <c r="CG768" t="s">
        <v>544</v>
      </c>
      <c r="CR768" t="s">
        <v>1343</v>
      </c>
      <c r="CS768">
        <v>4</v>
      </c>
      <c r="CT768" t="s">
        <v>1344</v>
      </c>
      <c r="CV768">
        <v>3</v>
      </c>
      <c r="CW768" t="s">
        <v>402</v>
      </c>
      <c r="CX768" t="s">
        <v>403</v>
      </c>
      <c r="CY768" t="s">
        <v>954</v>
      </c>
      <c r="DA768">
        <v>18.14</v>
      </c>
      <c r="DB768">
        <v>40</v>
      </c>
      <c r="DC768">
        <v>2</v>
      </c>
      <c r="DK768" t="s">
        <v>14513</v>
      </c>
      <c r="DM768" t="s">
        <v>669</v>
      </c>
      <c r="DX768" t="s">
        <v>6259</v>
      </c>
      <c r="EM768" t="s">
        <v>402</v>
      </c>
      <c r="EN768">
        <v>5</v>
      </c>
      <c r="EZ768" t="s">
        <v>1055</v>
      </c>
      <c r="FA768" t="s">
        <v>956</v>
      </c>
      <c r="FB768" t="s">
        <v>1039</v>
      </c>
      <c r="FC768" t="s">
        <v>474</v>
      </c>
      <c r="FD768" t="s">
        <v>956</v>
      </c>
      <c r="FE768" t="s">
        <v>609</v>
      </c>
      <c r="FF768">
        <v>0</v>
      </c>
      <c r="FG768" t="s">
        <v>402</v>
      </c>
      <c r="FI768">
        <v>4</v>
      </c>
      <c r="FJ768" t="s">
        <v>960</v>
      </c>
      <c r="FK768" t="s">
        <v>1246</v>
      </c>
      <c r="FL768">
        <v>0</v>
      </c>
      <c r="FM768" t="s">
        <v>402</v>
      </c>
      <c r="FO768" t="s">
        <v>984</v>
      </c>
      <c r="FR768" t="s">
        <v>6161</v>
      </c>
      <c r="FT768" t="s">
        <v>800</v>
      </c>
      <c r="FV768" t="s">
        <v>3020</v>
      </c>
      <c r="FX768" t="s">
        <v>1008</v>
      </c>
      <c r="FZ768" t="s">
        <v>1018</v>
      </c>
      <c r="GA768" t="s">
        <v>402</v>
      </c>
      <c r="GB768" t="s">
        <v>4865</v>
      </c>
      <c r="GC768" t="s">
        <v>14514</v>
      </c>
      <c r="GD768" t="s">
        <v>544</v>
      </c>
      <c r="GR768" t="s">
        <v>4865</v>
      </c>
      <c r="GS768" t="s">
        <v>474</v>
      </c>
      <c r="GT768" t="s">
        <v>14514</v>
      </c>
      <c r="GU768" t="s">
        <v>1055</v>
      </c>
      <c r="GV768" t="s">
        <v>14515</v>
      </c>
      <c r="GW768" t="s">
        <v>544</v>
      </c>
      <c r="GX768" t="s">
        <v>1357</v>
      </c>
      <c r="HI768" t="s">
        <v>402</v>
      </c>
      <c r="JM768" t="s">
        <v>4865</v>
      </c>
      <c r="JN768" t="s">
        <v>5144</v>
      </c>
      <c r="JO768" t="s">
        <v>14515</v>
      </c>
      <c r="JY768" t="s">
        <v>4865</v>
      </c>
      <c r="JZ768" t="s">
        <v>442</v>
      </c>
      <c r="KA768" t="s">
        <v>544</v>
      </c>
    </row>
    <row r="769" spans="1:305" x14ac:dyDescent="0.25">
      <c r="A769" t="s">
        <v>14516</v>
      </c>
      <c r="B769" t="str">
        <f>"198394083485"</f>
        <v>198394083485</v>
      </c>
      <c r="C769" t="s">
        <v>14517</v>
      </c>
      <c r="D769" t="s">
        <v>5390</v>
      </c>
      <c r="E769" t="s">
        <v>1166</v>
      </c>
      <c r="F769" t="s">
        <v>12398</v>
      </c>
      <c r="G769" t="str">
        <f>"121"</f>
        <v>121</v>
      </c>
      <c r="H769" t="str">
        <f>"45.25"</f>
        <v>45.25</v>
      </c>
      <c r="I769" t="str">
        <f>"30"</f>
        <v>30</v>
      </c>
      <c r="J769" t="str">
        <f>"431.66"</f>
        <v>431.66</v>
      </c>
      <c r="K769" t="s">
        <v>1496</v>
      </c>
      <c r="N769" t="s">
        <v>416</v>
      </c>
      <c r="T769" t="s">
        <v>373</v>
      </c>
      <c r="U769" t="s">
        <v>373</v>
      </c>
      <c r="V769" t="s">
        <v>12399</v>
      </c>
      <c r="W769" t="s">
        <v>14518</v>
      </c>
      <c r="X769" t="s">
        <v>14519</v>
      </c>
      <c r="Y769" t="s">
        <v>14520</v>
      </c>
      <c r="Z769" t="s">
        <v>14521</v>
      </c>
      <c r="AA769" t="s">
        <v>14522</v>
      </c>
      <c r="AB769" t="s">
        <v>14523</v>
      </c>
      <c r="AC769" t="s">
        <v>14524</v>
      </c>
      <c r="AD769" t="s">
        <v>14525</v>
      </c>
      <c r="AE769" t="s">
        <v>14526</v>
      </c>
      <c r="AF769" t="s">
        <v>14527</v>
      </c>
      <c r="AG769" t="s">
        <v>14528</v>
      </c>
      <c r="AH769" t="s">
        <v>14529</v>
      </c>
      <c r="AI769" t="s">
        <v>14530</v>
      </c>
      <c r="BA769" t="str">
        <f>"7899"</f>
        <v>7899</v>
      </c>
      <c r="BB769" t="str">
        <f>"3320"</f>
        <v>3320</v>
      </c>
      <c r="BC769" t="s">
        <v>388</v>
      </c>
      <c r="BD769" t="str">
        <f t="shared" ref="BD769:BD774" si="174">"3"</f>
        <v>3</v>
      </c>
      <c r="BE769" t="s">
        <v>389</v>
      </c>
      <c r="BF769" t="str">
        <f>"45.67"</f>
        <v>45.67</v>
      </c>
      <c r="BG769" t="str">
        <f>"44.88"</f>
        <v>44.88</v>
      </c>
      <c r="BH769" t="str">
        <f>"31.1"</f>
        <v>31.1</v>
      </c>
      <c r="BI769" t="str">
        <f>"183.42"</f>
        <v>183.42</v>
      </c>
      <c r="BJ769" t="s">
        <v>389</v>
      </c>
      <c r="BK769" t="str">
        <f>"45.67"</f>
        <v>45.67</v>
      </c>
      <c r="BL769" t="str">
        <f>"44.88"</f>
        <v>44.88</v>
      </c>
      <c r="BM769" t="str">
        <f>"31.1"</f>
        <v>31.1</v>
      </c>
      <c r="BN769" t="str">
        <f>"183.42"</f>
        <v>183.42</v>
      </c>
      <c r="BO769" t="s">
        <v>14531</v>
      </c>
      <c r="BP769" t="str">
        <f>"33.86"</f>
        <v>33.86</v>
      </c>
      <c r="BQ769" t="str">
        <f>"45.28"</f>
        <v>45.28</v>
      </c>
      <c r="BR769" t="str">
        <f>"31.1"</f>
        <v>31.1</v>
      </c>
      <c r="BS769" t="str">
        <f>"146.39"</f>
        <v>146.39</v>
      </c>
      <c r="BY769" t="str">
        <f>"97.22"</f>
        <v>97.22</v>
      </c>
      <c r="BZ769" t="str">
        <f>"2.753"</f>
        <v>2.753</v>
      </c>
      <c r="CA769" t="s">
        <v>495</v>
      </c>
      <c r="CP769" t="s">
        <v>437</v>
      </c>
      <c r="CQ769" t="s">
        <v>438</v>
      </c>
      <c r="CX769" t="s">
        <v>403</v>
      </c>
      <c r="CY769" t="s">
        <v>302</v>
      </c>
      <c r="DD769">
        <v>0</v>
      </c>
      <c r="DE769" t="s">
        <v>439</v>
      </c>
      <c r="DI769">
        <v>6</v>
      </c>
      <c r="DJ769" t="s">
        <v>12398</v>
      </c>
      <c r="DK769" t="s">
        <v>12416</v>
      </c>
      <c r="DM769" t="s">
        <v>14532</v>
      </c>
      <c r="EG769" t="s">
        <v>12417</v>
      </c>
      <c r="GP769" t="s">
        <v>11059</v>
      </c>
      <c r="GQ769" t="s">
        <v>12398</v>
      </c>
      <c r="KR769" t="s">
        <v>402</v>
      </c>
      <c r="KS769" t="s">
        <v>402</v>
      </c>
    </row>
    <row r="770" spans="1:305" x14ac:dyDescent="0.25">
      <c r="A770" t="s">
        <v>14533</v>
      </c>
      <c r="B770" t="str">
        <f>"801542171933"</f>
        <v>801542171933</v>
      </c>
      <c r="C770" t="s">
        <v>14534</v>
      </c>
      <c r="D770" t="s">
        <v>5390</v>
      </c>
      <c r="E770" t="s">
        <v>1166</v>
      </c>
      <c r="F770" t="s">
        <v>12398</v>
      </c>
      <c r="G770" t="str">
        <f>"111"</f>
        <v>111</v>
      </c>
      <c r="H770" t="str">
        <f>"40"</f>
        <v>40</v>
      </c>
      <c r="I770" t="str">
        <f>"37"</f>
        <v>37</v>
      </c>
      <c r="J770" t="str">
        <f>"321.87"</f>
        <v>321.87</v>
      </c>
      <c r="K770" t="s">
        <v>10431</v>
      </c>
      <c r="N770" t="s">
        <v>10433</v>
      </c>
      <c r="O770" t="s">
        <v>10434</v>
      </c>
      <c r="P770" t="s">
        <v>10435</v>
      </c>
      <c r="T770" t="s">
        <v>373</v>
      </c>
      <c r="U770" t="s">
        <v>402</v>
      </c>
      <c r="V770" t="s">
        <v>14535</v>
      </c>
      <c r="W770" t="s">
        <v>14536</v>
      </c>
      <c r="X770" t="s">
        <v>14537</v>
      </c>
      <c r="Y770" t="s">
        <v>14538</v>
      </c>
      <c r="Z770" t="s">
        <v>14539</v>
      </c>
      <c r="AA770" t="s">
        <v>14540</v>
      </c>
      <c r="AB770" t="s">
        <v>14541</v>
      </c>
      <c r="AC770" t="s">
        <v>14542</v>
      </c>
      <c r="AD770" t="s">
        <v>14543</v>
      </c>
      <c r="AE770" t="s">
        <v>14544</v>
      </c>
      <c r="AF770" t="s">
        <v>14545</v>
      </c>
      <c r="AG770" t="s">
        <v>14546</v>
      </c>
      <c r="AH770" t="s">
        <v>14547</v>
      </c>
      <c r="AI770" t="s">
        <v>14548</v>
      </c>
      <c r="AJ770" t="s">
        <v>14549</v>
      </c>
      <c r="AK770" t="s">
        <v>14550</v>
      </c>
      <c r="BA770" t="str">
        <f>"4199"</f>
        <v>4199</v>
      </c>
      <c r="BB770" t="str">
        <f>"1765"</f>
        <v>1765</v>
      </c>
      <c r="BC770" t="s">
        <v>388</v>
      </c>
      <c r="BD770" t="str">
        <f t="shared" si="174"/>
        <v>3</v>
      </c>
      <c r="BE770" t="s">
        <v>389</v>
      </c>
      <c r="BF770" t="str">
        <f>"39.76"</f>
        <v>39.76</v>
      </c>
      <c r="BG770" t="str">
        <f>"40.16"</f>
        <v>40.16</v>
      </c>
      <c r="BH770" t="str">
        <f>"29.53"</f>
        <v>29.53</v>
      </c>
      <c r="BI770" t="str">
        <f>"128.31"</f>
        <v>128.31</v>
      </c>
      <c r="BJ770" t="s">
        <v>389</v>
      </c>
      <c r="BK770" t="str">
        <f>"39.76"</f>
        <v>39.76</v>
      </c>
      <c r="BL770" t="str">
        <f>"40.16"</f>
        <v>40.16</v>
      </c>
      <c r="BM770" t="str">
        <f>"29.53"</f>
        <v>29.53</v>
      </c>
      <c r="BN770" t="str">
        <f>"128.31"</f>
        <v>128.31</v>
      </c>
      <c r="BO770" t="s">
        <v>389</v>
      </c>
      <c r="BP770" t="str">
        <f>"40.16"</f>
        <v>40.16</v>
      </c>
      <c r="BQ770" t="str">
        <f>"34.65"</f>
        <v>34.65</v>
      </c>
      <c r="BR770" t="str">
        <f>"29.53"</f>
        <v>29.53</v>
      </c>
      <c r="BS770" t="str">
        <f>"132.72"</f>
        <v>132.72</v>
      </c>
      <c r="BY770" t="str">
        <f>"78.36"</f>
        <v>78.36</v>
      </c>
      <c r="BZ770" t="str">
        <f>"2.219"</f>
        <v>2.219</v>
      </c>
      <c r="CA770" t="s">
        <v>431</v>
      </c>
      <c r="CP770" t="s">
        <v>437</v>
      </c>
      <c r="CQ770" t="s">
        <v>631</v>
      </c>
      <c r="CU770" t="s">
        <v>614</v>
      </c>
      <c r="CX770" t="s">
        <v>403</v>
      </c>
      <c r="CY770" t="s">
        <v>302</v>
      </c>
      <c r="DD770">
        <v>25000</v>
      </c>
      <c r="DE770" t="s">
        <v>439</v>
      </c>
      <c r="DF770" t="s">
        <v>406</v>
      </c>
      <c r="DG770" t="s">
        <v>407</v>
      </c>
      <c r="DI770">
        <v>3</v>
      </c>
      <c r="DJ770" t="s">
        <v>12398</v>
      </c>
      <c r="DK770" t="s">
        <v>14551</v>
      </c>
      <c r="DM770" t="s">
        <v>410</v>
      </c>
      <c r="ED770" t="s">
        <v>406</v>
      </c>
      <c r="EE770" t="s">
        <v>407</v>
      </c>
      <c r="EF770" t="s">
        <v>614</v>
      </c>
      <c r="EG770" t="s">
        <v>1556</v>
      </c>
      <c r="GP770" t="s">
        <v>11059</v>
      </c>
      <c r="GQ770" t="s">
        <v>12398</v>
      </c>
      <c r="KS770" t="s">
        <v>402</v>
      </c>
    </row>
    <row r="771" spans="1:305" x14ac:dyDescent="0.25">
      <c r="A771" t="s">
        <v>14552</v>
      </c>
      <c r="B771" t="str">
        <f>"801542171940"</f>
        <v>801542171940</v>
      </c>
      <c r="C771" t="s">
        <v>14553</v>
      </c>
      <c r="D771" t="s">
        <v>5390</v>
      </c>
      <c r="E771" t="s">
        <v>1166</v>
      </c>
      <c r="F771" t="s">
        <v>12398</v>
      </c>
      <c r="G771" t="str">
        <f>"111"</f>
        <v>111</v>
      </c>
      <c r="H771" t="str">
        <f>"40"</f>
        <v>40</v>
      </c>
      <c r="I771" t="str">
        <f>"37"</f>
        <v>37</v>
      </c>
      <c r="J771" t="str">
        <f>"321.87"</f>
        <v>321.87</v>
      </c>
      <c r="K771" t="s">
        <v>5427</v>
      </c>
      <c r="N771" t="s">
        <v>416</v>
      </c>
      <c r="T771" t="s">
        <v>373</v>
      </c>
      <c r="U771" t="s">
        <v>373</v>
      </c>
      <c r="V771" t="s">
        <v>14554</v>
      </c>
      <c r="W771" t="s">
        <v>14555</v>
      </c>
      <c r="X771" t="s">
        <v>14556</v>
      </c>
      <c r="Y771" t="s">
        <v>14557</v>
      </c>
      <c r="Z771" t="s">
        <v>14558</v>
      </c>
      <c r="AA771" t="s">
        <v>14559</v>
      </c>
      <c r="AB771" t="s">
        <v>14560</v>
      </c>
      <c r="AC771" t="s">
        <v>14561</v>
      </c>
      <c r="AD771" t="s">
        <v>14562</v>
      </c>
      <c r="AE771" t="s">
        <v>14563</v>
      </c>
      <c r="AF771" t="s">
        <v>14564</v>
      </c>
      <c r="AG771" t="s">
        <v>14565</v>
      </c>
      <c r="AH771" t="s">
        <v>14566</v>
      </c>
      <c r="AI771" t="s">
        <v>14567</v>
      </c>
      <c r="BA771" t="str">
        <f>"6699"</f>
        <v>6699</v>
      </c>
      <c r="BB771" t="str">
        <f>"2815"</f>
        <v>2815</v>
      </c>
      <c r="BC771" t="s">
        <v>388</v>
      </c>
      <c r="BD771" t="str">
        <f t="shared" si="174"/>
        <v>3</v>
      </c>
      <c r="BE771" t="s">
        <v>389</v>
      </c>
      <c r="BF771" t="str">
        <f>"39.76"</f>
        <v>39.76</v>
      </c>
      <c r="BG771" t="str">
        <f>"40.16"</f>
        <v>40.16</v>
      </c>
      <c r="BH771" t="str">
        <f>"29.53"</f>
        <v>29.53</v>
      </c>
      <c r="BI771" t="str">
        <f>"128.31"</f>
        <v>128.31</v>
      </c>
      <c r="BJ771" t="s">
        <v>389</v>
      </c>
      <c r="BK771" t="str">
        <f>"39.76"</f>
        <v>39.76</v>
      </c>
      <c r="BL771" t="str">
        <f>"40.16"</f>
        <v>40.16</v>
      </c>
      <c r="BM771" t="str">
        <f>"29.53"</f>
        <v>29.53</v>
      </c>
      <c r="BN771" t="str">
        <f>"128.31"</f>
        <v>128.31</v>
      </c>
      <c r="BO771" t="s">
        <v>389</v>
      </c>
      <c r="BP771" t="str">
        <f>"40.16"</f>
        <v>40.16</v>
      </c>
      <c r="BQ771" t="str">
        <f>"34.65"</f>
        <v>34.65</v>
      </c>
      <c r="BR771" t="str">
        <f>"29.53"</f>
        <v>29.53</v>
      </c>
      <c r="BS771" t="str">
        <f>"132.72"</f>
        <v>132.72</v>
      </c>
      <c r="BY771" t="str">
        <f>"78.36"</f>
        <v>78.36</v>
      </c>
      <c r="BZ771" t="str">
        <f>"2.219"</f>
        <v>2.219</v>
      </c>
      <c r="CA771" t="s">
        <v>431</v>
      </c>
      <c r="CP771" t="s">
        <v>437</v>
      </c>
      <c r="CQ771" t="s">
        <v>438</v>
      </c>
      <c r="CU771" t="s">
        <v>614</v>
      </c>
      <c r="CX771" t="s">
        <v>403</v>
      </c>
      <c r="CY771" t="s">
        <v>302</v>
      </c>
      <c r="DD771">
        <v>0</v>
      </c>
      <c r="DE771" t="s">
        <v>439</v>
      </c>
      <c r="DF771" t="s">
        <v>406</v>
      </c>
      <c r="DG771" t="s">
        <v>407</v>
      </c>
      <c r="DI771">
        <v>3</v>
      </c>
      <c r="DJ771" t="s">
        <v>12398</v>
      </c>
      <c r="DK771" t="s">
        <v>14551</v>
      </c>
      <c r="DM771" t="s">
        <v>410</v>
      </c>
      <c r="ED771" t="s">
        <v>406</v>
      </c>
      <c r="EE771" t="s">
        <v>407</v>
      </c>
      <c r="EF771" t="s">
        <v>614</v>
      </c>
      <c r="EG771" t="s">
        <v>1556</v>
      </c>
      <c r="GP771" t="s">
        <v>11059</v>
      </c>
      <c r="GQ771" t="s">
        <v>12398</v>
      </c>
      <c r="KS771" t="s">
        <v>402</v>
      </c>
    </row>
    <row r="772" spans="1:305" x14ac:dyDescent="0.25">
      <c r="A772" t="s">
        <v>14568</v>
      </c>
      <c r="B772" t="str">
        <f>"801542008093"</f>
        <v>801542008093</v>
      </c>
      <c r="C772" t="s">
        <v>14569</v>
      </c>
      <c r="D772" t="s">
        <v>5390</v>
      </c>
      <c r="E772" t="s">
        <v>1166</v>
      </c>
      <c r="F772" t="s">
        <v>12398</v>
      </c>
      <c r="G772" t="str">
        <f>"111"</f>
        <v>111</v>
      </c>
      <c r="H772" t="str">
        <f>"40"</f>
        <v>40</v>
      </c>
      <c r="I772" t="str">
        <f>"37"</f>
        <v>37</v>
      </c>
      <c r="J772" t="str">
        <f>"321.87"</f>
        <v>321.87</v>
      </c>
      <c r="K772" t="s">
        <v>12435</v>
      </c>
      <c r="N772" t="s">
        <v>1534</v>
      </c>
      <c r="O772" t="s">
        <v>12436</v>
      </c>
      <c r="T772" t="s">
        <v>373</v>
      </c>
      <c r="U772" t="s">
        <v>373</v>
      </c>
      <c r="V772" t="s">
        <v>14570</v>
      </c>
      <c r="W772" t="s">
        <v>14571</v>
      </c>
      <c r="X772" t="s">
        <v>14572</v>
      </c>
      <c r="Y772" t="s">
        <v>14573</v>
      </c>
      <c r="Z772" t="s">
        <v>14574</v>
      </c>
      <c r="AA772" t="s">
        <v>14575</v>
      </c>
      <c r="AB772" t="s">
        <v>14576</v>
      </c>
      <c r="AC772" t="s">
        <v>14577</v>
      </c>
      <c r="AD772" t="s">
        <v>14578</v>
      </c>
      <c r="AE772" t="s">
        <v>14579</v>
      </c>
      <c r="AF772" t="s">
        <v>14580</v>
      </c>
      <c r="BA772" t="str">
        <f>"3999"</f>
        <v>3999</v>
      </c>
      <c r="BB772" t="str">
        <f>"1680"</f>
        <v>1680</v>
      </c>
      <c r="BC772" t="s">
        <v>388</v>
      </c>
      <c r="BD772" t="str">
        <f t="shared" si="174"/>
        <v>3</v>
      </c>
      <c r="BE772" t="s">
        <v>389</v>
      </c>
      <c r="BF772" t="str">
        <f>"39.76"</f>
        <v>39.76</v>
      </c>
      <c r="BG772" t="str">
        <f>"40.16"</f>
        <v>40.16</v>
      </c>
      <c r="BH772" t="str">
        <f>"29.53"</f>
        <v>29.53</v>
      </c>
      <c r="BI772" t="str">
        <f>"128.31"</f>
        <v>128.31</v>
      </c>
      <c r="BJ772" t="s">
        <v>389</v>
      </c>
      <c r="BK772" t="str">
        <f>"39.76"</f>
        <v>39.76</v>
      </c>
      <c r="BL772" t="str">
        <f>"40.16"</f>
        <v>40.16</v>
      </c>
      <c r="BM772" t="str">
        <f>"29.53"</f>
        <v>29.53</v>
      </c>
      <c r="BN772" t="str">
        <f>"128.31"</f>
        <v>128.31</v>
      </c>
      <c r="BO772" t="s">
        <v>389</v>
      </c>
      <c r="BP772" t="str">
        <f>"40.16"</f>
        <v>40.16</v>
      </c>
      <c r="BQ772" t="str">
        <f>"34.65"</f>
        <v>34.65</v>
      </c>
      <c r="BR772" t="str">
        <f>"29.53"</f>
        <v>29.53</v>
      </c>
      <c r="BS772" t="str">
        <f>"132.72"</f>
        <v>132.72</v>
      </c>
      <c r="BY772" t="str">
        <f>"78.36"</f>
        <v>78.36</v>
      </c>
      <c r="BZ772" t="str">
        <f>"2.219"</f>
        <v>2.219</v>
      </c>
      <c r="CA772" t="s">
        <v>495</v>
      </c>
      <c r="CP772" t="s">
        <v>437</v>
      </c>
      <c r="CQ772" t="s">
        <v>1152</v>
      </c>
      <c r="CU772" t="s">
        <v>614</v>
      </c>
      <c r="CX772" t="s">
        <v>403</v>
      </c>
      <c r="CY772" t="s">
        <v>302</v>
      </c>
      <c r="DD772">
        <v>15000</v>
      </c>
      <c r="DE772" t="s">
        <v>439</v>
      </c>
      <c r="DF772" t="s">
        <v>406</v>
      </c>
      <c r="DG772" t="s">
        <v>407</v>
      </c>
      <c r="DI772">
        <v>3</v>
      </c>
      <c r="DJ772" t="s">
        <v>12398</v>
      </c>
      <c r="DK772" t="s">
        <v>14551</v>
      </c>
      <c r="DM772" t="s">
        <v>410</v>
      </c>
      <c r="ED772" t="s">
        <v>406</v>
      </c>
      <c r="EE772" t="s">
        <v>407</v>
      </c>
      <c r="EF772" t="s">
        <v>614</v>
      </c>
      <c r="EG772" t="s">
        <v>1556</v>
      </c>
      <c r="GP772" t="s">
        <v>11059</v>
      </c>
      <c r="GQ772" t="s">
        <v>12398</v>
      </c>
      <c r="KS772" t="s">
        <v>402</v>
      </c>
    </row>
    <row r="773" spans="1:305" x14ac:dyDescent="0.25">
      <c r="A773" t="s">
        <v>14581</v>
      </c>
      <c r="B773" t="str">
        <f>"198394083713"</f>
        <v>198394083713</v>
      </c>
      <c r="C773" t="s">
        <v>14582</v>
      </c>
      <c r="D773" t="s">
        <v>5390</v>
      </c>
      <c r="E773" t="s">
        <v>1166</v>
      </c>
      <c r="F773" t="s">
        <v>12398</v>
      </c>
      <c r="G773" t="str">
        <f>"111"</f>
        <v>111</v>
      </c>
      <c r="H773" t="str">
        <f>"40"</f>
        <v>40</v>
      </c>
      <c r="I773" t="str">
        <f>"37"</f>
        <v>37</v>
      </c>
      <c r="J773" t="str">
        <f>"321.87"</f>
        <v>321.87</v>
      </c>
      <c r="K773" t="s">
        <v>911</v>
      </c>
      <c r="N773" t="s">
        <v>912</v>
      </c>
      <c r="O773" t="s">
        <v>913</v>
      </c>
      <c r="T773" t="s">
        <v>373</v>
      </c>
      <c r="U773" t="s">
        <v>402</v>
      </c>
      <c r="W773" t="s">
        <v>14583</v>
      </c>
      <c r="X773" t="s">
        <v>14584</v>
      </c>
      <c r="Y773" t="s">
        <v>14585</v>
      </c>
      <c r="Z773" t="s">
        <v>14586</v>
      </c>
      <c r="AA773" t="s">
        <v>14587</v>
      </c>
      <c r="AB773" t="s">
        <v>14588</v>
      </c>
      <c r="AC773" t="s">
        <v>14589</v>
      </c>
      <c r="AD773" t="s">
        <v>14590</v>
      </c>
      <c r="AE773" t="s">
        <v>14591</v>
      </c>
      <c r="AF773" t="s">
        <v>14592</v>
      </c>
      <c r="AG773" t="s">
        <v>14593</v>
      </c>
      <c r="AH773" t="s">
        <v>14594</v>
      </c>
      <c r="AI773" t="s">
        <v>14595</v>
      </c>
      <c r="AJ773" t="s">
        <v>14596</v>
      </c>
      <c r="BA773" t="str">
        <f>"4199"</f>
        <v>4199</v>
      </c>
      <c r="BB773" t="str">
        <f>"1765"</f>
        <v>1765</v>
      </c>
      <c r="BC773" t="s">
        <v>388</v>
      </c>
      <c r="BD773" t="str">
        <f t="shared" si="174"/>
        <v>3</v>
      </c>
      <c r="BE773" t="s">
        <v>389</v>
      </c>
      <c r="BF773" t="str">
        <f>"39.76"</f>
        <v>39.76</v>
      </c>
      <c r="BG773" t="str">
        <f>"40.16"</f>
        <v>40.16</v>
      </c>
      <c r="BH773" t="str">
        <f>"29.53"</f>
        <v>29.53</v>
      </c>
      <c r="BI773" t="str">
        <f>"128.31"</f>
        <v>128.31</v>
      </c>
      <c r="BJ773" t="s">
        <v>389</v>
      </c>
      <c r="BK773" t="str">
        <f>"39.76"</f>
        <v>39.76</v>
      </c>
      <c r="BL773" t="str">
        <f>"40.16"</f>
        <v>40.16</v>
      </c>
      <c r="BM773" t="str">
        <f>"29.53"</f>
        <v>29.53</v>
      </c>
      <c r="BN773" t="str">
        <f>"128.31"</f>
        <v>128.31</v>
      </c>
      <c r="BO773" t="s">
        <v>389</v>
      </c>
      <c r="BP773" t="str">
        <f>"40.16"</f>
        <v>40.16</v>
      </c>
      <c r="BQ773" t="str">
        <f>"34.65"</f>
        <v>34.65</v>
      </c>
      <c r="BR773" t="str">
        <f>"29.53"</f>
        <v>29.53</v>
      </c>
      <c r="BS773" t="str">
        <f>"132.72"</f>
        <v>132.72</v>
      </c>
      <c r="BY773" t="str">
        <f>"78.36"</f>
        <v>78.36</v>
      </c>
      <c r="BZ773" t="str">
        <f>"2.219"</f>
        <v>2.219</v>
      </c>
      <c r="CA773" t="s">
        <v>431</v>
      </c>
      <c r="CP773" t="s">
        <v>437</v>
      </c>
      <c r="CQ773" t="s">
        <v>399</v>
      </c>
      <c r="CU773" t="s">
        <v>614</v>
      </c>
      <c r="CX773" t="s">
        <v>403</v>
      </c>
      <c r="CY773" t="s">
        <v>302</v>
      </c>
      <c r="DD773">
        <v>50000</v>
      </c>
      <c r="DE773" t="s">
        <v>439</v>
      </c>
      <c r="DF773" t="s">
        <v>406</v>
      </c>
      <c r="DG773" t="s">
        <v>407</v>
      </c>
      <c r="DI773">
        <v>3</v>
      </c>
      <c r="DJ773" t="s">
        <v>12398</v>
      </c>
      <c r="DK773" t="s">
        <v>14551</v>
      </c>
      <c r="DM773" t="s">
        <v>410</v>
      </c>
      <c r="ED773" t="s">
        <v>406</v>
      </c>
      <c r="EE773" t="s">
        <v>407</v>
      </c>
      <c r="EF773" t="s">
        <v>614</v>
      </c>
      <c r="EG773" t="s">
        <v>1556</v>
      </c>
      <c r="GP773" t="s">
        <v>11059</v>
      </c>
      <c r="GQ773" t="s">
        <v>12398</v>
      </c>
      <c r="KS773" t="s">
        <v>402</v>
      </c>
    </row>
    <row r="774" spans="1:305" x14ac:dyDescent="0.25">
      <c r="A774" t="s">
        <v>14597</v>
      </c>
      <c r="B774" t="str">
        <f>"198394083720"</f>
        <v>198394083720</v>
      </c>
      <c r="C774" t="s">
        <v>14598</v>
      </c>
      <c r="D774" t="s">
        <v>5390</v>
      </c>
      <c r="E774" t="s">
        <v>1166</v>
      </c>
      <c r="F774" t="s">
        <v>12398</v>
      </c>
      <c r="G774" t="str">
        <f>"111"</f>
        <v>111</v>
      </c>
      <c r="H774" t="str">
        <f>"40"</f>
        <v>40</v>
      </c>
      <c r="I774" t="str">
        <f>"37"</f>
        <v>37</v>
      </c>
      <c r="J774" t="str">
        <f>"321.87"</f>
        <v>321.87</v>
      </c>
      <c r="K774" t="s">
        <v>1496</v>
      </c>
      <c r="N774" t="s">
        <v>416</v>
      </c>
      <c r="T774" t="s">
        <v>373</v>
      </c>
      <c r="U774" t="s">
        <v>373</v>
      </c>
      <c r="V774" t="s">
        <v>14554</v>
      </c>
      <c r="W774" t="s">
        <v>14599</v>
      </c>
      <c r="X774" t="s">
        <v>14600</v>
      </c>
      <c r="Y774" t="s">
        <v>14601</v>
      </c>
      <c r="Z774" t="s">
        <v>14602</v>
      </c>
      <c r="AA774" t="s">
        <v>14603</v>
      </c>
      <c r="AB774" t="s">
        <v>14604</v>
      </c>
      <c r="AC774" t="s">
        <v>14605</v>
      </c>
      <c r="AD774" t="s">
        <v>14606</v>
      </c>
      <c r="AE774" t="s">
        <v>14607</v>
      </c>
      <c r="AF774" t="s">
        <v>14608</v>
      </c>
      <c r="AG774" t="s">
        <v>14609</v>
      </c>
      <c r="BA774" t="str">
        <f>"6699"</f>
        <v>6699</v>
      </c>
      <c r="BB774" t="str">
        <f>"2815"</f>
        <v>2815</v>
      </c>
      <c r="BC774" t="s">
        <v>388</v>
      </c>
      <c r="BD774" t="str">
        <f t="shared" si="174"/>
        <v>3</v>
      </c>
      <c r="BE774" t="s">
        <v>389</v>
      </c>
      <c r="BF774" t="str">
        <f>"39.76"</f>
        <v>39.76</v>
      </c>
      <c r="BG774" t="str">
        <f>"40.16"</f>
        <v>40.16</v>
      </c>
      <c r="BH774" t="str">
        <f>"29.53"</f>
        <v>29.53</v>
      </c>
      <c r="BI774" t="str">
        <f>"128.31"</f>
        <v>128.31</v>
      </c>
      <c r="BJ774" t="s">
        <v>389</v>
      </c>
      <c r="BK774" t="str">
        <f>"39.76"</f>
        <v>39.76</v>
      </c>
      <c r="BL774" t="str">
        <f>"40.16"</f>
        <v>40.16</v>
      </c>
      <c r="BM774" t="str">
        <f>"29.53"</f>
        <v>29.53</v>
      </c>
      <c r="BN774" t="str">
        <f>"128.31"</f>
        <v>128.31</v>
      </c>
      <c r="BO774" t="s">
        <v>389</v>
      </c>
      <c r="BP774" t="str">
        <f>"40.16"</f>
        <v>40.16</v>
      </c>
      <c r="BQ774" t="str">
        <f>"34.65"</f>
        <v>34.65</v>
      </c>
      <c r="BR774" t="str">
        <f>"29.53"</f>
        <v>29.53</v>
      </c>
      <c r="BS774" t="str">
        <f>"132.72"</f>
        <v>132.72</v>
      </c>
      <c r="BY774" t="str">
        <f>"78.36"</f>
        <v>78.36</v>
      </c>
      <c r="BZ774" t="str">
        <f>"2.219"</f>
        <v>2.219</v>
      </c>
      <c r="CA774" t="s">
        <v>495</v>
      </c>
      <c r="CP774" t="s">
        <v>437</v>
      </c>
      <c r="CQ774" t="s">
        <v>438</v>
      </c>
      <c r="CU774" t="s">
        <v>614</v>
      </c>
      <c r="CX774" t="s">
        <v>403</v>
      </c>
      <c r="CY774" t="s">
        <v>302</v>
      </c>
      <c r="DD774">
        <v>0</v>
      </c>
      <c r="DE774" t="s">
        <v>439</v>
      </c>
      <c r="DF774" t="s">
        <v>406</v>
      </c>
      <c r="DG774" t="s">
        <v>407</v>
      </c>
      <c r="DI774">
        <v>3</v>
      </c>
      <c r="DJ774" t="s">
        <v>12398</v>
      </c>
      <c r="DK774" t="s">
        <v>14551</v>
      </c>
      <c r="DM774" t="s">
        <v>410</v>
      </c>
      <c r="ED774" t="s">
        <v>406</v>
      </c>
      <c r="EE774" t="s">
        <v>407</v>
      </c>
      <c r="EF774" t="s">
        <v>614</v>
      </c>
      <c r="EG774" t="s">
        <v>1556</v>
      </c>
      <c r="GP774" t="s">
        <v>11059</v>
      </c>
      <c r="GQ774" t="s">
        <v>12398</v>
      </c>
      <c r="KS774" t="s">
        <v>402</v>
      </c>
    </row>
    <row r="775" spans="1:305" x14ac:dyDescent="0.25">
      <c r="A775" t="s">
        <v>14610</v>
      </c>
      <c r="B775" t="str">
        <f>"801542824914"</f>
        <v>801542824914</v>
      </c>
      <c r="C775" t="s">
        <v>14611</v>
      </c>
      <c r="D775" t="s">
        <v>1224</v>
      </c>
      <c r="E775" t="s">
        <v>1077</v>
      </c>
      <c r="G775" t="str">
        <f>"70"</f>
        <v>70</v>
      </c>
      <c r="H775" t="str">
        <f>"35"</f>
        <v>35</v>
      </c>
      <c r="I775" t="str">
        <f>"15"</f>
        <v>15</v>
      </c>
      <c r="J775" t="str">
        <f>"95.02"</f>
        <v>95.02</v>
      </c>
      <c r="K775" t="s">
        <v>14612</v>
      </c>
      <c r="L775" t="s">
        <v>14613</v>
      </c>
      <c r="N775" t="s">
        <v>14614</v>
      </c>
      <c r="O775" t="s">
        <v>14615</v>
      </c>
      <c r="T775" t="s">
        <v>373</v>
      </c>
      <c r="U775" t="s">
        <v>373</v>
      </c>
      <c r="V775" t="s">
        <v>14616</v>
      </c>
      <c r="W775" t="s">
        <v>14617</v>
      </c>
      <c r="X775" t="s">
        <v>14618</v>
      </c>
      <c r="Y775" t="s">
        <v>14619</v>
      </c>
      <c r="Z775" t="s">
        <v>14620</v>
      </c>
      <c r="AA775" t="s">
        <v>14621</v>
      </c>
      <c r="AB775" t="s">
        <v>14622</v>
      </c>
      <c r="AC775" t="s">
        <v>14623</v>
      </c>
      <c r="AD775" t="s">
        <v>14624</v>
      </c>
      <c r="AE775" t="s">
        <v>14625</v>
      </c>
      <c r="AF775" t="s">
        <v>14626</v>
      </c>
      <c r="AG775" t="s">
        <v>14627</v>
      </c>
      <c r="AH775" t="s">
        <v>14628</v>
      </c>
      <c r="BA775" t="str">
        <f>"2599"</f>
        <v>2599</v>
      </c>
      <c r="BB775" t="str">
        <f>"1095"</f>
        <v>1095</v>
      </c>
      <c r="BC775" t="s">
        <v>1149</v>
      </c>
      <c r="BD775" t="str">
        <f>"1"</f>
        <v>1</v>
      </c>
      <c r="BE775" t="s">
        <v>389</v>
      </c>
      <c r="BF775" t="str">
        <f>"77.56"</f>
        <v>77.56</v>
      </c>
      <c r="BG775" t="str">
        <f>"39.37"</f>
        <v>39.37</v>
      </c>
      <c r="BH775" t="str">
        <f>"21.26"</f>
        <v>21.26</v>
      </c>
      <c r="BI775" t="str">
        <f>"150.57"</f>
        <v>150.57</v>
      </c>
      <c r="BY775" t="str">
        <f>"37.57"</f>
        <v>37.57</v>
      </c>
      <c r="BZ775" t="str">
        <f>"1.064"</f>
        <v>1.064</v>
      </c>
      <c r="CA775" t="s">
        <v>495</v>
      </c>
      <c r="CR775" t="s">
        <v>400</v>
      </c>
      <c r="CS775">
        <v>0</v>
      </c>
      <c r="CT775" t="s">
        <v>400</v>
      </c>
      <c r="CV775">
        <v>0</v>
      </c>
      <c r="CX775" t="s">
        <v>953</v>
      </c>
      <c r="CY775" t="s">
        <v>400</v>
      </c>
      <c r="DC775">
        <v>0</v>
      </c>
      <c r="DJ775" t="s">
        <v>408</v>
      </c>
      <c r="DK775" t="s">
        <v>14629</v>
      </c>
      <c r="DM775" t="s">
        <v>473</v>
      </c>
      <c r="DX775" t="s">
        <v>2696</v>
      </c>
      <c r="DY775" t="s">
        <v>791</v>
      </c>
      <c r="DZ775" t="s">
        <v>14630</v>
      </c>
      <c r="EI775" t="s">
        <v>638</v>
      </c>
      <c r="EJ775" t="s">
        <v>2696</v>
      </c>
      <c r="EK775" t="s">
        <v>2264</v>
      </c>
      <c r="EL775" t="s">
        <v>637</v>
      </c>
      <c r="EM775" t="s">
        <v>402</v>
      </c>
      <c r="EN775">
        <v>0</v>
      </c>
      <c r="EO775">
        <v>0</v>
      </c>
      <c r="EX775" t="s">
        <v>450</v>
      </c>
    </row>
    <row r="776" spans="1:305" x14ac:dyDescent="0.25">
      <c r="A776" t="s">
        <v>14631</v>
      </c>
      <c r="B776" t="str">
        <f>"801542192488"</f>
        <v>801542192488</v>
      </c>
      <c r="C776" t="s">
        <v>14632</v>
      </c>
      <c r="D776" t="s">
        <v>835</v>
      </c>
      <c r="E776" t="s">
        <v>515</v>
      </c>
      <c r="F776" t="s">
        <v>516</v>
      </c>
      <c r="G776" t="str">
        <f>"35"</f>
        <v>35</v>
      </c>
      <c r="H776" t="str">
        <f>"36"</f>
        <v>36</v>
      </c>
      <c r="I776" t="str">
        <f>"29.5"</f>
        <v>29.5</v>
      </c>
      <c r="J776" t="str">
        <f>"63.93"</f>
        <v>63.93</v>
      </c>
      <c r="K776" t="s">
        <v>9152</v>
      </c>
      <c r="L776" t="s">
        <v>2550</v>
      </c>
      <c r="N776" t="s">
        <v>1170</v>
      </c>
      <c r="O776" t="s">
        <v>3084</v>
      </c>
      <c r="P776" t="s">
        <v>775</v>
      </c>
      <c r="T776" t="s">
        <v>373</v>
      </c>
      <c r="U776" t="s">
        <v>373</v>
      </c>
      <c r="V776" t="s">
        <v>14633</v>
      </c>
      <c r="W776" t="s">
        <v>14634</v>
      </c>
      <c r="X776" t="s">
        <v>14635</v>
      </c>
      <c r="Y776" t="s">
        <v>14636</v>
      </c>
      <c r="Z776" t="s">
        <v>14637</v>
      </c>
      <c r="AA776" t="s">
        <v>14638</v>
      </c>
      <c r="AB776" t="s">
        <v>14639</v>
      </c>
      <c r="AC776" t="s">
        <v>14640</v>
      </c>
      <c r="AD776" t="s">
        <v>14641</v>
      </c>
      <c r="AE776" t="s">
        <v>14642</v>
      </c>
      <c r="AF776" t="s">
        <v>14643</v>
      </c>
      <c r="AG776" t="s">
        <v>14644</v>
      </c>
      <c r="BA776" t="str">
        <f>"1249"</f>
        <v>1249</v>
      </c>
      <c r="BB776" t="str">
        <f>"525"</f>
        <v>525</v>
      </c>
      <c r="BC776" t="s">
        <v>388</v>
      </c>
      <c r="BD776" t="str">
        <f>"1"</f>
        <v>1</v>
      </c>
      <c r="BE776" t="s">
        <v>739</v>
      </c>
      <c r="BF776" t="str">
        <f t="shared" ref="BF776:BG779" si="175">"36.61"</f>
        <v>36.61</v>
      </c>
      <c r="BG776" t="str">
        <f t="shared" si="175"/>
        <v>36.61</v>
      </c>
      <c r="BH776" t="str">
        <f>"33.07"</f>
        <v>33.07</v>
      </c>
      <c r="BI776" t="str">
        <f>"95.24"</f>
        <v>95.24</v>
      </c>
      <c r="BY776" t="str">
        <f>"23.38"</f>
        <v>23.38</v>
      </c>
      <c r="BZ776" t="str">
        <f>"0.662"</f>
        <v>0.662</v>
      </c>
      <c r="CA776" t="s">
        <v>431</v>
      </c>
      <c r="CK776" t="s">
        <v>600</v>
      </c>
      <c r="CL776" t="s">
        <v>511</v>
      </c>
      <c r="CN776">
        <v>0</v>
      </c>
      <c r="CO776">
        <v>1</v>
      </c>
      <c r="CP776" t="s">
        <v>437</v>
      </c>
      <c r="CQ776" t="s">
        <v>631</v>
      </c>
      <c r="CX776" t="s">
        <v>403</v>
      </c>
      <c r="CY776" t="s">
        <v>1753</v>
      </c>
      <c r="CZ776">
        <v>0</v>
      </c>
      <c r="DD776">
        <v>30000</v>
      </c>
      <c r="DE776" t="s">
        <v>439</v>
      </c>
      <c r="DF776" t="s">
        <v>632</v>
      </c>
      <c r="DH776">
        <v>1</v>
      </c>
      <c r="DI776">
        <v>1</v>
      </c>
      <c r="DK776" t="s">
        <v>14645</v>
      </c>
      <c r="DL776">
        <v>0</v>
      </c>
      <c r="DM776" t="s">
        <v>538</v>
      </c>
      <c r="DN776" t="s">
        <v>1553</v>
      </c>
      <c r="DO776" t="s">
        <v>610</v>
      </c>
      <c r="DP776" t="s">
        <v>474</v>
      </c>
      <c r="DT776" t="s">
        <v>450</v>
      </c>
      <c r="DX776" t="s">
        <v>1040</v>
      </c>
      <c r="EA776" t="s">
        <v>1056</v>
      </c>
      <c r="ED776" t="s">
        <v>632</v>
      </c>
      <c r="EG776" t="s">
        <v>1513</v>
      </c>
      <c r="EP776" t="s">
        <v>449</v>
      </c>
      <c r="EQ776" t="s">
        <v>600</v>
      </c>
      <c r="ER776">
        <v>0</v>
      </c>
      <c r="ES776">
        <v>0</v>
      </c>
      <c r="EU776">
        <v>0</v>
      </c>
      <c r="HM776" t="s">
        <v>1754</v>
      </c>
    </row>
    <row r="777" spans="1:305" x14ac:dyDescent="0.25">
      <c r="A777" t="s">
        <v>14646</v>
      </c>
      <c r="B777" t="str">
        <f>"801542192501"</f>
        <v>801542192501</v>
      </c>
      <c r="C777" t="s">
        <v>14647</v>
      </c>
      <c r="D777" t="s">
        <v>835</v>
      </c>
      <c r="E777" t="s">
        <v>515</v>
      </c>
      <c r="F777" t="s">
        <v>516</v>
      </c>
      <c r="G777" t="str">
        <f>"35"</f>
        <v>35</v>
      </c>
      <c r="H777" t="str">
        <f>"36"</f>
        <v>36</v>
      </c>
      <c r="I777" t="str">
        <f>"29.5"</f>
        <v>29.5</v>
      </c>
      <c r="J777" t="str">
        <f>"63.93"</f>
        <v>63.93</v>
      </c>
      <c r="K777" t="s">
        <v>4829</v>
      </c>
      <c r="L777" t="s">
        <v>1857</v>
      </c>
      <c r="N777" t="s">
        <v>1793</v>
      </c>
      <c r="O777" t="s">
        <v>1794</v>
      </c>
      <c r="P777" t="s">
        <v>775</v>
      </c>
      <c r="T777" t="s">
        <v>373</v>
      </c>
      <c r="U777" t="s">
        <v>373</v>
      </c>
      <c r="V777" t="s">
        <v>14648</v>
      </c>
      <c r="W777" t="s">
        <v>14649</v>
      </c>
      <c r="X777" t="s">
        <v>14650</v>
      </c>
      <c r="Y777" t="s">
        <v>14651</v>
      </c>
      <c r="Z777" t="s">
        <v>14652</v>
      </c>
      <c r="AA777" t="s">
        <v>14653</v>
      </c>
      <c r="AB777" t="s">
        <v>14654</v>
      </c>
      <c r="AC777" t="s">
        <v>14655</v>
      </c>
      <c r="AD777" t="s">
        <v>14656</v>
      </c>
      <c r="AE777" t="s">
        <v>14657</v>
      </c>
      <c r="AF777" t="s">
        <v>14658</v>
      </c>
      <c r="AG777" t="s">
        <v>14659</v>
      </c>
      <c r="AH777" t="s">
        <v>14660</v>
      </c>
      <c r="AI777" t="s">
        <v>14661</v>
      </c>
      <c r="BA777" t="str">
        <f>"1249"</f>
        <v>1249</v>
      </c>
      <c r="BB777" t="str">
        <f>"525"</f>
        <v>525</v>
      </c>
      <c r="BC777" t="s">
        <v>388</v>
      </c>
      <c r="BD777" t="str">
        <f>"1"</f>
        <v>1</v>
      </c>
      <c r="BE777" t="s">
        <v>739</v>
      </c>
      <c r="BF777" t="str">
        <f t="shared" si="175"/>
        <v>36.61</v>
      </c>
      <c r="BG777" t="str">
        <f t="shared" si="175"/>
        <v>36.61</v>
      </c>
      <c r="BH777" t="str">
        <f>"33.07"</f>
        <v>33.07</v>
      </c>
      <c r="BI777" t="str">
        <f>"95.24"</f>
        <v>95.24</v>
      </c>
      <c r="BY777" t="str">
        <f>"23.38"</f>
        <v>23.38</v>
      </c>
      <c r="BZ777" t="str">
        <f>"0.662"</f>
        <v>0.662</v>
      </c>
      <c r="CA777" t="s">
        <v>431</v>
      </c>
      <c r="CK777" t="s">
        <v>600</v>
      </c>
      <c r="CL777" t="s">
        <v>511</v>
      </c>
      <c r="CN777">
        <v>0</v>
      </c>
      <c r="CO777">
        <v>1</v>
      </c>
      <c r="CP777" t="s">
        <v>437</v>
      </c>
      <c r="CQ777" t="s">
        <v>438</v>
      </c>
      <c r="CX777" t="s">
        <v>403</v>
      </c>
      <c r="CY777" t="s">
        <v>1753</v>
      </c>
      <c r="CZ777">
        <v>0</v>
      </c>
      <c r="DD777">
        <v>30000</v>
      </c>
      <c r="DE777" t="s">
        <v>439</v>
      </c>
      <c r="DF777" t="s">
        <v>632</v>
      </c>
      <c r="DH777">
        <v>1</v>
      </c>
      <c r="DI777">
        <v>1</v>
      </c>
      <c r="DK777" t="s">
        <v>14645</v>
      </c>
      <c r="DL777">
        <v>0</v>
      </c>
      <c r="DM777" t="s">
        <v>538</v>
      </c>
      <c r="DN777" t="s">
        <v>1553</v>
      </c>
      <c r="DO777" t="s">
        <v>610</v>
      </c>
      <c r="DP777" t="s">
        <v>474</v>
      </c>
      <c r="DT777" t="s">
        <v>450</v>
      </c>
      <c r="DX777" t="s">
        <v>1040</v>
      </c>
      <c r="EA777" t="s">
        <v>1056</v>
      </c>
      <c r="ED777" t="s">
        <v>632</v>
      </c>
      <c r="EG777" t="s">
        <v>1513</v>
      </c>
      <c r="EP777" t="s">
        <v>449</v>
      </c>
      <c r="EQ777" t="s">
        <v>600</v>
      </c>
      <c r="ER777">
        <v>0</v>
      </c>
      <c r="ES777">
        <v>0</v>
      </c>
      <c r="EU777">
        <v>0</v>
      </c>
      <c r="HM777" t="s">
        <v>1754</v>
      </c>
    </row>
    <row r="778" spans="1:305" x14ac:dyDescent="0.25">
      <c r="A778" t="s">
        <v>14662</v>
      </c>
      <c r="B778" t="str">
        <f>"801542394929"</f>
        <v>801542394929</v>
      </c>
      <c r="C778" t="s">
        <v>14663</v>
      </c>
      <c r="D778" t="s">
        <v>835</v>
      </c>
      <c r="E778" t="s">
        <v>515</v>
      </c>
      <c r="F778" t="s">
        <v>516</v>
      </c>
      <c r="G778" t="str">
        <f>"35"</f>
        <v>35</v>
      </c>
      <c r="H778" t="str">
        <f>"36"</f>
        <v>36</v>
      </c>
      <c r="I778" t="str">
        <f>"29.5"</f>
        <v>29.5</v>
      </c>
      <c r="J778" t="str">
        <f>"63.93"</f>
        <v>63.93</v>
      </c>
      <c r="K778" t="s">
        <v>14664</v>
      </c>
      <c r="L778" t="s">
        <v>1857</v>
      </c>
      <c r="N778" t="s">
        <v>416</v>
      </c>
      <c r="O778" t="s">
        <v>775</v>
      </c>
      <c r="T778" t="s">
        <v>373</v>
      </c>
      <c r="U778" t="s">
        <v>373</v>
      </c>
      <c r="W778" t="s">
        <v>14665</v>
      </c>
      <c r="X778" t="s">
        <v>14666</v>
      </c>
      <c r="Y778" t="s">
        <v>14667</v>
      </c>
      <c r="Z778" t="s">
        <v>14668</v>
      </c>
      <c r="AA778" t="s">
        <v>14669</v>
      </c>
      <c r="AB778" t="s">
        <v>14670</v>
      </c>
      <c r="AC778" t="s">
        <v>14671</v>
      </c>
      <c r="AD778" t="s">
        <v>14672</v>
      </c>
      <c r="AE778" t="s">
        <v>14673</v>
      </c>
      <c r="AF778" t="s">
        <v>14674</v>
      </c>
      <c r="AG778" t="s">
        <v>14675</v>
      </c>
      <c r="BA778" t="str">
        <f>"2099"</f>
        <v>2099</v>
      </c>
      <c r="BB778" t="str">
        <f>"885"</f>
        <v>885</v>
      </c>
      <c r="BC778" t="s">
        <v>388</v>
      </c>
      <c r="BD778" t="str">
        <f>"1"</f>
        <v>1</v>
      </c>
      <c r="BE778" t="s">
        <v>739</v>
      </c>
      <c r="BF778" t="str">
        <f t="shared" si="175"/>
        <v>36.61</v>
      </c>
      <c r="BG778" t="str">
        <f t="shared" si="175"/>
        <v>36.61</v>
      </c>
      <c r="BH778" t="str">
        <f>"33.07"</f>
        <v>33.07</v>
      </c>
      <c r="BI778" t="str">
        <f>"95.24"</f>
        <v>95.24</v>
      </c>
      <c r="BY778" t="str">
        <f>"23.38"</f>
        <v>23.38</v>
      </c>
      <c r="BZ778" t="str">
        <f>"0.662"</f>
        <v>0.662</v>
      </c>
      <c r="CA778" t="s">
        <v>431</v>
      </c>
      <c r="CK778" t="s">
        <v>600</v>
      </c>
      <c r="CL778" t="s">
        <v>511</v>
      </c>
      <c r="CN778">
        <v>0</v>
      </c>
      <c r="CO778">
        <v>1</v>
      </c>
      <c r="CP778" t="s">
        <v>437</v>
      </c>
      <c r="CQ778" t="s">
        <v>438</v>
      </c>
      <c r="CX778" t="s">
        <v>403</v>
      </c>
      <c r="CY778" t="s">
        <v>1753</v>
      </c>
      <c r="CZ778">
        <v>0</v>
      </c>
      <c r="DD778">
        <v>0</v>
      </c>
      <c r="DE778" t="s">
        <v>439</v>
      </c>
      <c r="DF778" t="s">
        <v>632</v>
      </c>
      <c r="DH778">
        <v>1</v>
      </c>
      <c r="DI778">
        <v>1</v>
      </c>
      <c r="DK778" t="s">
        <v>14645</v>
      </c>
      <c r="DL778">
        <v>0</v>
      </c>
      <c r="DM778" t="s">
        <v>538</v>
      </c>
      <c r="DN778" t="s">
        <v>1553</v>
      </c>
      <c r="DO778" t="s">
        <v>610</v>
      </c>
      <c r="DP778" t="s">
        <v>474</v>
      </c>
      <c r="DT778" t="s">
        <v>450</v>
      </c>
      <c r="DX778" t="s">
        <v>1040</v>
      </c>
      <c r="EA778" t="s">
        <v>1056</v>
      </c>
      <c r="ED778" t="s">
        <v>632</v>
      </c>
      <c r="EG778" t="s">
        <v>1513</v>
      </c>
      <c r="EP778" t="s">
        <v>449</v>
      </c>
      <c r="EQ778" t="s">
        <v>600</v>
      </c>
      <c r="ER778">
        <v>0</v>
      </c>
      <c r="ES778">
        <v>0</v>
      </c>
      <c r="EU778">
        <v>0</v>
      </c>
      <c r="HM778" t="s">
        <v>1754</v>
      </c>
    </row>
    <row r="779" spans="1:305" x14ac:dyDescent="0.25">
      <c r="A779" t="s">
        <v>14676</v>
      </c>
      <c r="B779" t="str">
        <f>"198394021715"</f>
        <v>198394021715</v>
      </c>
      <c r="C779" t="s">
        <v>14677</v>
      </c>
      <c r="D779" t="s">
        <v>835</v>
      </c>
      <c r="E779" t="s">
        <v>515</v>
      </c>
      <c r="F779" t="s">
        <v>516</v>
      </c>
      <c r="G779" t="str">
        <f>"35"</f>
        <v>35</v>
      </c>
      <c r="H779" t="str">
        <f>"36"</f>
        <v>36</v>
      </c>
      <c r="I779" t="str">
        <f>"29.5"</f>
        <v>29.5</v>
      </c>
      <c r="J779" t="str">
        <f>"63.93"</f>
        <v>63.93</v>
      </c>
      <c r="K779" t="s">
        <v>14678</v>
      </c>
      <c r="L779" t="s">
        <v>1857</v>
      </c>
      <c r="N779" t="s">
        <v>14679</v>
      </c>
      <c r="O779" t="s">
        <v>775</v>
      </c>
      <c r="T779" t="s">
        <v>373</v>
      </c>
      <c r="U779" t="s">
        <v>373</v>
      </c>
      <c r="V779" t="s">
        <v>14680</v>
      </c>
      <c r="W779" t="s">
        <v>14681</v>
      </c>
      <c r="X779" t="s">
        <v>14682</v>
      </c>
      <c r="Y779" t="s">
        <v>14683</v>
      </c>
      <c r="Z779" t="s">
        <v>14684</v>
      </c>
      <c r="AA779" t="s">
        <v>14685</v>
      </c>
      <c r="AB779" t="s">
        <v>14686</v>
      </c>
      <c r="AC779" t="s">
        <v>14687</v>
      </c>
      <c r="AD779" t="s">
        <v>14688</v>
      </c>
      <c r="AE779" t="s">
        <v>14689</v>
      </c>
      <c r="AF779" t="s">
        <v>14690</v>
      </c>
      <c r="AG779" t="s">
        <v>14691</v>
      </c>
      <c r="AH779" t="s">
        <v>14692</v>
      </c>
      <c r="AI779" t="s">
        <v>14693</v>
      </c>
      <c r="BA779" t="str">
        <f>"3199"</f>
        <v>3199</v>
      </c>
      <c r="BB779" t="str">
        <f>"1345"</f>
        <v>1345</v>
      </c>
      <c r="BC779" t="s">
        <v>388</v>
      </c>
      <c r="BD779" t="str">
        <f>"1"</f>
        <v>1</v>
      </c>
      <c r="BE779" t="s">
        <v>739</v>
      </c>
      <c r="BF779" t="str">
        <f t="shared" si="175"/>
        <v>36.61</v>
      </c>
      <c r="BG779" t="str">
        <f t="shared" si="175"/>
        <v>36.61</v>
      </c>
      <c r="BH779" t="str">
        <f>"33.07"</f>
        <v>33.07</v>
      </c>
      <c r="BI779" t="str">
        <f>"95.24"</f>
        <v>95.24</v>
      </c>
      <c r="BY779" t="str">
        <f>"23.38"</f>
        <v>23.38</v>
      </c>
      <c r="BZ779" t="str">
        <f>"0.662"</f>
        <v>0.662</v>
      </c>
      <c r="CA779" t="s">
        <v>431</v>
      </c>
      <c r="CK779" t="s">
        <v>600</v>
      </c>
      <c r="CL779" t="s">
        <v>511</v>
      </c>
      <c r="CN779">
        <v>0</v>
      </c>
      <c r="CO779">
        <v>1</v>
      </c>
      <c r="CP779" t="s">
        <v>437</v>
      </c>
      <c r="CQ779" t="s">
        <v>438</v>
      </c>
      <c r="CX779" t="s">
        <v>403</v>
      </c>
      <c r="CY779" t="s">
        <v>1753</v>
      </c>
      <c r="CZ779">
        <v>0</v>
      </c>
      <c r="DD779">
        <v>0</v>
      </c>
      <c r="DE779" t="s">
        <v>439</v>
      </c>
      <c r="DF779" t="s">
        <v>632</v>
      </c>
      <c r="DH779">
        <v>1</v>
      </c>
      <c r="DI779">
        <v>1</v>
      </c>
      <c r="DK779" t="s">
        <v>14645</v>
      </c>
      <c r="DL779">
        <v>0</v>
      </c>
      <c r="DM779" t="s">
        <v>538</v>
      </c>
      <c r="DN779" t="s">
        <v>1553</v>
      </c>
      <c r="DO779" t="s">
        <v>610</v>
      </c>
      <c r="DP779" t="s">
        <v>474</v>
      </c>
      <c r="DT779" t="s">
        <v>450</v>
      </c>
      <c r="DX779" t="s">
        <v>1040</v>
      </c>
      <c r="EA779" t="s">
        <v>1056</v>
      </c>
      <c r="ED779" t="s">
        <v>632</v>
      </c>
      <c r="EG779" t="s">
        <v>1513</v>
      </c>
      <c r="EP779" t="s">
        <v>449</v>
      </c>
      <c r="EQ779" t="s">
        <v>600</v>
      </c>
      <c r="ER779">
        <v>0</v>
      </c>
      <c r="ES779">
        <v>0</v>
      </c>
      <c r="EU779">
        <v>0</v>
      </c>
      <c r="HM779" t="s">
        <v>1754</v>
      </c>
    </row>
    <row r="780" spans="1:305" x14ac:dyDescent="0.25">
      <c r="A780" t="s">
        <v>14694</v>
      </c>
      <c r="B780" t="str">
        <f>"801542236939"</f>
        <v>801542236939</v>
      </c>
      <c r="C780" t="s">
        <v>14695</v>
      </c>
      <c r="D780" t="s">
        <v>1224</v>
      </c>
      <c r="E780" t="s">
        <v>4074</v>
      </c>
      <c r="G780" t="str">
        <f>"94"</f>
        <v>94</v>
      </c>
      <c r="H780" t="str">
        <f>"22"</f>
        <v>22</v>
      </c>
      <c r="I780" t="str">
        <f>"30"</f>
        <v>30</v>
      </c>
      <c r="J780" t="str">
        <f>"136.35"</f>
        <v>136.35</v>
      </c>
      <c r="K780" t="s">
        <v>14612</v>
      </c>
      <c r="N780" t="s">
        <v>14614</v>
      </c>
      <c r="T780" t="s">
        <v>373</v>
      </c>
      <c r="U780" t="s">
        <v>373</v>
      </c>
      <c r="V780" t="s">
        <v>14696</v>
      </c>
      <c r="W780" t="s">
        <v>14697</v>
      </c>
      <c r="X780" t="s">
        <v>14698</v>
      </c>
      <c r="Y780" t="s">
        <v>14699</v>
      </c>
      <c r="Z780" t="s">
        <v>14700</v>
      </c>
      <c r="AA780" t="s">
        <v>14701</v>
      </c>
      <c r="AB780" t="s">
        <v>14702</v>
      </c>
      <c r="AC780" t="s">
        <v>14703</v>
      </c>
      <c r="AD780" t="s">
        <v>14704</v>
      </c>
      <c r="AE780" t="s">
        <v>14705</v>
      </c>
      <c r="AF780" t="s">
        <v>14706</v>
      </c>
      <c r="AG780" t="s">
        <v>14707</v>
      </c>
      <c r="AH780" t="s">
        <v>14708</v>
      </c>
      <c r="AI780" t="s">
        <v>14709</v>
      </c>
      <c r="AJ780" t="s">
        <v>14710</v>
      </c>
      <c r="AK780" t="s">
        <v>14711</v>
      </c>
      <c r="AL780" t="s">
        <v>14712</v>
      </c>
      <c r="AM780" t="s">
        <v>14713</v>
      </c>
      <c r="BA780" t="str">
        <f>"2599"</f>
        <v>2599</v>
      </c>
      <c r="BB780" t="str">
        <f>"1095"</f>
        <v>1095</v>
      </c>
      <c r="BC780" t="s">
        <v>1149</v>
      </c>
      <c r="BD780" t="str">
        <f>"2"</f>
        <v>2</v>
      </c>
      <c r="BE780" t="s">
        <v>1089</v>
      </c>
      <c r="BF780" t="str">
        <f>"101.18"</f>
        <v>101.18</v>
      </c>
      <c r="BG780" t="str">
        <f>"7.87"</f>
        <v>7.87</v>
      </c>
      <c r="BH780" t="str">
        <f>"29.13"</f>
        <v>29.13</v>
      </c>
      <c r="BI780" t="str">
        <f>"109.13"</f>
        <v>109.13</v>
      </c>
      <c r="BJ780" t="s">
        <v>14714</v>
      </c>
      <c r="BK780" t="str">
        <f>"43.78"</f>
        <v>43.78</v>
      </c>
      <c r="BL780" t="str">
        <f>"23.62"</f>
        <v>23.62</v>
      </c>
      <c r="BM780" t="str">
        <f>"34.06"</f>
        <v>34.06</v>
      </c>
      <c r="BN780" t="str">
        <f>"93.7"</f>
        <v>93.7</v>
      </c>
      <c r="BY780" t="str">
        <f>"33.8"</f>
        <v>33.8</v>
      </c>
      <c r="BZ780" t="str">
        <f>"0.957"</f>
        <v>0.957</v>
      </c>
      <c r="CA780" t="s">
        <v>495</v>
      </c>
      <c r="CR780" t="s">
        <v>400</v>
      </c>
      <c r="CS780">
        <v>0</v>
      </c>
      <c r="CT780" t="s">
        <v>400</v>
      </c>
      <c r="CV780">
        <v>0</v>
      </c>
      <c r="CX780" t="s">
        <v>953</v>
      </c>
      <c r="CY780" t="s">
        <v>400</v>
      </c>
      <c r="DC780">
        <v>0</v>
      </c>
      <c r="DJ780" t="s">
        <v>408</v>
      </c>
      <c r="DK780" t="s">
        <v>14715</v>
      </c>
      <c r="DM780" t="s">
        <v>669</v>
      </c>
      <c r="DX780" t="s">
        <v>609</v>
      </c>
      <c r="DZ780" t="s">
        <v>3023</v>
      </c>
      <c r="EI780" t="s">
        <v>474</v>
      </c>
      <c r="EJ780" t="s">
        <v>609</v>
      </c>
      <c r="EK780" t="s">
        <v>474</v>
      </c>
      <c r="EL780" t="s">
        <v>827</v>
      </c>
      <c r="EM780" t="s">
        <v>402</v>
      </c>
      <c r="EN780">
        <v>0</v>
      </c>
      <c r="EO780">
        <v>0</v>
      </c>
      <c r="EX780" t="s">
        <v>2908</v>
      </c>
      <c r="FI780">
        <v>0</v>
      </c>
      <c r="FJ780" t="s">
        <v>1012</v>
      </c>
    </row>
    <row r="781" spans="1:305" x14ac:dyDescent="0.25">
      <c r="A781" t="s">
        <v>14716</v>
      </c>
      <c r="B781" t="str">
        <f>"801542834258"</f>
        <v>801542834258</v>
      </c>
      <c r="C781" t="s">
        <v>14717</v>
      </c>
      <c r="D781" t="s">
        <v>1224</v>
      </c>
      <c r="E781" t="s">
        <v>4074</v>
      </c>
      <c r="G781" t="str">
        <f>"94"</f>
        <v>94</v>
      </c>
      <c r="H781" t="str">
        <f>"22"</f>
        <v>22</v>
      </c>
      <c r="I781" t="str">
        <f>"30"</f>
        <v>30</v>
      </c>
      <c r="J781" t="str">
        <f>"136.46"</f>
        <v>136.46</v>
      </c>
      <c r="K781" t="s">
        <v>14718</v>
      </c>
      <c r="N781" t="s">
        <v>14614</v>
      </c>
      <c r="T781" t="s">
        <v>373</v>
      </c>
      <c r="U781" t="s">
        <v>373</v>
      </c>
      <c r="V781" t="s">
        <v>14719</v>
      </c>
      <c r="W781" t="s">
        <v>14720</v>
      </c>
      <c r="X781" t="s">
        <v>14721</v>
      </c>
      <c r="Y781" t="s">
        <v>14722</v>
      </c>
      <c r="Z781" t="s">
        <v>14723</v>
      </c>
      <c r="AA781" t="s">
        <v>14724</v>
      </c>
      <c r="AB781" t="s">
        <v>14725</v>
      </c>
      <c r="AC781" t="s">
        <v>14726</v>
      </c>
      <c r="AD781" t="s">
        <v>14727</v>
      </c>
      <c r="AE781" t="s">
        <v>14728</v>
      </c>
      <c r="AF781" t="s">
        <v>14729</v>
      </c>
      <c r="AG781" t="s">
        <v>14730</v>
      </c>
      <c r="BA781" t="str">
        <f>"2599"</f>
        <v>2599</v>
      </c>
      <c r="BB781" t="str">
        <f>"1095"</f>
        <v>1095</v>
      </c>
      <c r="BC781" t="s">
        <v>1149</v>
      </c>
      <c r="BD781" t="str">
        <f>"2"</f>
        <v>2</v>
      </c>
      <c r="BE781" t="s">
        <v>1089</v>
      </c>
      <c r="BF781" t="str">
        <f>"101.18"</f>
        <v>101.18</v>
      </c>
      <c r="BG781" t="str">
        <f>"7.87"</f>
        <v>7.87</v>
      </c>
      <c r="BH781" t="str">
        <f>"29.13"</f>
        <v>29.13</v>
      </c>
      <c r="BI781" t="str">
        <f>"109.13"</f>
        <v>109.13</v>
      </c>
      <c r="BJ781" t="s">
        <v>14714</v>
      </c>
      <c r="BK781" t="str">
        <f>"43.78"</f>
        <v>43.78</v>
      </c>
      <c r="BL781" t="str">
        <f>"23.62"</f>
        <v>23.62</v>
      </c>
      <c r="BM781" t="str">
        <f>"34.06"</f>
        <v>34.06</v>
      </c>
      <c r="BN781" t="str">
        <f>"93.7"</f>
        <v>93.7</v>
      </c>
      <c r="BY781" t="str">
        <f>"33.8"</f>
        <v>33.8</v>
      </c>
      <c r="BZ781" t="str">
        <f>"0.957"</f>
        <v>0.957</v>
      </c>
      <c r="CA781" t="s">
        <v>495</v>
      </c>
      <c r="CR781" t="s">
        <v>400</v>
      </c>
      <c r="CS781">
        <v>0</v>
      </c>
      <c r="CT781" t="s">
        <v>400</v>
      </c>
      <c r="CV781">
        <v>0</v>
      </c>
      <c r="CX781" t="s">
        <v>953</v>
      </c>
      <c r="CY781" t="s">
        <v>400</v>
      </c>
      <c r="DC781">
        <v>0</v>
      </c>
      <c r="DJ781" t="s">
        <v>408</v>
      </c>
      <c r="DK781" t="s">
        <v>14715</v>
      </c>
      <c r="DM781" t="s">
        <v>669</v>
      </c>
      <c r="DX781" t="s">
        <v>609</v>
      </c>
      <c r="DZ781" t="s">
        <v>3023</v>
      </c>
      <c r="EI781" t="s">
        <v>474</v>
      </c>
      <c r="EJ781" t="s">
        <v>609</v>
      </c>
      <c r="EK781" t="s">
        <v>474</v>
      </c>
      <c r="EL781" t="s">
        <v>827</v>
      </c>
      <c r="EM781" t="s">
        <v>402</v>
      </c>
      <c r="EN781">
        <v>0</v>
      </c>
      <c r="EO781">
        <v>0</v>
      </c>
      <c r="EX781" t="s">
        <v>2908</v>
      </c>
      <c r="FI781">
        <v>0</v>
      </c>
      <c r="FJ781" t="s">
        <v>1012</v>
      </c>
    </row>
    <row r="782" spans="1:305" x14ac:dyDescent="0.25">
      <c r="A782" t="s">
        <v>14731</v>
      </c>
      <c r="B782" t="str">
        <f>"801542223700"</f>
        <v>801542223700</v>
      </c>
      <c r="C782" t="s">
        <v>14732</v>
      </c>
      <c r="D782" t="s">
        <v>1420</v>
      </c>
      <c r="E782" t="s">
        <v>459</v>
      </c>
      <c r="G782" t="str">
        <f>"26"</f>
        <v>26</v>
      </c>
      <c r="H782" t="str">
        <f>"22"</f>
        <v>22</v>
      </c>
      <c r="I782" t="str">
        <f>"18"</f>
        <v>18</v>
      </c>
      <c r="J782" t="str">
        <f>"45.19"</f>
        <v>45.19</v>
      </c>
      <c r="K782" t="s">
        <v>4099</v>
      </c>
      <c r="N782" t="s">
        <v>1463</v>
      </c>
      <c r="O782" t="s">
        <v>372</v>
      </c>
      <c r="T782" t="s">
        <v>373</v>
      </c>
      <c r="U782" t="s">
        <v>373</v>
      </c>
      <c r="V782" t="s">
        <v>14733</v>
      </c>
      <c r="W782" t="s">
        <v>14734</v>
      </c>
      <c r="X782" t="s">
        <v>14735</v>
      </c>
      <c r="Y782" t="s">
        <v>14736</v>
      </c>
      <c r="Z782" t="s">
        <v>14737</v>
      </c>
      <c r="AA782" t="s">
        <v>14738</v>
      </c>
      <c r="AB782" t="s">
        <v>14739</v>
      </c>
      <c r="AC782" t="s">
        <v>14740</v>
      </c>
      <c r="AD782" t="s">
        <v>14741</v>
      </c>
      <c r="AE782" t="s">
        <v>14742</v>
      </c>
      <c r="AF782" t="s">
        <v>14743</v>
      </c>
      <c r="AG782" t="s">
        <v>14744</v>
      </c>
      <c r="AH782" t="s">
        <v>14745</v>
      </c>
      <c r="BA782" t="str">
        <f>"699"</f>
        <v>699</v>
      </c>
      <c r="BB782" t="str">
        <f>"295"</f>
        <v>295</v>
      </c>
      <c r="BC782" t="s">
        <v>665</v>
      </c>
      <c r="BD782" t="str">
        <f t="shared" ref="BD782:BD792" si="176">"1"</f>
        <v>1</v>
      </c>
      <c r="BE782" t="s">
        <v>14746</v>
      </c>
      <c r="BF782" t="str">
        <f>"31.1"</f>
        <v>31.1</v>
      </c>
      <c r="BG782" t="str">
        <f>"26.77"</f>
        <v>26.77</v>
      </c>
      <c r="BH782" t="str">
        <f>"12.8"</f>
        <v>12.8</v>
      </c>
      <c r="BI782" t="str">
        <f>"60.41"</f>
        <v>60.41</v>
      </c>
      <c r="BY782" t="str">
        <f>"6.18"</f>
        <v>6.18</v>
      </c>
      <c r="BZ782" t="str">
        <f>"0.175"</f>
        <v>0.175</v>
      </c>
      <c r="CA782" t="s">
        <v>390</v>
      </c>
      <c r="CR782" t="s">
        <v>400</v>
      </c>
      <c r="CS782">
        <v>0</v>
      </c>
      <c r="CT782" t="s">
        <v>400</v>
      </c>
      <c r="CV782">
        <v>0</v>
      </c>
      <c r="CX782" t="s">
        <v>1980</v>
      </c>
      <c r="CY782" t="s">
        <v>400</v>
      </c>
      <c r="DC782">
        <v>0</v>
      </c>
      <c r="DJ782" t="s">
        <v>408</v>
      </c>
      <c r="DK782" t="s">
        <v>14747</v>
      </c>
      <c r="DM782" t="s">
        <v>473</v>
      </c>
      <c r="DX782" t="s">
        <v>1416</v>
      </c>
      <c r="DZ782" t="s">
        <v>1039</v>
      </c>
      <c r="EI782" t="s">
        <v>743</v>
      </c>
      <c r="EJ782" t="s">
        <v>7532</v>
      </c>
      <c r="EK782" t="s">
        <v>674</v>
      </c>
      <c r="EL782" t="s">
        <v>674</v>
      </c>
      <c r="EM782" t="s">
        <v>402</v>
      </c>
      <c r="EN782">
        <v>0</v>
      </c>
      <c r="EO782">
        <v>0</v>
      </c>
      <c r="EX782" t="s">
        <v>2510</v>
      </c>
    </row>
    <row r="783" spans="1:305" x14ac:dyDescent="0.25">
      <c r="A783" t="s">
        <v>14748</v>
      </c>
      <c r="B783" t="str">
        <f>"801542964214"</f>
        <v>801542964214</v>
      </c>
      <c r="C783" t="s">
        <v>14749</v>
      </c>
      <c r="D783" t="s">
        <v>1420</v>
      </c>
      <c r="E783" t="s">
        <v>459</v>
      </c>
      <c r="G783" t="str">
        <f>"26"</f>
        <v>26</v>
      </c>
      <c r="H783" t="str">
        <f>"22"</f>
        <v>22</v>
      </c>
      <c r="I783" t="str">
        <f>"18"</f>
        <v>18</v>
      </c>
      <c r="J783" t="str">
        <f>"45.19"</f>
        <v>45.19</v>
      </c>
      <c r="K783" t="s">
        <v>13730</v>
      </c>
      <c r="N783" t="s">
        <v>1463</v>
      </c>
      <c r="O783" t="s">
        <v>372</v>
      </c>
      <c r="T783" t="s">
        <v>373</v>
      </c>
      <c r="U783" t="s">
        <v>373</v>
      </c>
      <c r="W783" t="s">
        <v>14750</v>
      </c>
      <c r="X783" t="s">
        <v>14751</v>
      </c>
      <c r="Y783" t="s">
        <v>14752</v>
      </c>
      <c r="Z783" t="s">
        <v>14753</v>
      </c>
      <c r="AA783" t="s">
        <v>14754</v>
      </c>
      <c r="AB783" t="s">
        <v>14755</v>
      </c>
      <c r="AC783" t="s">
        <v>14756</v>
      </c>
      <c r="AD783" t="s">
        <v>14757</v>
      </c>
      <c r="AE783" t="s">
        <v>14758</v>
      </c>
      <c r="BA783" t="str">
        <f>"699"</f>
        <v>699</v>
      </c>
      <c r="BB783" t="str">
        <f>"295"</f>
        <v>295</v>
      </c>
      <c r="BC783" t="s">
        <v>665</v>
      </c>
      <c r="BD783" t="str">
        <f t="shared" si="176"/>
        <v>1</v>
      </c>
      <c r="BE783" t="s">
        <v>14746</v>
      </c>
      <c r="BF783" t="str">
        <f>"31.1"</f>
        <v>31.1</v>
      </c>
      <c r="BG783" t="str">
        <f>"26.77"</f>
        <v>26.77</v>
      </c>
      <c r="BH783" t="str">
        <f>"12.8"</f>
        <v>12.8</v>
      </c>
      <c r="BI783" t="str">
        <f>"60.41"</f>
        <v>60.41</v>
      </c>
      <c r="BY783" t="str">
        <f>"6.18"</f>
        <v>6.18</v>
      </c>
      <c r="BZ783" t="str">
        <f>"0.175"</f>
        <v>0.175</v>
      </c>
      <c r="CA783" t="s">
        <v>390</v>
      </c>
      <c r="CR783" t="s">
        <v>400</v>
      </c>
      <c r="CS783">
        <v>0</v>
      </c>
      <c r="CT783" t="s">
        <v>400</v>
      </c>
      <c r="CV783">
        <v>0</v>
      </c>
      <c r="CX783" t="s">
        <v>1980</v>
      </c>
      <c r="CY783" t="s">
        <v>400</v>
      </c>
      <c r="DC783">
        <v>0</v>
      </c>
      <c r="DJ783" t="s">
        <v>408</v>
      </c>
      <c r="DK783" t="s">
        <v>14747</v>
      </c>
      <c r="DM783" t="s">
        <v>473</v>
      </c>
      <c r="DX783" t="s">
        <v>1416</v>
      </c>
      <c r="DZ783" t="s">
        <v>1039</v>
      </c>
      <c r="EI783" t="s">
        <v>743</v>
      </c>
      <c r="EJ783" t="s">
        <v>7532</v>
      </c>
      <c r="EK783" t="s">
        <v>674</v>
      </c>
      <c r="EL783" t="s">
        <v>674</v>
      </c>
      <c r="EM783" t="s">
        <v>402</v>
      </c>
      <c r="EN783">
        <v>0</v>
      </c>
      <c r="EO783">
        <v>0</v>
      </c>
      <c r="EX783" t="s">
        <v>2510</v>
      </c>
    </row>
    <row r="784" spans="1:305" x14ac:dyDescent="0.25">
      <c r="A784" t="s">
        <v>14759</v>
      </c>
      <c r="B784" t="str">
        <f>"801542187750"</f>
        <v>801542187750</v>
      </c>
      <c r="C784" t="s">
        <v>14760</v>
      </c>
      <c r="D784" t="s">
        <v>769</v>
      </c>
      <c r="E784" t="s">
        <v>515</v>
      </c>
      <c r="F784" t="s">
        <v>516</v>
      </c>
      <c r="G784" t="str">
        <f>"34.5"</f>
        <v>34.5</v>
      </c>
      <c r="H784" t="str">
        <f>"35.5"</f>
        <v>35.5</v>
      </c>
      <c r="I784" t="str">
        <f>"30.5"</f>
        <v>30.5</v>
      </c>
      <c r="J784" t="str">
        <f>"50.71"</f>
        <v>50.71</v>
      </c>
      <c r="K784" t="s">
        <v>14761</v>
      </c>
      <c r="L784" t="s">
        <v>4748</v>
      </c>
      <c r="N784" t="s">
        <v>416</v>
      </c>
      <c r="O784" t="s">
        <v>519</v>
      </c>
      <c r="T784" t="s">
        <v>373</v>
      </c>
      <c r="U784" t="s">
        <v>373</v>
      </c>
      <c r="V784" t="s">
        <v>14762</v>
      </c>
      <c r="W784" t="s">
        <v>14763</v>
      </c>
      <c r="X784" t="s">
        <v>14764</v>
      </c>
      <c r="Y784" t="s">
        <v>14765</v>
      </c>
      <c r="Z784" t="s">
        <v>14766</v>
      </c>
      <c r="AA784" t="s">
        <v>14767</v>
      </c>
      <c r="AB784" t="s">
        <v>14768</v>
      </c>
      <c r="AC784" t="s">
        <v>14769</v>
      </c>
      <c r="AD784" t="s">
        <v>14770</v>
      </c>
      <c r="AE784" t="s">
        <v>14771</v>
      </c>
      <c r="AF784" t="s">
        <v>14772</v>
      </c>
      <c r="AG784" t="s">
        <v>14773</v>
      </c>
      <c r="AH784" t="s">
        <v>14774</v>
      </c>
      <c r="BA784" t="str">
        <f>"1549"</f>
        <v>1549</v>
      </c>
      <c r="BB784" t="str">
        <f>"655"</f>
        <v>655</v>
      </c>
      <c r="BC784" t="s">
        <v>388</v>
      </c>
      <c r="BD784" t="str">
        <f t="shared" si="176"/>
        <v>1</v>
      </c>
      <c r="BE784" t="s">
        <v>739</v>
      </c>
      <c r="BF784" t="str">
        <f>"34.65"</f>
        <v>34.65</v>
      </c>
      <c r="BG784" t="str">
        <f>"37.4"</f>
        <v>37.4</v>
      </c>
      <c r="BH784" t="str">
        <f>"33.46"</f>
        <v>33.46</v>
      </c>
      <c r="BI784" t="str">
        <f>"74.96"</f>
        <v>74.96</v>
      </c>
      <c r="BY784" t="str">
        <f>"22.6"</f>
        <v>22.6</v>
      </c>
      <c r="BZ784" t="str">
        <f>"0.64"</f>
        <v>0.64</v>
      </c>
      <c r="CA784" t="s">
        <v>495</v>
      </c>
      <c r="CK784" t="s">
        <v>856</v>
      </c>
      <c r="CL784" t="s">
        <v>396</v>
      </c>
      <c r="CM784" t="s">
        <v>1510</v>
      </c>
      <c r="CN784">
        <v>2</v>
      </c>
      <c r="CO784">
        <v>1</v>
      </c>
      <c r="CP784" t="s">
        <v>437</v>
      </c>
      <c r="CQ784" t="s">
        <v>438</v>
      </c>
      <c r="CX784" t="s">
        <v>403</v>
      </c>
      <c r="CY784" t="s">
        <v>400</v>
      </c>
      <c r="CZ784">
        <v>0</v>
      </c>
      <c r="DD784">
        <v>0</v>
      </c>
      <c r="DE784" t="s">
        <v>439</v>
      </c>
      <c r="DF784" t="s">
        <v>632</v>
      </c>
      <c r="DH784">
        <v>1</v>
      </c>
      <c r="DI784">
        <v>1</v>
      </c>
      <c r="DK784" t="s">
        <v>14775</v>
      </c>
      <c r="DL784">
        <v>0</v>
      </c>
      <c r="DM784" t="s">
        <v>538</v>
      </c>
      <c r="DN784" t="s">
        <v>1510</v>
      </c>
      <c r="DO784" t="s">
        <v>799</v>
      </c>
      <c r="DP784" t="s">
        <v>435</v>
      </c>
      <c r="DT784" t="s">
        <v>450</v>
      </c>
      <c r="DX784" t="s">
        <v>610</v>
      </c>
      <c r="DY784" t="s">
        <v>600</v>
      </c>
      <c r="DZ784" t="s">
        <v>441</v>
      </c>
      <c r="EA784" t="s">
        <v>958</v>
      </c>
      <c r="EB784" t="s">
        <v>454</v>
      </c>
      <c r="EC784" t="s">
        <v>402</v>
      </c>
      <c r="ED784" t="s">
        <v>632</v>
      </c>
      <c r="EG784" t="s">
        <v>1513</v>
      </c>
      <c r="ER784">
        <v>0</v>
      </c>
      <c r="ES784">
        <v>0</v>
      </c>
      <c r="ET784" t="s">
        <v>2003</v>
      </c>
      <c r="EU784">
        <v>0</v>
      </c>
    </row>
    <row r="785" spans="1:217" x14ac:dyDescent="0.25">
      <c r="A785" t="s">
        <v>14776</v>
      </c>
      <c r="B785" t="str">
        <f>"801542187767"</f>
        <v>801542187767</v>
      </c>
      <c r="C785" t="s">
        <v>14777</v>
      </c>
      <c r="D785" t="s">
        <v>769</v>
      </c>
      <c r="E785" t="s">
        <v>515</v>
      </c>
      <c r="F785" t="s">
        <v>516</v>
      </c>
      <c r="G785" t="str">
        <f>"34.5"</f>
        <v>34.5</v>
      </c>
      <c r="H785" t="str">
        <f>"35.5"</f>
        <v>35.5</v>
      </c>
      <c r="I785" t="str">
        <f>"30.5"</f>
        <v>30.5</v>
      </c>
      <c r="J785" t="str">
        <f>"50.71"</f>
        <v>50.71</v>
      </c>
      <c r="K785" t="s">
        <v>8380</v>
      </c>
      <c r="L785" t="s">
        <v>4748</v>
      </c>
      <c r="N785" t="s">
        <v>8383</v>
      </c>
      <c r="O785" t="s">
        <v>8384</v>
      </c>
      <c r="P785" t="s">
        <v>519</v>
      </c>
      <c r="T785" t="s">
        <v>373</v>
      </c>
      <c r="U785" t="s">
        <v>373</v>
      </c>
      <c r="V785" t="s">
        <v>14762</v>
      </c>
      <c r="W785" t="s">
        <v>14778</v>
      </c>
      <c r="X785" t="s">
        <v>14779</v>
      </c>
      <c r="Y785" t="s">
        <v>14780</v>
      </c>
      <c r="Z785" t="s">
        <v>14781</v>
      </c>
      <c r="AA785" t="s">
        <v>14782</v>
      </c>
      <c r="AB785" t="s">
        <v>14783</v>
      </c>
      <c r="AC785" t="s">
        <v>14784</v>
      </c>
      <c r="AD785" t="s">
        <v>14785</v>
      </c>
      <c r="AE785" t="s">
        <v>14786</v>
      </c>
      <c r="AF785" t="s">
        <v>14787</v>
      </c>
      <c r="AG785" t="s">
        <v>14788</v>
      </c>
      <c r="AH785" t="s">
        <v>14789</v>
      </c>
      <c r="BA785" t="str">
        <f>"2199"</f>
        <v>2199</v>
      </c>
      <c r="BB785" t="str">
        <f>"925"</f>
        <v>925</v>
      </c>
      <c r="BC785" t="s">
        <v>388</v>
      </c>
      <c r="BD785" t="str">
        <f t="shared" si="176"/>
        <v>1</v>
      </c>
      <c r="BE785" t="s">
        <v>739</v>
      </c>
      <c r="BF785" t="str">
        <f>"34.65"</f>
        <v>34.65</v>
      </c>
      <c r="BG785" t="str">
        <f>"37.4"</f>
        <v>37.4</v>
      </c>
      <c r="BH785" t="str">
        <f>"33.46"</f>
        <v>33.46</v>
      </c>
      <c r="BI785" t="str">
        <f>"74.96"</f>
        <v>74.96</v>
      </c>
      <c r="BY785" t="str">
        <f>"22.6"</f>
        <v>22.6</v>
      </c>
      <c r="BZ785" t="str">
        <f>"0.64"</f>
        <v>0.64</v>
      </c>
      <c r="CA785" t="s">
        <v>390</v>
      </c>
      <c r="CK785" t="s">
        <v>856</v>
      </c>
      <c r="CL785" t="s">
        <v>396</v>
      </c>
      <c r="CM785" t="s">
        <v>1510</v>
      </c>
      <c r="CN785">
        <v>2</v>
      </c>
      <c r="CO785">
        <v>1</v>
      </c>
      <c r="CP785" t="s">
        <v>437</v>
      </c>
      <c r="CQ785" t="s">
        <v>631</v>
      </c>
      <c r="CX785" t="s">
        <v>403</v>
      </c>
      <c r="CY785" t="s">
        <v>400</v>
      </c>
      <c r="CZ785">
        <v>0</v>
      </c>
      <c r="DD785">
        <v>50000</v>
      </c>
      <c r="DE785" t="s">
        <v>439</v>
      </c>
      <c r="DF785" t="s">
        <v>632</v>
      </c>
      <c r="DH785">
        <v>1</v>
      </c>
      <c r="DI785">
        <v>1</v>
      </c>
      <c r="DK785" t="s">
        <v>14775</v>
      </c>
      <c r="DL785">
        <v>0</v>
      </c>
      <c r="DM785" t="s">
        <v>538</v>
      </c>
      <c r="DN785" t="s">
        <v>1510</v>
      </c>
      <c r="DO785" t="s">
        <v>799</v>
      </c>
      <c r="DP785" t="s">
        <v>435</v>
      </c>
      <c r="DT785" t="s">
        <v>450</v>
      </c>
      <c r="DX785" t="s">
        <v>610</v>
      </c>
      <c r="DY785" t="s">
        <v>600</v>
      </c>
      <c r="DZ785" t="s">
        <v>441</v>
      </c>
      <c r="EA785" t="s">
        <v>958</v>
      </c>
      <c r="EB785" t="s">
        <v>454</v>
      </c>
      <c r="EC785" t="s">
        <v>402</v>
      </c>
      <c r="ED785" t="s">
        <v>632</v>
      </c>
      <c r="EG785" t="s">
        <v>1513</v>
      </c>
      <c r="ER785">
        <v>0</v>
      </c>
      <c r="ES785">
        <v>0</v>
      </c>
      <c r="ET785" t="s">
        <v>2003</v>
      </c>
      <c r="EU785">
        <v>0</v>
      </c>
    </row>
    <row r="786" spans="1:217" x14ac:dyDescent="0.25">
      <c r="A786" t="s">
        <v>14790</v>
      </c>
      <c r="B786" t="str">
        <f>"801542226138"</f>
        <v>801542226138</v>
      </c>
      <c r="C786" t="s">
        <v>14791</v>
      </c>
      <c r="D786" t="s">
        <v>769</v>
      </c>
      <c r="E786" t="s">
        <v>515</v>
      </c>
      <c r="F786" t="s">
        <v>516</v>
      </c>
      <c r="G786" t="str">
        <f>"30"</f>
        <v>30</v>
      </c>
      <c r="H786" t="str">
        <f>"35.5"</f>
        <v>35.5</v>
      </c>
      <c r="I786" t="str">
        <f>"30"</f>
        <v>30</v>
      </c>
      <c r="J786" t="str">
        <f>"49.6"</f>
        <v>49.6</v>
      </c>
      <c r="K786" t="s">
        <v>584</v>
      </c>
      <c r="L786" t="s">
        <v>4748</v>
      </c>
      <c r="N786" t="s">
        <v>416</v>
      </c>
      <c r="O786" t="s">
        <v>519</v>
      </c>
      <c r="T786" t="s">
        <v>373</v>
      </c>
      <c r="U786" t="s">
        <v>373</v>
      </c>
      <c r="V786" t="s">
        <v>14792</v>
      </c>
      <c r="W786" t="s">
        <v>14793</v>
      </c>
      <c r="X786" t="s">
        <v>14794</v>
      </c>
      <c r="Y786" t="s">
        <v>14795</v>
      </c>
      <c r="Z786" t="s">
        <v>14796</v>
      </c>
      <c r="AA786" t="s">
        <v>14797</v>
      </c>
      <c r="AB786" t="s">
        <v>14798</v>
      </c>
      <c r="AC786" t="s">
        <v>14799</v>
      </c>
      <c r="AD786" t="s">
        <v>14800</v>
      </c>
      <c r="AE786" t="s">
        <v>14801</v>
      </c>
      <c r="AF786" t="s">
        <v>14802</v>
      </c>
      <c r="AG786" t="s">
        <v>14803</v>
      </c>
      <c r="AH786" t="s">
        <v>14804</v>
      </c>
      <c r="BA786" t="str">
        <f>"1649"</f>
        <v>1649</v>
      </c>
      <c r="BB786" t="str">
        <f>"695"</f>
        <v>695</v>
      </c>
      <c r="BC786" t="s">
        <v>388</v>
      </c>
      <c r="BD786" t="str">
        <f t="shared" si="176"/>
        <v>1</v>
      </c>
      <c r="BE786" t="s">
        <v>739</v>
      </c>
      <c r="BF786" t="str">
        <f>"32.68"</f>
        <v>32.68</v>
      </c>
      <c r="BG786" t="str">
        <f>"35.83"</f>
        <v>35.83</v>
      </c>
      <c r="BH786" t="str">
        <f>"31.89"</f>
        <v>31.89</v>
      </c>
      <c r="BI786" t="str">
        <f>"67.24"</f>
        <v>67.24</v>
      </c>
      <c r="BY786" t="str">
        <f>"17.48"</f>
        <v>17.48</v>
      </c>
      <c r="BZ786" t="str">
        <f>"0.495"</f>
        <v>0.495</v>
      </c>
      <c r="CA786" t="s">
        <v>495</v>
      </c>
      <c r="CK786" t="s">
        <v>601</v>
      </c>
      <c r="CL786" t="s">
        <v>957</v>
      </c>
      <c r="CM786" t="s">
        <v>609</v>
      </c>
      <c r="CN786">
        <v>0</v>
      </c>
      <c r="CO786">
        <v>1</v>
      </c>
      <c r="CP786" t="s">
        <v>398</v>
      </c>
      <c r="CQ786" t="s">
        <v>438</v>
      </c>
      <c r="CX786" t="s">
        <v>403</v>
      </c>
      <c r="CY786" t="s">
        <v>400</v>
      </c>
      <c r="CZ786">
        <v>0</v>
      </c>
      <c r="DD786">
        <v>0</v>
      </c>
      <c r="DE786" t="s">
        <v>439</v>
      </c>
      <c r="DF786" t="s">
        <v>632</v>
      </c>
      <c r="DG786" t="s">
        <v>2380</v>
      </c>
      <c r="DH786">
        <v>1</v>
      </c>
      <c r="DI786">
        <v>1</v>
      </c>
      <c r="DK786" t="s">
        <v>14805</v>
      </c>
      <c r="DL786">
        <v>0</v>
      </c>
      <c r="DM786" t="s">
        <v>538</v>
      </c>
      <c r="DX786" t="s">
        <v>5405</v>
      </c>
      <c r="DY786" t="s">
        <v>1557</v>
      </c>
      <c r="DZ786" t="s">
        <v>2079</v>
      </c>
      <c r="EA786" t="s">
        <v>4034</v>
      </c>
      <c r="ED786" t="s">
        <v>632</v>
      </c>
      <c r="EE786" t="s">
        <v>2380</v>
      </c>
      <c r="EG786" t="s">
        <v>749</v>
      </c>
      <c r="ER786">
        <v>0</v>
      </c>
      <c r="ES786">
        <v>0</v>
      </c>
      <c r="ET786" t="s">
        <v>549</v>
      </c>
      <c r="EU786">
        <v>0</v>
      </c>
    </row>
    <row r="787" spans="1:217" x14ac:dyDescent="0.25">
      <c r="A787" t="s">
        <v>14806</v>
      </c>
      <c r="B787" t="str">
        <f>"801542200367"</f>
        <v>801542200367</v>
      </c>
      <c r="C787" t="s">
        <v>14807</v>
      </c>
      <c r="D787" t="s">
        <v>1224</v>
      </c>
      <c r="E787" t="s">
        <v>1077</v>
      </c>
      <c r="G787" t="str">
        <f>"40"</f>
        <v>40</v>
      </c>
      <c r="H787" t="str">
        <f>"40"</f>
        <v>40</v>
      </c>
      <c r="I787" t="str">
        <f>"15"</f>
        <v>15</v>
      </c>
      <c r="J787" t="str">
        <f>"85.85"</f>
        <v>85.85</v>
      </c>
      <c r="K787" t="s">
        <v>8690</v>
      </c>
      <c r="N787" t="s">
        <v>1463</v>
      </c>
      <c r="T787" t="s">
        <v>373</v>
      </c>
      <c r="U787" t="s">
        <v>373</v>
      </c>
      <c r="V787" t="s">
        <v>14808</v>
      </c>
      <c r="W787" t="s">
        <v>14809</v>
      </c>
      <c r="X787" t="s">
        <v>14810</v>
      </c>
      <c r="Y787" t="s">
        <v>14811</v>
      </c>
      <c r="Z787" t="s">
        <v>14812</v>
      </c>
      <c r="AA787" t="s">
        <v>14813</v>
      </c>
      <c r="AB787" t="s">
        <v>14814</v>
      </c>
      <c r="AC787" t="s">
        <v>14815</v>
      </c>
      <c r="AD787" t="s">
        <v>14816</v>
      </c>
      <c r="AE787" t="s">
        <v>14817</v>
      </c>
      <c r="AF787" t="s">
        <v>14818</v>
      </c>
      <c r="AG787" t="s">
        <v>14819</v>
      </c>
      <c r="AH787" t="s">
        <v>14820</v>
      </c>
      <c r="BA787" t="str">
        <f>"2199"</f>
        <v>2199</v>
      </c>
      <c r="BB787" t="str">
        <f>"925"</f>
        <v>925</v>
      </c>
      <c r="BC787" t="s">
        <v>1149</v>
      </c>
      <c r="BD787" t="str">
        <f t="shared" si="176"/>
        <v>1</v>
      </c>
      <c r="BE787" t="s">
        <v>389</v>
      </c>
      <c r="BF787" t="str">
        <f>"45.28"</f>
        <v>45.28</v>
      </c>
      <c r="BG787" t="str">
        <f>"45.67"</f>
        <v>45.67</v>
      </c>
      <c r="BH787" t="str">
        <f>"21.26"</f>
        <v>21.26</v>
      </c>
      <c r="BI787" t="str">
        <f>"129.52"</f>
        <v>129.52</v>
      </c>
      <c r="BY787" t="str">
        <f>"25.43"</f>
        <v>25.43</v>
      </c>
      <c r="BZ787" t="str">
        <f>"0.72"</f>
        <v>0.72</v>
      </c>
      <c r="CA787" t="s">
        <v>431</v>
      </c>
      <c r="CR787" t="s">
        <v>400</v>
      </c>
      <c r="CS787">
        <v>0</v>
      </c>
      <c r="CT787" t="s">
        <v>400</v>
      </c>
      <c r="CV787">
        <v>0</v>
      </c>
      <c r="CX787" t="s">
        <v>953</v>
      </c>
      <c r="CY787" t="s">
        <v>400</v>
      </c>
      <c r="DC787">
        <v>0</v>
      </c>
      <c r="DJ787" t="s">
        <v>1132</v>
      </c>
      <c r="DK787" t="s">
        <v>8337</v>
      </c>
      <c r="DM787" t="s">
        <v>473</v>
      </c>
      <c r="DX787" t="s">
        <v>830</v>
      </c>
      <c r="DY787" t="s">
        <v>9259</v>
      </c>
      <c r="DZ787" t="s">
        <v>9259</v>
      </c>
      <c r="EI787" t="s">
        <v>10356</v>
      </c>
      <c r="EJ787" t="s">
        <v>979</v>
      </c>
      <c r="EK787" t="s">
        <v>10356</v>
      </c>
      <c r="EL787" t="s">
        <v>450</v>
      </c>
      <c r="EM787" t="s">
        <v>402</v>
      </c>
      <c r="EN787">
        <v>0</v>
      </c>
      <c r="EO787">
        <v>0</v>
      </c>
    </row>
    <row r="788" spans="1:217" x14ac:dyDescent="0.25">
      <c r="A788" t="s">
        <v>14821</v>
      </c>
      <c r="B788" t="str">
        <f>"801542200923"</f>
        <v>801542200923</v>
      </c>
      <c r="C788" t="s">
        <v>14822</v>
      </c>
      <c r="D788" t="s">
        <v>1224</v>
      </c>
      <c r="E788" t="s">
        <v>1077</v>
      </c>
      <c r="G788" t="str">
        <f>"40"</f>
        <v>40</v>
      </c>
      <c r="H788" t="str">
        <f>"40"</f>
        <v>40</v>
      </c>
      <c r="I788" t="str">
        <f>"15"</f>
        <v>15</v>
      </c>
      <c r="J788" t="str">
        <f>"85.85"</f>
        <v>85.85</v>
      </c>
      <c r="K788" t="s">
        <v>8322</v>
      </c>
      <c r="N788" t="s">
        <v>1463</v>
      </c>
      <c r="T788" t="s">
        <v>373</v>
      </c>
      <c r="U788" t="s">
        <v>373</v>
      </c>
      <c r="V788" t="s">
        <v>14823</v>
      </c>
      <c r="W788" t="s">
        <v>14824</v>
      </c>
      <c r="X788" t="s">
        <v>14825</v>
      </c>
      <c r="Y788" t="s">
        <v>14826</v>
      </c>
      <c r="Z788" t="s">
        <v>14827</v>
      </c>
      <c r="AA788" t="s">
        <v>8330</v>
      </c>
      <c r="AB788" t="s">
        <v>14828</v>
      </c>
      <c r="AC788" t="s">
        <v>14829</v>
      </c>
      <c r="AD788" t="s">
        <v>14830</v>
      </c>
      <c r="AE788" t="s">
        <v>14831</v>
      </c>
      <c r="AF788" t="s">
        <v>14832</v>
      </c>
      <c r="AG788" t="s">
        <v>14833</v>
      </c>
      <c r="AH788" t="s">
        <v>14834</v>
      </c>
      <c r="BA788" t="str">
        <f>"2199"</f>
        <v>2199</v>
      </c>
      <c r="BB788" t="str">
        <f>"925"</f>
        <v>925</v>
      </c>
      <c r="BC788" t="s">
        <v>1149</v>
      </c>
      <c r="BD788" t="str">
        <f t="shared" si="176"/>
        <v>1</v>
      </c>
      <c r="BE788" t="s">
        <v>389</v>
      </c>
      <c r="BF788" t="str">
        <f>"45.28"</f>
        <v>45.28</v>
      </c>
      <c r="BG788" t="str">
        <f>"45.67"</f>
        <v>45.67</v>
      </c>
      <c r="BH788" t="str">
        <f>"21.26"</f>
        <v>21.26</v>
      </c>
      <c r="BI788" t="str">
        <f>"129.52"</f>
        <v>129.52</v>
      </c>
      <c r="BY788" t="str">
        <f>"25.43"</f>
        <v>25.43</v>
      </c>
      <c r="BZ788" t="str">
        <f>"0.72"</f>
        <v>0.72</v>
      </c>
      <c r="CA788" t="s">
        <v>431</v>
      </c>
      <c r="CR788" t="s">
        <v>400</v>
      </c>
      <c r="CS788">
        <v>0</v>
      </c>
      <c r="CT788" t="s">
        <v>400</v>
      </c>
      <c r="CV788">
        <v>0</v>
      </c>
      <c r="CX788" t="s">
        <v>953</v>
      </c>
      <c r="CY788" t="s">
        <v>400</v>
      </c>
      <c r="DC788">
        <v>0</v>
      </c>
      <c r="DJ788" t="s">
        <v>1132</v>
      </c>
      <c r="DK788" t="s">
        <v>8337</v>
      </c>
      <c r="DM788" t="s">
        <v>473</v>
      </c>
      <c r="DX788" t="s">
        <v>830</v>
      </c>
      <c r="DY788" t="s">
        <v>9259</v>
      </c>
      <c r="DZ788" t="s">
        <v>9259</v>
      </c>
      <c r="EI788" t="s">
        <v>10356</v>
      </c>
      <c r="EJ788" t="s">
        <v>979</v>
      </c>
      <c r="EK788" t="s">
        <v>10356</v>
      </c>
      <c r="EL788" t="s">
        <v>450</v>
      </c>
      <c r="EM788" t="s">
        <v>402</v>
      </c>
      <c r="EN788">
        <v>0</v>
      </c>
      <c r="EO788">
        <v>0</v>
      </c>
    </row>
    <row r="789" spans="1:217" x14ac:dyDescent="0.25">
      <c r="A789" t="s">
        <v>14835</v>
      </c>
      <c r="B789" t="str">
        <f>"801542200244"</f>
        <v>801542200244</v>
      </c>
      <c r="C789" t="s">
        <v>14836</v>
      </c>
      <c r="D789" t="s">
        <v>1224</v>
      </c>
      <c r="E789" t="s">
        <v>367</v>
      </c>
      <c r="F789" t="s">
        <v>368</v>
      </c>
      <c r="G789" t="str">
        <f>"70"</f>
        <v>70</v>
      </c>
      <c r="H789" t="str">
        <f>"19.25"</f>
        <v>19.25</v>
      </c>
      <c r="I789" t="str">
        <f>"19"</f>
        <v>19</v>
      </c>
      <c r="J789" t="str">
        <f>"99.16"</f>
        <v>99.16</v>
      </c>
      <c r="K789" t="s">
        <v>8690</v>
      </c>
      <c r="N789" t="s">
        <v>1463</v>
      </c>
      <c r="T789" t="s">
        <v>402</v>
      </c>
      <c r="U789" t="s">
        <v>373</v>
      </c>
      <c r="V789" t="s">
        <v>14837</v>
      </c>
      <c r="W789" t="s">
        <v>14838</v>
      </c>
      <c r="X789" t="s">
        <v>14839</v>
      </c>
      <c r="Y789" t="s">
        <v>14840</v>
      </c>
      <c r="Z789" t="s">
        <v>14841</v>
      </c>
      <c r="AA789" t="s">
        <v>14842</v>
      </c>
      <c r="AB789" t="s">
        <v>14843</v>
      </c>
      <c r="AC789" t="s">
        <v>14844</v>
      </c>
      <c r="AD789" t="s">
        <v>14845</v>
      </c>
      <c r="AE789" t="s">
        <v>14846</v>
      </c>
      <c r="AF789" t="s">
        <v>14847</v>
      </c>
      <c r="AG789" t="s">
        <v>14848</v>
      </c>
      <c r="AH789" t="s">
        <v>14849</v>
      </c>
      <c r="AI789" t="s">
        <v>14850</v>
      </c>
      <c r="AJ789" t="s">
        <v>14851</v>
      </c>
      <c r="AK789" t="s">
        <v>14852</v>
      </c>
      <c r="AL789" t="s">
        <v>14853</v>
      </c>
      <c r="AM789" t="s">
        <v>14854</v>
      </c>
      <c r="AN789" t="s">
        <v>14855</v>
      </c>
      <c r="AO789" t="s">
        <v>14856</v>
      </c>
      <c r="BA789" t="str">
        <f>"2099"</f>
        <v>2099</v>
      </c>
      <c r="BB789" t="str">
        <f>"885"</f>
        <v>885</v>
      </c>
      <c r="BC789" t="s">
        <v>1149</v>
      </c>
      <c r="BD789" t="str">
        <f t="shared" si="176"/>
        <v>1</v>
      </c>
      <c r="BE789" t="s">
        <v>389</v>
      </c>
      <c r="BF789" t="str">
        <f>"75.2"</f>
        <v>75.2</v>
      </c>
      <c r="BG789" t="str">
        <f>"24.25"</f>
        <v>24.25</v>
      </c>
      <c r="BH789" t="str">
        <f>"24.21"</f>
        <v>24.21</v>
      </c>
      <c r="BI789" t="str">
        <f>"142.64"</f>
        <v>142.64</v>
      </c>
      <c r="BY789" t="str">
        <f>"25.57"</f>
        <v>25.57</v>
      </c>
      <c r="BZ789" t="str">
        <f>"0.724"</f>
        <v>0.724</v>
      </c>
      <c r="CA789" t="s">
        <v>495</v>
      </c>
      <c r="CK789" t="s">
        <v>3982</v>
      </c>
      <c r="CL789" t="s">
        <v>791</v>
      </c>
      <c r="CM789" t="s">
        <v>823</v>
      </c>
      <c r="CN789">
        <v>0</v>
      </c>
      <c r="CO789">
        <v>0</v>
      </c>
      <c r="CP789" t="s">
        <v>398</v>
      </c>
      <c r="CR789" t="s">
        <v>400</v>
      </c>
      <c r="CS789">
        <v>0</v>
      </c>
      <c r="CT789" t="s">
        <v>400</v>
      </c>
      <c r="CV789">
        <v>0</v>
      </c>
      <c r="CX789" t="s">
        <v>953</v>
      </c>
      <c r="CY789" t="s">
        <v>400</v>
      </c>
      <c r="CZ789">
        <v>0</v>
      </c>
      <c r="DA789">
        <v>0</v>
      </c>
      <c r="DB789">
        <v>0</v>
      </c>
      <c r="DC789">
        <v>0</v>
      </c>
      <c r="DE789" t="s">
        <v>405</v>
      </c>
      <c r="DH789">
        <v>0</v>
      </c>
      <c r="DI789">
        <v>3</v>
      </c>
      <c r="DJ789" t="s">
        <v>408</v>
      </c>
      <c r="DK789" t="s">
        <v>8337</v>
      </c>
      <c r="DL789">
        <v>0</v>
      </c>
      <c r="DM789" t="s">
        <v>410</v>
      </c>
      <c r="DX789" t="s">
        <v>830</v>
      </c>
      <c r="DY789" t="s">
        <v>14857</v>
      </c>
      <c r="DZ789" t="s">
        <v>2510</v>
      </c>
      <c r="EM789" t="s">
        <v>402</v>
      </c>
    </row>
    <row r="790" spans="1:217" x14ac:dyDescent="0.25">
      <c r="A790" t="s">
        <v>14858</v>
      </c>
      <c r="B790" t="str">
        <f>"801542200787"</f>
        <v>801542200787</v>
      </c>
      <c r="C790" t="s">
        <v>14859</v>
      </c>
      <c r="D790" t="s">
        <v>1224</v>
      </c>
      <c r="E790" t="s">
        <v>367</v>
      </c>
      <c r="F790" t="s">
        <v>368</v>
      </c>
      <c r="G790" t="str">
        <f>"70"</f>
        <v>70</v>
      </c>
      <c r="H790" t="str">
        <f>"19.25"</f>
        <v>19.25</v>
      </c>
      <c r="I790" t="str">
        <f>"19"</f>
        <v>19</v>
      </c>
      <c r="J790" t="str">
        <f>"99.16"</f>
        <v>99.16</v>
      </c>
      <c r="K790" t="s">
        <v>8322</v>
      </c>
      <c r="N790" t="s">
        <v>1463</v>
      </c>
      <c r="T790" t="s">
        <v>402</v>
      </c>
      <c r="U790" t="s">
        <v>373</v>
      </c>
      <c r="V790" t="s">
        <v>14860</v>
      </c>
      <c r="W790" t="s">
        <v>14861</v>
      </c>
      <c r="X790" t="s">
        <v>14862</v>
      </c>
      <c r="Y790" t="s">
        <v>14863</v>
      </c>
      <c r="Z790" t="s">
        <v>14864</v>
      </c>
      <c r="AA790" t="s">
        <v>14865</v>
      </c>
      <c r="AB790" t="s">
        <v>14866</v>
      </c>
      <c r="AC790" t="s">
        <v>14867</v>
      </c>
      <c r="AD790" t="s">
        <v>8330</v>
      </c>
      <c r="AE790" t="s">
        <v>14868</v>
      </c>
      <c r="AF790" t="s">
        <v>14869</v>
      </c>
      <c r="AG790" t="s">
        <v>14870</v>
      </c>
      <c r="AH790" t="s">
        <v>14871</v>
      </c>
      <c r="AI790" t="s">
        <v>14872</v>
      </c>
      <c r="AJ790" t="s">
        <v>14873</v>
      </c>
      <c r="AK790" t="s">
        <v>14874</v>
      </c>
      <c r="AL790" t="s">
        <v>14875</v>
      </c>
      <c r="BA790" t="str">
        <f>"2099"</f>
        <v>2099</v>
      </c>
      <c r="BB790" t="str">
        <f>"885"</f>
        <v>885</v>
      </c>
      <c r="BC790" t="s">
        <v>1149</v>
      </c>
      <c r="BD790" t="str">
        <f t="shared" si="176"/>
        <v>1</v>
      </c>
      <c r="BE790" t="s">
        <v>389</v>
      </c>
      <c r="BF790" t="str">
        <f>"75.2"</f>
        <v>75.2</v>
      </c>
      <c r="BG790" t="str">
        <f>"24.25"</f>
        <v>24.25</v>
      </c>
      <c r="BH790" t="str">
        <f>"24.21"</f>
        <v>24.21</v>
      </c>
      <c r="BI790" t="str">
        <f>"142.64"</f>
        <v>142.64</v>
      </c>
      <c r="BY790" t="str">
        <f>"25.57"</f>
        <v>25.57</v>
      </c>
      <c r="BZ790" t="str">
        <f>"0.724"</f>
        <v>0.724</v>
      </c>
      <c r="CA790" t="s">
        <v>495</v>
      </c>
      <c r="CK790" t="s">
        <v>3982</v>
      </c>
      <c r="CL790" t="s">
        <v>791</v>
      </c>
      <c r="CM790" t="s">
        <v>823</v>
      </c>
      <c r="CN790">
        <v>0</v>
      </c>
      <c r="CO790">
        <v>0</v>
      </c>
      <c r="CP790" t="s">
        <v>398</v>
      </c>
      <c r="CR790" t="s">
        <v>400</v>
      </c>
      <c r="CS790">
        <v>0</v>
      </c>
      <c r="CT790" t="s">
        <v>400</v>
      </c>
      <c r="CV790">
        <v>0</v>
      </c>
      <c r="CX790" t="s">
        <v>953</v>
      </c>
      <c r="CY790" t="s">
        <v>400</v>
      </c>
      <c r="CZ790">
        <v>0</v>
      </c>
      <c r="DA790">
        <v>0</v>
      </c>
      <c r="DB790">
        <v>0</v>
      </c>
      <c r="DC790">
        <v>0</v>
      </c>
      <c r="DE790" t="s">
        <v>405</v>
      </c>
      <c r="DH790">
        <v>0</v>
      </c>
      <c r="DI790">
        <v>3</v>
      </c>
      <c r="DJ790" t="s">
        <v>408</v>
      </c>
      <c r="DK790" t="s">
        <v>8337</v>
      </c>
      <c r="DL790">
        <v>0</v>
      </c>
      <c r="DM790" t="s">
        <v>410</v>
      </c>
      <c r="DX790" t="s">
        <v>830</v>
      </c>
      <c r="DY790" t="s">
        <v>14857</v>
      </c>
      <c r="DZ790" t="s">
        <v>2510</v>
      </c>
      <c r="EM790" t="s">
        <v>402</v>
      </c>
    </row>
    <row r="791" spans="1:217" x14ac:dyDescent="0.25">
      <c r="A791" t="s">
        <v>14876</v>
      </c>
      <c r="B791" t="str">
        <f>"801542200329"</f>
        <v>801542200329</v>
      </c>
      <c r="C791" t="s">
        <v>14877</v>
      </c>
      <c r="D791" t="s">
        <v>1224</v>
      </c>
      <c r="E791" t="s">
        <v>367</v>
      </c>
      <c r="F791" t="s">
        <v>368</v>
      </c>
      <c r="G791" t="str">
        <f>"90"</f>
        <v>90</v>
      </c>
      <c r="H791" t="str">
        <f>"19.25"</f>
        <v>19.25</v>
      </c>
      <c r="I791" t="str">
        <f>"19"</f>
        <v>19</v>
      </c>
      <c r="J791" t="str">
        <f>"89.95"</f>
        <v>89.95</v>
      </c>
      <c r="K791" t="s">
        <v>8690</v>
      </c>
      <c r="N791" t="s">
        <v>1463</v>
      </c>
      <c r="T791" t="s">
        <v>402</v>
      </c>
      <c r="U791" t="s">
        <v>373</v>
      </c>
      <c r="V791" t="s">
        <v>14860</v>
      </c>
      <c r="W791" t="s">
        <v>14878</v>
      </c>
      <c r="X791" t="s">
        <v>14879</v>
      </c>
      <c r="Y791" t="s">
        <v>14880</v>
      </c>
      <c r="Z791" t="s">
        <v>14881</v>
      </c>
      <c r="AA791" t="s">
        <v>14882</v>
      </c>
      <c r="AB791" t="s">
        <v>14883</v>
      </c>
      <c r="AC791" t="s">
        <v>14884</v>
      </c>
      <c r="AD791" t="s">
        <v>14885</v>
      </c>
      <c r="AE791" t="s">
        <v>14886</v>
      </c>
      <c r="AF791" t="s">
        <v>14887</v>
      </c>
      <c r="AG791" t="s">
        <v>14888</v>
      </c>
      <c r="AH791" t="s">
        <v>14889</v>
      </c>
      <c r="AI791" t="s">
        <v>14890</v>
      </c>
      <c r="BA791" t="str">
        <f>"2299"</f>
        <v>2299</v>
      </c>
      <c r="BB791" t="str">
        <f>"970"</f>
        <v>970</v>
      </c>
      <c r="BC791" t="s">
        <v>1149</v>
      </c>
      <c r="BD791" t="str">
        <f t="shared" si="176"/>
        <v>1</v>
      </c>
      <c r="BE791" t="s">
        <v>389</v>
      </c>
      <c r="BF791" t="str">
        <f>"96.06"</f>
        <v>96.06</v>
      </c>
      <c r="BG791" t="str">
        <f>"25.59"</f>
        <v>25.59</v>
      </c>
      <c r="BH791" t="str">
        <f>"25.2"</f>
        <v>25.2</v>
      </c>
      <c r="BI791" t="str">
        <f>"169.31"</f>
        <v>169.31</v>
      </c>
      <c r="BY791" t="str">
        <f>"35.84"</f>
        <v>35.84</v>
      </c>
      <c r="BZ791" t="str">
        <f>"1.015"</f>
        <v>1.015</v>
      </c>
      <c r="CA791" t="s">
        <v>495</v>
      </c>
      <c r="CK791" t="s">
        <v>3982</v>
      </c>
      <c r="CL791" t="s">
        <v>791</v>
      </c>
      <c r="CM791" t="s">
        <v>4810</v>
      </c>
      <c r="CN791">
        <v>0</v>
      </c>
      <c r="CO791">
        <v>0</v>
      </c>
      <c r="CP791" t="s">
        <v>398</v>
      </c>
      <c r="CR791" t="s">
        <v>400</v>
      </c>
      <c r="CS791">
        <v>0</v>
      </c>
      <c r="CT791" t="s">
        <v>400</v>
      </c>
      <c r="CV791">
        <v>0</v>
      </c>
      <c r="CX791" t="s">
        <v>953</v>
      </c>
      <c r="CY791" t="s">
        <v>400</v>
      </c>
      <c r="CZ791">
        <v>0</v>
      </c>
      <c r="DA791">
        <v>0</v>
      </c>
      <c r="DB791">
        <v>0</v>
      </c>
      <c r="DC791">
        <v>0</v>
      </c>
      <c r="DE791" t="s">
        <v>405</v>
      </c>
      <c r="DH791">
        <v>0</v>
      </c>
      <c r="DI791">
        <v>4</v>
      </c>
      <c r="DJ791" t="s">
        <v>408</v>
      </c>
      <c r="DK791" t="s">
        <v>8337</v>
      </c>
      <c r="DL791">
        <v>0</v>
      </c>
      <c r="DM791" t="s">
        <v>795</v>
      </c>
      <c r="DX791" t="s">
        <v>830</v>
      </c>
      <c r="DY791" t="s">
        <v>14891</v>
      </c>
      <c r="DZ791" t="s">
        <v>2510</v>
      </c>
      <c r="EM791" t="s">
        <v>402</v>
      </c>
    </row>
    <row r="792" spans="1:217" x14ac:dyDescent="0.25">
      <c r="A792" t="s">
        <v>14892</v>
      </c>
      <c r="B792" t="str">
        <f>"801542194239"</f>
        <v>801542194239</v>
      </c>
      <c r="C792" t="s">
        <v>14893</v>
      </c>
      <c r="D792" t="s">
        <v>1224</v>
      </c>
      <c r="E792" t="s">
        <v>1021</v>
      </c>
      <c r="G792" t="str">
        <f>"94.5"</f>
        <v>94.5</v>
      </c>
      <c r="H792" t="str">
        <f>"19.75"</f>
        <v>19.75</v>
      </c>
      <c r="I792" t="str">
        <f>"27"</f>
        <v>27</v>
      </c>
      <c r="J792" t="str">
        <f>"224.87"</f>
        <v>224.87</v>
      </c>
      <c r="K792" t="s">
        <v>8322</v>
      </c>
      <c r="N792" t="s">
        <v>1463</v>
      </c>
      <c r="T792" t="s">
        <v>402</v>
      </c>
      <c r="U792" t="s">
        <v>373</v>
      </c>
      <c r="V792" t="s">
        <v>14894</v>
      </c>
      <c r="W792" t="s">
        <v>14895</v>
      </c>
      <c r="X792" t="s">
        <v>14896</v>
      </c>
      <c r="Y792" t="s">
        <v>14897</v>
      </c>
      <c r="Z792" t="s">
        <v>14898</v>
      </c>
      <c r="AA792" t="s">
        <v>14899</v>
      </c>
      <c r="AB792" t="s">
        <v>8330</v>
      </c>
      <c r="AC792" t="s">
        <v>14900</v>
      </c>
      <c r="AD792" t="s">
        <v>14901</v>
      </c>
      <c r="AE792" t="s">
        <v>14902</v>
      </c>
      <c r="AF792" t="s">
        <v>14903</v>
      </c>
      <c r="AG792" t="s">
        <v>14904</v>
      </c>
      <c r="AH792" t="s">
        <v>14905</v>
      </c>
      <c r="AI792" t="s">
        <v>14906</v>
      </c>
      <c r="AJ792" t="s">
        <v>14907</v>
      </c>
      <c r="BA792" t="str">
        <f>"4199"</f>
        <v>4199</v>
      </c>
      <c r="BB792" t="str">
        <f>"1765"</f>
        <v>1765</v>
      </c>
      <c r="BC792" t="s">
        <v>1149</v>
      </c>
      <c r="BD792" t="str">
        <f t="shared" si="176"/>
        <v>1</v>
      </c>
      <c r="BE792" t="s">
        <v>389</v>
      </c>
      <c r="BF792" t="str">
        <f>"100.59"</f>
        <v>100.59</v>
      </c>
      <c r="BG792" t="str">
        <f>"25.98"</f>
        <v>25.98</v>
      </c>
      <c r="BH792" t="str">
        <f>"34.25"</f>
        <v>34.25</v>
      </c>
      <c r="BI792" t="str">
        <f>"308.86"</f>
        <v>308.86</v>
      </c>
      <c r="BY792" t="str">
        <f>"51.81"</f>
        <v>51.81</v>
      </c>
      <c r="BZ792" t="str">
        <f>"1.467"</f>
        <v>1.467</v>
      </c>
      <c r="CA792" t="s">
        <v>495</v>
      </c>
      <c r="CE792" t="s">
        <v>5526</v>
      </c>
      <c r="CF792" t="s">
        <v>14908</v>
      </c>
      <c r="CG792" t="s">
        <v>14909</v>
      </c>
      <c r="CR792" t="s">
        <v>400</v>
      </c>
      <c r="CS792">
        <v>0</v>
      </c>
      <c r="CT792" t="s">
        <v>400</v>
      </c>
      <c r="CV792">
        <v>0</v>
      </c>
      <c r="CX792" t="s">
        <v>953</v>
      </c>
      <c r="CY792" t="s">
        <v>954</v>
      </c>
      <c r="DA792">
        <v>11.34</v>
      </c>
      <c r="DB792">
        <v>25</v>
      </c>
      <c r="DC792">
        <v>2</v>
      </c>
      <c r="DK792" t="s">
        <v>8337</v>
      </c>
      <c r="DX792" t="s">
        <v>1094</v>
      </c>
      <c r="EM792" t="s">
        <v>402</v>
      </c>
      <c r="EN792">
        <v>2</v>
      </c>
      <c r="EZ792" t="s">
        <v>14910</v>
      </c>
      <c r="FA792" t="s">
        <v>956</v>
      </c>
      <c r="FB792" t="s">
        <v>3385</v>
      </c>
      <c r="FC792" t="s">
        <v>5526</v>
      </c>
      <c r="FD792" t="s">
        <v>956</v>
      </c>
      <c r="FE792" t="s">
        <v>14909</v>
      </c>
      <c r="FG792" t="s">
        <v>402</v>
      </c>
      <c r="FI792">
        <v>4</v>
      </c>
      <c r="FJ792" t="s">
        <v>960</v>
      </c>
      <c r="FK792" t="s">
        <v>1246</v>
      </c>
      <c r="FM792" t="s">
        <v>402</v>
      </c>
      <c r="FO792" t="s">
        <v>984</v>
      </c>
      <c r="GE792">
        <v>0</v>
      </c>
    </row>
    <row r="793" spans="1:217" x14ac:dyDescent="0.25">
      <c r="A793" t="s">
        <v>14911</v>
      </c>
      <c r="B793" t="str">
        <f>"801542377816"</f>
        <v>801542377816</v>
      </c>
      <c r="C793" t="s">
        <v>14912</v>
      </c>
      <c r="D793" t="s">
        <v>1967</v>
      </c>
      <c r="E793" t="s">
        <v>4074</v>
      </c>
      <c r="G793" t="str">
        <f>"86"</f>
        <v>86</v>
      </c>
      <c r="H793" t="str">
        <f>"19"</f>
        <v>19</v>
      </c>
      <c r="I793" t="str">
        <f>"32"</f>
        <v>32</v>
      </c>
      <c r="J793" t="str">
        <f>"240.3"</f>
        <v>240.3</v>
      </c>
      <c r="K793" t="s">
        <v>14913</v>
      </c>
      <c r="L793" t="s">
        <v>7043</v>
      </c>
      <c r="N793" t="s">
        <v>14914</v>
      </c>
      <c r="O793" t="s">
        <v>1463</v>
      </c>
      <c r="T793" t="s">
        <v>373</v>
      </c>
      <c r="U793" t="s">
        <v>373</v>
      </c>
      <c r="V793" t="s">
        <v>14915</v>
      </c>
      <c r="W793" t="s">
        <v>14916</v>
      </c>
      <c r="X793" t="s">
        <v>14917</v>
      </c>
      <c r="Y793" t="s">
        <v>14918</v>
      </c>
      <c r="Z793" t="s">
        <v>14919</v>
      </c>
      <c r="AA793" t="s">
        <v>14920</v>
      </c>
      <c r="AB793" t="s">
        <v>14921</v>
      </c>
      <c r="AC793" t="s">
        <v>14922</v>
      </c>
      <c r="AD793" t="s">
        <v>14923</v>
      </c>
      <c r="AE793" t="s">
        <v>14924</v>
      </c>
      <c r="AF793" t="s">
        <v>14925</v>
      </c>
      <c r="AG793" t="s">
        <v>14926</v>
      </c>
      <c r="AH793" t="s">
        <v>14927</v>
      </c>
      <c r="AI793" t="s">
        <v>14928</v>
      </c>
      <c r="BA793" t="str">
        <f>"3699"</f>
        <v>3699</v>
      </c>
      <c r="BB793" t="str">
        <f>"1555"</f>
        <v>1555</v>
      </c>
      <c r="BC793" t="s">
        <v>388</v>
      </c>
      <c r="BD793" t="str">
        <f>"2"</f>
        <v>2</v>
      </c>
      <c r="BE793" t="s">
        <v>1089</v>
      </c>
      <c r="BF793" t="str">
        <f>"93.11"</f>
        <v>93.11</v>
      </c>
      <c r="BG793" t="str">
        <f>"8.46"</f>
        <v>8.46</v>
      </c>
      <c r="BH793" t="str">
        <f>"26.18"</f>
        <v>26.18</v>
      </c>
      <c r="BI793" t="str">
        <f>"295.42"</f>
        <v>295.42</v>
      </c>
      <c r="BJ793" t="s">
        <v>1090</v>
      </c>
      <c r="BK793" t="str">
        <f>"76.18"</f>
        <v>76.18</v>
      </c>
      <c r="BL793" t="str">
        <f>"10.24"</f>
        <v>10.24</v>
      </c>
      <c r="BM793" t="str">
        <f>"24.61"</f>
        <v>24.61</v>
      </c>
      <c r="BN793" t="str">
        <f>"90.39"</f>
        <v>90.39</v>
      </c>
      <c r="BY793" t="str">
        <f>"23.06"</f>
        <v>23.06</v>
      </c>
      <c r="BZ793" t="str">
        <f>"0.653"</f>
        <v>0.653</v>
      </c>
      <c r="CA793" t="s">
        <v>495</v>
      </c>
      <c r="CR793" t="s">
        <v>400</v>
      </c>
      <c r="CS793">
        <v>0</v>
      </c>
      <c r="CT793" t="s">
        <v>400</v>
      </c>
      <c r="CV793">
        <v>0</v>
      </c>
      <c r="CX793" t="s">
        <v>1241</v>
      </c>
      <c r="CY793" t="s">
        <v>400</v>
      </c>
      <c r="DC793">
        <v>0</v>
      </c>
      <c r="DJ793" t="s">
        <v>408</v>
      </c>
      <c r="DK793" t="s">
        <v>14929</v>
      </c>
      <c r="DM793" t="s">
        <v>669</v>
      </c>
      <c r="DX793" t="s">
        <v>14930</v>
      </c>
      <c r="DZ793" t="s">
        <v>14931</v>
      </c>
      <c r="EI793" t="s">
        <v>8248</v>
      </c>
      <c r="EJ793" t="s">
        <v>14932</v>
      </c>
      <c r="EK793" t="s">
        <v>395</v>
      </c>
      <c r="EL793" t="s">
        <v>1292</v>
      </c>
      <c r="EM793" t="s">
        <v>402</v>
      </c>
      <c r="EN793">
        <v>0</v>
      </c>
      <c r="EO793">
        <v>0</v>
      </c>
      <c r="EX793" t="s">
        <v>745</v>
      </c>
      <c r="FI793">
        <v>0</v>
      </c>
      <c r="FJ793" t="s">
        <v>1012</v>
      </c>
    </row>
    <row r="794" spans="1:217" x14ac:dyDescent="0.25">
      <c r="A794" t="s">
        <v>14933</v>
      </c>
      <c r="B794" t="str">
        <f>"801542377557"</f>
        <v>801542377557</v>
      </c>
      <c r="C794" t="s">
        <v>14934</v>
      </c>
      <c r="D794" t="s">
        <v>1967</v>
      </c>
      <c r="E794" t="s">
        <v>459</v>
      </c>
      <c r="G794" t="str">
        <f>"22"</f>
        <v>22</v>
      </c>
      <c r="H794" t="str">
        <f>"22"</f>
        <v>22</v>
      </c>
      <c r="I794" t="str">
        <f>"20"</f>
        <v>20</v>
      </c>
      <c r="J794" t="str">
        <f>"110.23"</f>
        <v>110.23</v>
      </c>
      <c r="K794" t="s">
        <v>14935</v>
      </c>
      <c r="N794" t="s">
        <v>14936</v>
      </c>
      <c r="T794" t="s">
        <v>373</v>
      </c>
      <c r="U794" t="s">
        <v>373</v>
      </c>
      <c r="V794" t="s">
        <v>14937</v>
      </c>
      <c r="W794" t="s">
        <v>14938</v>
      </c>
      <c r="X794" t="s">
        <v>14939</v>
      </c>
      <c r="Y794" t="s">
        <v>14940</v>
      </c>
      <c r="Z794" t="s">
        <v>14941</v>
      </c>
      <c r="AA794" t="s">
        <v>14942</v>
      </c>
      <c r="AB794" t="s">
        <v>14943</v>
      </c>
      <c r="AC794" t="s">
        <v>14944</v>
      </c>
      <c r="AD794" t="s">
        <v>14945</v>
      </c>
      <c r="AE794" t="s">
        <v>14946</v>
      </c>
      <c r="BA794" t="str">
        <f>"1749"</f>
        <v>1749</v>
      </c>
      <c r="BB794" t="str">
        <f>"735"</f>
        <v>735</v>
      </c>
      <c r="BC794" t="s">
        <v>388</v>
      </c>
      <c r="BD794" t="str">
        <f t="shared" ref="BD794:BD802" si="177">"1"</f>
        <v>1</v>
      </c>
      <c r="BE794" t="s">
        <v>389</v>
      </c>
      <c r="BF794" t="str">
        <f>"28.74"</f>
        <v>28.74</v>
      </c>
      <c r="BG794" t="str">
        <f>"28.74"</f>
        <v>28.74</v>
      </c>
      <c r="BH794" t="str">
        <f>"27.36"</f>
        <v>27.36</v>
      </c>
      <c r="BI794" t="str">
        <f>"194"</f>
        <v>194</v>
      </c>
      <c r="BY794" t="str">
        <f>"13.07"</f>
        <v>13.07</v>
      </c>
      <c r="BZ794" t="str">
        <f>"0.37"</f>
        <v>0.37</v>
      </c>
      <c r="CA794" t="s">
        <v>431</v>
      </c>
      <c r="CR794" t="s">
        <v>400</v>
      </c>
      <c r="CS794">
        <v>0</v>
      </c>
      <c r="CT794" t="s">
        <v>400</v>
      </c>
      <c r="CV794">
        <v>0</v>
      </c>
      <c r="CX794" t="s">
        <v>1980</v>
      </c>
      <c r="CY794" t="s">
        <v>400</v>
      </c>
      <c r="DC794">
        <v>0</v>
      </c>
      <c r="DJ794" t="s">
        <v>471</v>
      </c>
      <c r="DK794" t="s">
        <v>14947</v>
      </c>
      <c r="DM794" t="s">
        <v>473</v>
      </c>
      <c r="DX794" t="s">
        <v>1348</v>
      </c>
      <c r="EI794" t="s">
        <v>14948</v>
      </c>
      <c r="EJ794" t="s">
        <v>1348</v>
      </c>
      <c r="EK794" t="s">
        <v>14948</v>
      </c>
      <c r="EL794" t="s">
        <v>6635</v>
      </c>
      <c r="EM794" t="s">
        <v>402</v>
      </c>
      <c r="EN794">
        <v>0</v>
      </c>
      <c r="EO794">
        <v>0</v>
      </c>
      <c r="EX794" t="s">
        <v>3518</v>
      </c>
    </row>
    <row r="795" spans="1:217" x14ac:dyDescent="0.25">
      <c r="A795" t="s">
        <v>14949</v>
      </c>
      <c r="B795" t="str">
        <f>"801542240547"</f>
        <v>801542240547</v>
      </c>
      <c r="C795" t="s">
        <v>14950</v>
      </c>
      <c r="D795" t="s">
        <v>5513</v>
      </c>
      <c r="E795" t="s">
        <v>367</v>
      </c>
      <c r="F795" t="s">
        <v>368</v>
      </c>
      <c r="G795" t="str">
        <f>"70"</f>
        <v>70</v>
      </c>
      <c r="H795" t="str">
        <f>"18"</f>
        <v>18</v>
      </c>
      <c r="I795" t="str">
        <f>"19"</f>
        <v>19</v>
      </c>
      <c r="J795" t="str">
        <f>"48.5"</f>
        <v>48.5</v>
      </c>
      <c r="K795" t="s">
        <v>14951</v>
      </c>
      <c r="N795" t="s">
        <v>14952</v>
      </c>
      <c r="O795" t="s">
        <v>14953</v>
      </c>
      <c r="T795" t="s">
        <v>373</v>
      </c>
      <c r="U795" t="s">
        <v>373</v>
      </c>
      <c r="V795" t="s">
        <v>14954</v>
      </c>
      <c r="W795" t="s">
        <v>14955</v>
      </c>
      <c r="X795" t="s">
        <v>14956</v>
      </c>
      <c r="Y795" t="s">
        <v>14957</v>
      </c>
      <c r="Z795" t="s">
        <v>14958</v>
      </c>
      <c r="AA795" t="s">
        <v>14959</v>
      </c>
      <c r="AB795" t="s">
        <v>14960</v>
      </c>
      <c r="AC795" t="s">
        <v>14961</v>
      </c>
      <c r="AD795" t="s">
        <v>14962</v>
      </c>
      <c r="AE795" t="s">
        <v>14963</v>
      </c>
      <c r="AF795" t="s">
        <v>14964</v>
      </c>
      <c r="AG795" t="s">
        <v>14965</v>
      </c>
      <c r="AH795" t="s">
        <v>14966</v>
      </c>
      <c r="BA795" t="str">
        <f>"749"</f>
        <v>749</v>
      </c>
      <c r="BB795" t="str">
        <f>"315"</f>
        <v>315</v>
      </c>
      <c r="BC795" t="s">
        <v>388</v>
      </c>
      <c r="BD795" t="str">
        <f t="shared" si="177"/>
        <v>1</v>
      </c>
      <c r="BE795" t="s">
        <v>389</v>
      </c>
      <c r="BF795" t="str">
        <f>"71.06"</f>
        <v>71.06</v>
      </c>
      <c r="BG795" t="str">
        <f>"19.09"</f>
        <v>19.09</v>
      </c>
      <c r="BH795" t="str">
        <f>"21.26"</f>
        <v>21.26</v>
      </c>
      <c r="BI795" t="str">
        <f>"60.85"</f>
        <v>60.85</v>
      </c>
      <c r="BY795" t="str">
        <f>"16.7"</f>
        <v>16.7</v>
      </c>
      <c r="BZ795" t="str">
        <f>"0.473"</f>
        <v>0.473</v>
      </c>
      <c r="CA795" t="s">
        <v>431</v>
      </c>
      <c r="CH795" t="s">
        <v>449</v>
      </c>
      <c r="CI795" t="s">
        <v>2510</v>
      </c>
      <c r="CJ795" t="s">
        <v>11655</v>
      </c>
      <c r="CK795" t="s">
        <v>449</v>
      </c>
      <c r="CL795" t="s">
        <v>511</v>
      </c>
      <c r="CM795" t="s">
        <v>12556</v>
      </c>
      <c r="CN795">
        <v>0</v>
      </c>
      <c r="CO795">
        <v>0</v>
      </c>
      <c r="CP795" t="s">
        <v>398</v>
      </c>
      <c r="CQ795" t="s">
        <v>631</v>
      </c>
      <c r="CR795" t="s">
        <v>400</v>
      </c>
      <c r="CS795">
        <v>0</v>
      </c>
      <c r="CT795" t="s">
        <v>400</v>
      </c>
      <c r="CU795" t="s">
        <v>749</v>
      </c>
      <c r="CV795">
        <v>0</v>
      </c>
      <c r="CX795" t="s">
        <v>403</v>
      </c>
      <c r="CY795" t="s">
        <v>400</v>
      </c>
      <c r="CZ795">
        <v>0</v>
      </c>
      <c r="DA795">
        <v>0</v>
      </c>
      <c r="DB795">
        <v>0</v>
      </c>
      <c r="DC795">
        <v>0</v>
      </c>
      <c r="DD795">
        <v>25000</v>
      </c>
      <c r="DE795" t="s">
        <v>405</v>
      </c>
      <c r="DF795" t="s">
        <v>406</v>
      </c>
      <c r="DG795" t="s">
        <v>407</v>
      </c>
      <c r="DH795">
        <v>1</v>
      </c>
      <c r="DI795">
        <v>3</v>
      </c>
      <c r="DJ795" t="s">
        <v>408</v>
      </c>
      <c r="DK795" t="s">
        <v>14967</v>
      </c>
      <c r="DL795">
        <v>0</v>
      </c>
      <c r="DM795" t="s">
        <v>410</v>
      </c>
      <c r="DN795" t="s">
        <v>791</v>
      </c>
      <c r="DO795" t="s">
        <v>827</v>
      </c>
      <c r="DT795" t="s">
        <v>7985</v>
      </c>
      <c r="DX795" t="s">
        <v>14968</v>
      </c>
      <c r="DZ795" t="s">
        <v>14969</v>
      </c>
      <c r="EG795" t="s">
        <v>749</v>
      </c>
      <c r="EM795" t="s">
        <v>402</v>
      </c>
    </row>
    <row r="796" spans="1:217" x14ac:dyDescent="0.25">
      <c r="A796" t="s">
        <v>14970</v>
      </c>
      <c r="B796" t="str">
        <f>"801542187231"</f>
        <v>801542187231</v>
      </c>
      <c r="C796" t="s">
        <v>14971</v>
      </c>
      <c r="D796" t="s">
        <v>5513</v>
      </c>
      <c r="E796" t="s">
        <v>367</v>
      </c>
      <c r="F796" t="s">
        <v>368</v>
      </c>
      <c r="G796" t="str">
        <f>"70"</f>
        <v>70</v>
      </c>
      <c r="H796" t="str">
        <f>"18"</f>
        <v>18</v>
      </c>
      <c r="I796" t="str">
        <f>"19"</f>
        <v>19</v>
      </c>
      <c r="J796" t="str">
        <f>"48.5"</f>
        <v>48.5</v>
      </c>
      <c r="K796" t="s">
        <v>369</v>
      </c>
      <c r="N796" t="s">
        <v>371</v>
      </c>
      <c r="T796" t="s">
        <v>373</v>
      </c>
      <c r="U796" t="s">
        <v>373</v>
      </c>
      <c r="V796" t="s">
        <v>14972</v>
      </c>
      <c r="W796" t="s">
        <v>14973</v>
      </c>
      <c r="X796" t="s">
        <v>14974</v>
      </c>
      <c r="Y796" t="s">
        <v>14975</v>
      </c>
      <c r="Z796" t="s">
        <v>14976</v>
      </c>
      <c r="AA796" t="s">
        <v>14977</v>
      </c>
      <c r="AB796" t="s">
        <v>14978</v>
      </c>
      <c r="AC796" t="s">
        <v>14979</v>
      </c>
      <c r="AD796" t="s">
        <v>14980</v>
      </c>
      <c r="BA796" t="str">
        <f>"749"</f>
        <v>749</v>
      </c>
      <c r="BB796" t="str">
        <f>"315"</f>
        <v>315</v>
      </c>
      <c r="BC796" t="s">
        <v>388</v>
      </c>
      <c r="BD796" t="str">
        <f t="shared" si="177"/>
        <v>1</v>
      </c>
      <c r="BE796" t="s">
        <v>389</v>
      </c>
      <c r="BF796" t="str">
        <f>"71.06"</f>
        <v>71.06</v>
      </c>
      <c r="BG796" t="str">
        <f>"19.09"</f>
        <v>19.09</v>
      </c>
      <c r="BH796" t="str">
        <f>"21.26"</f>
        <v>21.26</v>
      </c>
      <c r="BI796" t="str">
        <f>"60.85"</f>
        <v>60.85</v>
      </c>
      <c r="BY796" t="str">
        <f>"16.7"</f>
        <v>16.7</v>
      </c>
      <c r="BZ796" t="str">
        <f>"0.473"</f>
        <v>0.473</v>
      </c>
      <c r="CA796" t="s">
        <v>390</v>
      </c>
      <c r="CH796" t="s">
        <v>449</v>
      </c>
      <c r="CI796" t="s">
        <v>2510</v>
      </c>
      <c r="CJ796" t="s">
        <v>11655</v>
      </c>
      <c r="CK796" t="s">
        <v>449</v>
      </c>
      <c r="CL796" t="s">
        <v>511</v>
      </c>
      <c r="CM796" t="s">
        <v>12556</v>
      </c>
      <c r="CN796">
        <v>0</v>
      </c>
      <c r="CO796">
        <v>0</v>
      </c>
      <c r="CP796" t="s">
        <v>398</v>
      </c>
      <c r="CQ796" t="s">
        <v>399</v>
      </c>
      <c r="CR796" t="s">
        <v>400</v>
      </c>
      <c r="CS796">
        <v>0</v>
      </c>
      <c r="CT796" t="s">
        <v>400</v>
      </c>
      <c r="CU796" t="s">
        <v>749</v>
      </c>
      <c r="CV796">
        <v>0</v>
      </c>
      <c r="CX796" t="s">
        <v>403</v>
      </c>
      <c r="CY796" t="s">
        <v>400</v>
      </c>
      <c r="CZ796">
        <v>0</v>
      </c>
      <c r="DA796">
        <v>0</v>
      </c>
      <c r="DB796">
        <v>0</v>
      </c>
      <c r="DC796">
        <v>0</v>
      </c>
      <c r="DD796">
        <v>15000</v>
      </c>
      <c r="DE796" t="s">
        <v>405</v>
      </c>
      <c r="DF796" t="s">
        <v>406</v>
      </c>
      <c r="DG796" t="s">
        <v>407</v>
      </c>
      <c r="DH796">
        <v>1</v>
      </c>
      <c r="DI796">
        <v>3</v>
      </c>
      <c r="DJ796" t="s">
        <v>408</v>
      </c>
      <c r="DK796" t="s">
        <v>14967</v>
      </c>
      <c r="DL796">
        <v>0</v>
      </c>
      <c r="DM796" t="s">
        <v>410</v>
      </c>
      <c r="DN796" t="s">
        <v>791</v>
      </c>
      <c r="DO796" t="s">
        <v>827</v>
      </c>
      <c r="DT796" t="s">
        <v>7985</v>
      </c>
      <c r="DX796" t="s">
        <v>14968</v>
      </c>
      <c r="DZ796" t="s">
        <v>14969</v>
      </c>
      <c r="EG796" t="s">
        <v>749</v>
      </c>
      <c r="EM796" t="s">
        <v>402</v>
      </c>
    </row>
    <row r="797" spans="1:217" x14ac:dyDescent="0.25">
      <c r="A797" t="s">
        <v>14981</v>
      </c>
      <c r="B797" t="str">
        <f>"198394028851"</f>
        <v>198394028851</v>
      </c>
      <c r="C797" t="s">
        <v>14982</v>
      </c>
      <c r="D797" t="s">
        <v>5513</v>
      </c>
      <c r="E797" t="s">
        <v>367</v>
      </c>
      <c r="F797" t="s">
        <v>368</v>
      </c>
      <c r="G797" t="str">
        <f>"70"</f>
        <v>70</v>
      </c>
      <c r="H797" t="str">
        <f>"18"</f>
        <v>18</v>
      </c>
      <c r="I797" t="str">
        <f>"19"</f>
        <v>19</v>
      </c>
      <c r="J797" t="str">
        <f>"48.5"</f>
        <v>48.5</v>
      </c>
      <c r="K797" t="s">
        <v>770</v>
      </c>
      <c r="N797" t="s">
        <v>772</v>
      </c>
      <c r="O797" t="s">
        <v>773</v>
      </c>
      <c r="P797" t="s">
        <v>774</v>
      </c>
      <c r="T797" t="s">
        <v>373</v>
      </c>
      <c r="U797" t="s">
        <v>402</v>
      </c>
      <c r="V797" t="s">
        <v>14983</v>
      </c>
      <c r="W797" t="s">
        <v>14984</v>
      </c>
      <c r="X797" t="s">
        <v>14985</v>
      </c>
      <c r="Y797" t="s">
        <v>14986</v>
      </c>
      <c r="Z797" t="s">
        <v>14987</v>
      </c>
      <c r="AA797" t="s">
        <v>14988</v>
      </c>
      <c r="AB797" t="s">
        <v>14989</v>
      </c>
      <c r="AC797" t="s">
        <v>14990</v>
      </c>
      <c r="AD797" t="s">
        <v>14991</v>
      </c>
      <c r="AE797" t="s">
        <v>14992</v>
      </c>
      <c r="AF797" t="s">
        <v>14993</v>
      </c>
      <c r="BA797" t="str">
        <f>"799"</f>
        <v>799</v>
      </c>
      <c r="BB797" t="str">
        <f>"340"</f>
        <v>340</v>
      </c>
      <c r="BC797" t="s">
        <v>388</v>
      </c>
      <c r="BD797" t="str">
        <f t="shared" si="177"/>
        <v>1</v>
      </c>
      <c r="BE797" t="s">
        <v>389</v>
      </c>
      <c r="BF797" t="str">
        <f>"71.06"</f>
        <v>71.06</v>
      </c>
      <c r="BG797" t="str">
        <f>"19.09"</f>
        <v>19.09</v>
      </c>
      <c r="BH797" t="str">
        <f>"21.26"</f>
        <v>21.26</v>
      </c>
      <c r="BI797" t="str">
        <f>"60.85"</f>
        <v>60.85</v>
      </c>
      <c r="BY797" t="str">
        <f>"16.7"</f>
        <v>16.7</v>
      </c>
      <c r="BZ797" t="str">
        <f>"0.473"</f>
        <v>0.473</v>
      </c>
      <c r="CA797" t="s">
        <v>495</v>
      </c>
      <c r="CH797" t="s">
        <v>449</v>
      </c>
      <c r="CI797" t="s">
        <v>2510</v>
      </c>
      <c r="CJ797" t="s">
        <v>11655</v>
      </c>
      <c r="CK797" t="s">
        <v>449</v>
      </c>
      <c r="CL797" t="s">
        <v>511</v>
      </c>
      <c r="CM797" t="s">
        <v>12556</v>
      </c>
      <c r="CN797">
        <v>0</v>
      </c>
      <c r="CO797">
        <v>0</v>
      </c>
      <c r="CP797" t="s">
        <v>398</v>
      </c>
      <c r="CQ797" t="s">
        <v>631</v>
      </c>
      <c r="CR797" t="s">
        <v>400</v>
      </c>
      <c r="CS797">
        <v>0</v>
      </c>
      <c r="CT797" t="s">
        <v>400</v>
      </c>
      <c r="CU797" t="s">
        <v>749</v>
      </c>
      <c r="CV797">
        <v>0</v>
      </c>
      <c r="CX797" t="s">
        <v>403</v>
      </c>
      <c r="CY797" t="s">
        <v>400</v>
      </c>
      <c r="CZ797">
        <v>0</v>
      </c>
      <c r="DA797">
        <v>0</v>
      </c>
      <c r="DB797">
        <v>0</v>
      </c>
      <c r="DC797">
        <v>0</v>
      </c>
      <c r="DD797">
        <v>30000</v>
      </c>
      <c r="DE797" t="s">
        <v>405</v>
      </c>
      <c r="DF797" t="s">
        <v>406</v>
      </c>
      <c r="DG797" t="s">
        <v>407</v>
      </c>
      <c r="DH797">
        <v>1</v>
      </c>
      <c r="DI797">
        <v>3</v>
      </c>
      <c r="DJ797" t="s">
        <v>408</v>
      </c>
      <c r="DK797" t="s">
        <v>14967</v>
      </c>
      <c r="DL797">
        <v>0</v>
      </c>
      <c r="DM797" t="s">
        <v>410</v>
      </c>
      <c r="DN797" t="s">
        <v>791</v>
      </c>
      <c r="DO797" t="s">
        <v>827</v>
      </c>
      <c r="DT797" t="s">
        <v>7985</v>
      </c>
      <c r="DX797" t="s">
        <v>14968</v>
      </c>
      <c r="DZ797" t="s">
        <v>14969</v>
      </c>
      <c r="EG797" t="s">
        <v>749</v>
      </c>
      <c r="EM797" t="s">
        <v>402</v>
      </c>
    </row>
    <row r="798" spans="1:217" x14ac:dyDescent="0.25">
      <c r="A798" t="s">
        <v>14994</v>
      </c>
      <c r="B798" t="str">
        <f>"801542236953"</f>
        <v>801542236953</v>
      </c>
      <c r="C798" t="s">
        <v>14995</v>
      </c>
      <c r="D798" t="s">
        <v>1224</v>
      </c>
      <c r="E798" t="s">
        <v>1077</v>
      </c>
      <c r="G798" t="str">
        <f>"55"</f>
        <v>55</v>
      </c>
      <c r="H798" t="str">
        <f>"55"</f>
        <v>55</v>
      </c>
      <c r="I798" t="str">
        <f>"17.75"</f>
        <v>17.75</v>
      </c>
      <c r="J798" t="str">
        <f>"146.61"</f>
        <v>146.61</v>
      </c>
      <c r="K798" t="s">
        <v>5667</v>
      </c>
      <c r="L798" t="s">
        <v>5666</v>
      </c>
      <c r="N798" t="s">
        <v>555</v>
      </c>
      <c r="O798" t="s">
        <v>1463</v>
      </c>
      <c r="T798" t="s">
        <v>373</v>
      </c>
      <c r="U798" t="s">
        <v>373</v>
      </c>
      <c r="V798" t="s">
        <v>14996</v>
      </c>
      <c r="W798" t="s">
        <v>14997</v>
      </c>
      <c r="X798" t="s">
        <v>14998</v>
      </c>
      <c r="Y798" t="s">
        <v>14999</v>
      </c>
      <c r="Z798" t="s">
        <v>15000</v>
      </c>
      <c r="AA798" t="s">
        <v>15001</v>
      </c>
      <c r="AB798" t="s">
        <v>15002</v>
      </c>
      <c r="AC798" t="s">
        <v>15003</v>
      </c>
      <c r="AD798" t="s">
        <v>15004</v>
      </c>
      <c r="AE798" t="s">
        <v>15005</v>
      </c>
      <c r="AF798" t="s">
        <v>15006</v>
      </c>
      <c r="AG798" t="s">
        <v>15007</v>
      </c>
      <c r="AH798" t="s">
        <v>15008</v>
      </c>
      <c r="AI798" t="s">
        <v>15009</v>
      </c>
      <c r="AJ798" t="s">
        <v>15010</v>
      </c>
      <c r="BA798" t="str">
        <f>"2599"</f>
        <v>2599</v>
      </c>
      <c r="BB798" t="str">
        <f>"1095"</f>
        <v>1095</v>
      </c>
      <c r="BC798" t="s">
        <v>1149</v>
      </c>
      <c r="BD798" t="str">
        <f t="shared" si="177"/>
        <v>1</v>
      </c>
      <c r="BE798" t="s">
        <v>389</v>
      </c>
      <c r="BF798" t="str">
        <f>"62.99"</f>
        <v>62.99</v>
      </c>
      <c r="BG798" t="str">
        <f>"63.39"</f>
        <v>63.39</v>
      </c>
      <c r="BH798" t="str">
        <f>"23.62"</f>
        <v>23.62</v>
      </c>
      <c r="BI798" t="str">
        <f>"214.18"</f>
        <v>214.18</v>
      </c>
      <c r="BY798" t="str">
        <f>"54.6"</f>
        <v>54.6</v>
      </c>
      <c r="BZ798" t="str">
        <f>"1.546"</f>
        <v>1.546</v>
      </c>
      <c r="CA798" t="s">
        <v>431</v>
      </c>
      <c r="CR798" t="s">
        <v>400</v>
      </c>
      <c r="CS798">
        <v>0</v>
      </c>
      <c r="CT798" t="s">
        <v>400</v>
      </c>
      <c r="CV798">
        <v>0</v>
      </c>
      <c r="CX798" t="s">
        <v>953</v>
      </c>
      <c r="CY798" t="s">
        <v>400</v>
      </c>
      <c r="DC798">
        <v>0</v>
      </c>
      <c r="DJ798" t="s">
        <v>471</v>
      </c>
      <c r="DK798" t="s">
        <v>5682</v>
      </c>
      <c r="DM798" t="s">
        <v>473</v>
      </c>
      <c r="DX798" t="s">
        <v>5683</v>
      </c>
      <c r="EI798" t="s">
        <v>5685</v>
      </c>
      <c r="EJ798" t="s">
        <v>3020</v>
      </c>
      <c r="EK798" t="s">
        <v>2807</v>
      </c>
      <c r="EL798" t="s">
        <v>5686</v>
      </c>
      <c r="EM798" t="s">
        <v>402</v>
      </c>
      <c r="EN798">
        <v>0</v>
      </c>
      <c r="EO798">
        <v>0</v>
      </c>
    </row>
    <row r="799" spans="1:217" x14ac:dyDescent="0.25">
      <c r="A799" t="s">
        <v>15011</v>
      </c>
      <c r="B799" t="str">
        <f>"801542245269"</f>
        <v>801542245269</v>
      </c>
      <c r="C799" t="s">
        <v>15012</v>
      </c>
      <c r="D799" t="s">
        <v>1420</v>
      </c>
      <c r="E799" t="s">
        <v>1021</v>
      </c>
      <c r="G799" t="str">
        <f>"94"</f>
        <v>94</v>
      </c>
      <c r="H799" t="str">
        <f>"16.25"</f>
        <v>16.25</v>
      </c>
      <c r="I799" t="str">
        <f>"26.25"</f>
        <v>26.25</v>
      </c>
      <c r="J799" t="str">
        <f>"224.87"</f>
        <v>224.87</v>
      </c>
      <c r="K799" t="s">
        <v>15013</v>
      </c>
      <c r="N799" t="s">
        <v>1463</v>
      </c>
      <c r="T799" t="s">
        <v>373</v>
      </c>
      <c r="U799" t="s">
        <v>373</v>
      </c>
      <c r="V799" t="s">
        <v>15014</v>
      </c>
      <c r="W799" t="s">
        <v>15015</v>
      </c>
      <c r="X799" t="s">
        <v>15016</v>
      </c>
      <c r="Y799" t="s">
        <v>15017</v>
      </c>
      <c r="Z799" t="s">
        <v>15018</v>
      </c>
      <c r="AA799" t="s">
        <v>15019</v>
      </c>
      <c r="AB799" t="s">
        <v>15020</v>
      </c>
      <c r="AC799" t="s">
        <v>15021</v>
      </c>
      <c r="AD799" t="s">
        <v>15022</v>
      </c>
      <c r="AE799" t="s">
        <v>15023</v>
      </c>
      <c r="AF799" t="s">
        <v>15024</v>
      </c>
      <c r="AG799" t="s">
        <v>15025</v>
      </c>
      <c r="AH799" t="s">
        <v>15026</v>
      </c>
      <c r="AI799" t="s">
        <v>15027</v>
      </c>
      <c r="AJ799" t="s">
        <v>15028</v>
      </c>
      <c r="AK799" t="s">
        <v>15029</v>
      </c>
      <c r="AL799" t="s">
        <v>15030</v>
      </c>
      <c r="BA799" t="str">
        <f>"2699"</f>
        <v>2699</v>
      </c>
      <c r="BB799" t="str">
        <f>"1135"</f>
        <v>1135</v>
      </c>
      <c r="BC799" t="s">
        <v>665</v>
      </c>
      <c r="BD799" t="str">
        <f t="shared" si="177"/>
        <v>1</v>
      </c>
      <c r="BE799" t="s">
        <v>10090</v>
      </c>
      <c r="BF799" t="str">
        <f>"98.43"</f>
        <v>98.43</v>
      </c>
      <c r="BG799" t="str">
        <f>"20.08"</f>
        <v>20.08</v>
      </c>
      <c r="BH799" t="str">
        <f>"32.09"</f>
        <v>32.09</v>
      </c>
      <c r="BI799" t="str">
        <f>"264.55"</f>
        <v>264.55</v>
      </c>
      <c r="BY799" t="str">
        <f>"36.69"</f>
        <v>36.69</v>
      </c>
      <c r="BZ799" t="str">
        <f>"1.039"</f>
        <v>1.039</v>
      </c>
      <c r="CA799" t="s">
        <v>495</v>
      </c>
      <c r="CE799" t="s">
        <v>12272</v>
      </c>
      <c r="CF799" t="s">
        <v>5877</v>
      </c>
      <c r="CG799" t="s">
        <v>15031</v>
      </c>
      <c r="CR799" t="s">
        <v>5068</v>
      </c>
      <c r="CS799">
        <v>4</v>
      </c>
      <c r="CT799" t="s">
        <v>400</v>
      </c>
      <c r="CV799">
        <v>0</v>
      </c>
      <c r="CX799" t="s">
        <v>953</v>
      </c>
      <c r="CY799" t="s">
        <v>954</v>
      </c>
      <c r="DA799">
        <v>18.14</v>
      </c>
      <c r="DB799">
        <v>40</v>
      </c>
      <c r="DC799">
        <v>1</v>
      </c>
      <c r="DK799" t="s">
        <v>15032</v>
      </c>
      <c r="DX799" t="s">
        <v>450</v>
      </c>
      <c r="EM799" t="s">
        <v>402</v>
      </c>
      <c r="EN799">
        <v>1</v>
      </c>
      <c r="EZ799" t="s">
        <v>4609</v>
      </c>
      <c r="FA799" t="s">
        <v>956</v>
      </c>
      <c r="FB799" t="s">
        <v>3385</v>
      </c>
      <c r="FC799" t="s">
        <v>12272</v>
      </c>
      <c r="FD799" t="s">
        <v>956</v>
      </c>
      <c r="FE799" t="s">
        <v>15031</v>
      </c>
      <c r="FG799" t="s">
        <v>402</v>
      </c>
      <c r="FH799" t="s">
        <v>1245</v>
      </c>
      <c r="FI799">
        <v>2</v>
      </c>
      <c r="FJ799" t="s">
        <v>960</v>
      </c>
      <c r="FK799" t="s">
        <v>961</v>
      </c>
      <c r="FM799" t="s">
        <v>402</v>
      </c>
      <c r="FO799" t="s">
        <v>984</v>
      </c>
      <c r="FP799" t="s">
        <v>402</v>
      </c>
      <c r="FR799" t="s">
        <v>15033</v>
      </c>
      <c r="FT799" t="s">
        <v>2599</v>
      </c>
      <c r="FV799" t="s">
        <v>14089</v>
      </c>
      <c r="FX799" t="s">
        <v>4210</v>
      </c>
      <c r="FZ799" t="s">
        <v>1018</v>
      </c>
      <c r="GE799">
        <v>0</v>
      </c>
      <c r="GX799" t="s">
        <v>392</v>
      </c>
      <c r="HI799" t="s">
        <v>402</v>
      </c>
    </row>
    <row r="800" spans="1:217" x14ac:dyDescent="0.25">
      <c r="A800" t="s">
        <v>15034</v>
      </c>
      <c r="B800" t="str">
        <f>"801542190927"</f>
        <v>801542190927</v>
      </c>
      <c r="C800" t="s">
        <v>15035</v>
      </c>
      <c r="D800" t="s">
        <v>3784</v>
      </c>
      <c r="E800" t="s">
        <v>1319</v>
      </c>
      <c r="F800" t="s">
        <v>1320</v>
      </c>
      <c r="G800" t="str">
        <f>"70"</f>
        <v>70</v>
      </c>
      <c r="H800" t="str">
        <f>"27"</f>
        <v>27</v>
      </c>
      <c r="I800" t="str">
        <f>"31.25"</f>
        <v>31.25</v>
      </c>
      <c r="J800" t="str">
        <f>"157.63"</f>
        <v>157.63</v>
      </c>
      <c r="K800" t="s">
        <v>5785</v>
      </c>
      <c r="L800" t="s">
        <v>3786</v>
      </c>
      <c r="N800" t="s">
        <v>3787</v>
      </c>
      <c r="O800" t="s">
        <v>416</v>
      </c>
      <c r="T800" t="s">
        <v>373</v>
      </c>
      <c r="U800" t="s">
        <v>373</v>
      </c>
      <c r="V800" t="s">
        <v>15036</v>
      </c>
      <c r="W800" t="s">
        <v>15037</v>
      </c>
      <c r="X800" t="s">
        <v>15038</v>
      </c>
      <c r="Y800" t="s">
        <v>15039</v>
      </c>
      <c r="Z800" t="s">
        <v>15040</v>
      </c>
      <c r="AA800" t="s">
        <v>15041</v>
      </c>
      <c r="AB800" t="s">
        <v>15042</v>
      </c>
      <c r="AC800" t="s">
        <v>15043</v>
      </c>
      <c r="AD800" t="s">
        <v>15044</v>
      </c>
      <c r="AE800" t="s">
        <v>15045</v>
      </c>
      <c r="AF800" t="s">
        <v>15046</v>
      </c>
      <c r="AG800" t="s">
        <v>15047</v>
      </c>
      <c r="AH800" t="s">
        <v>15048</v>
      </c>
      <c r="AI800" t="s">
        <v>15049</v>
      </c>
      <c r="AJ800" t="s">
        <v>15050</v>
      </c>
      <c r="AK800" t="s">
        <v>15051</v>
      </c>
      <c r="BA800" t="str">
        <f>"1899"</f>
        <v>1899</v>
      </c>
      <c r="BB800" t="str">
        <f>"800"</f>
        <v>800</v>
      </c>
      <c r="BC800" t="s">
        <v>1149</v>
      </c>
      <c r="BD800" t="str">
        <f t="shared" si="177"/>
        <v>1</v>
      </c>
      <c r="BE800" t="s">
        <v>389</v>
      </c>
      <c r="BF800" t="str">
        <f>"74.21"</f>
        <v>74.21</v>
      </c>
      <c r="BG800" t="str">
        <f>"30.91"</f>
        <v>30.91</v>
      </c>
      <c r="BH800" t="str">
        <f>"30.51"</f>
        <v>30.51</v>
      </c>
      <c r="BI800" t="str">
        <f>"177.47"</f>
        <v>177.47</v>
      </c>
      <c r="BY800" t="str">
        <f>"40.51"</f>
        <v>40.51</v>
      </c>
      <c r="BZ800" t="str">
        <f>"1.147"</f>
        <v>1.147</v>
      </c>
      <c r="CA800" t="s">
        <v>390</v>
      </c>
      <c r="CE800" t="s">
        <v>3058</v>
      </c>
      <c r="CF800" t="s">
        <v>1711</v>
      </c>
      <c r="CG800" t="s">
        <v>2379</v>
      </c>
      <c r="CR800" t="s">
        <v>3806</v>
      </c>
      <c r="CS800">
        <v>5</v>
      </c>
      <c r="CT800" t="s">
        <v>1344</v>
      </c>
      <c r="CV800">
        <v>0</v>
      </c>
      <c r="CX800" t="s">
        <v>1018</v>
      </c>
      <c r="CY800" t="s">
        <v>954</v>
      </c>
      <c r="DC800">
        <v>1</v>
      </c>
      <c r="DJ800" t="s">
        <v>1345</v>
      </c>
      <c r="DK800" t="s">
        <v>5802</v>
      </c>
      <c r="DM800" t="s">
        <v>473</v>
      </c>
      <c r="DX800" t="s">
        <v>3511</v>
      </c>
      <c r="DY800" t="s">
        <v>3076</v>
      </c>
      <c r="DZ800" t="s">
        <v>5526</v>
      </c>
      <c r="EI800" t="s">
        <v>392</v>
      </c>
      <c r="EJ800" t="s">
        <v>3511</v>
      </c>
      <c r="EK800" t="s">
        <v>392</v>
      </c>
      <c r="EL800" t="s">
        <v>1348</v>
      </c>
      <c r="EM800" t="s">
        <v>402</v>
      </c>
      <c r="EN800">
        <v>1</v>
      </c>
      <c r="EW800" t="s">
        <v>634</v>
      </c>
      <c r="FC800" t="s">
        <v>1711</v>
      </c>
      <c r="FD800" t="s">
        <v>1348</v>
      </c>
      <c r="FE800" t="s">
        <v>2379</v>
      </c>
      <c r="FG800" t="s">
        <v>402</v>
      </c>
      <c r="FH800" t="s">
        <v>959</v>
      </c>
      <c r="FI800">
        <v>1</v>
      </c>
      <c r="FJ800" t="s">
        <v>960</v>
      </c>
      <c r="FK800" t="s">
        <v>1246</v>
      </c>
      <c r="FM800" t="s">
        <v>402</v>
      </c>
      <c r="FO800" t="s">
        <v>984</v>
      </c>
      <c r="FR800" t="s">
        <v>3833</v>
      </c>
      <c r="FS800" t="s">
        <v>3833</v>
      </c>
      <c r="FT800" t="s">
        <v>7699</v>
      </c>
      <c r="FU800" t="s">
        <v>7699</v>
      </c>
      <c r="FV800" t="s">
        <v>5804</v>
      </c>
      <c r="FW800" t="s">
        <v>10580</v>
      </c>
      <c r="FX800" t="s">
        <v>1008</v>
      </c>
      <c r="FZ800" t="s">
        <v>1018</v>
      </c>
      <c r="GA800" t="s">
        <v>402</v>
      </c>
      <c r="GE800">
        <v>1</v>
      </c>
      <c r="GY800" t="s">
        <v>3833</v>
      </c>
      <c r="GZ800" t="s">
        <v>3833</v>
      </c>
      <c r="HA800" t="s">
        <v>4244</v>
      </c>
      <c r="HB800" t="s">
        <v>4939</v>
      </c>
      <c r="HC800" t="s">
        <v>5804</v>
      </c>
      <c r="HD800" t="s">
        <v>5804</v>
      </c>
      <c r="HH800" t="s">
        <v>402</v>
      </c>
    </row>
    <row r="801" spans="1:308" x14ac:dyDescent="0.25">
      <c r="A801" t="s">
        <v>15052</v>
      </c>
      <c r="B801" t="str">
        <f>"801542245498"</f>
        <v>801542245498</v>
      </c>
      <c r="C801" t="s">
        <v>15053</v>
      </c>
      <c r="D801" t="s">
        <v>15054</v>
      </c>
      <c r="E801" t="s">
        <v>1021</v>
      </c>
      <c r="G801" t="str">
        <f>"92"</f>
        <v>92</v>
      </c>
      <c r="H801" t="str">
        <f>"18.5"</f>
        <v>18.5</v>
      </c>
      <c r="I801" t="str">
        <f>"26"</f>
        <v>26</v>
      </c>
      <c r="J801" t="str">
        <f>"189.59"</f>
        <v>189.59</v>
      </c>
      <c r="K801" t="s">
        <v>15055</v>
      </c>
      <c r="N801" t="s">
        <v>933</v>
      </c>
      <c r="T801" t="s">
        <v>373</v>
      </c>
      <c r="U801" t="s">
        <v>373</v>
      </c>
      <c r="V801" t="s">
        <v>15056</v>
      </c>
      <c r="W801" t="s">
        <v>15057</v>
      </c>
      <c r="X801" t="s">
        <v>15058</v>
      </c>
      <c r="Y801" t="s">
        <v>15059</v>
      </c>
      <c r="Z801" t="s">
        <v>15060</v>
      </c>
      <c r="AA801" t="s">
        <v>15061</v>
      </c>
      <c r="AB801" t="s">
        <v>15062</v>
      </c>
      <c r="AC801" t="s">
        <v>15063</v>
      </c>
      <c r="AD801" t="s">
        <v>15064</v>
      </c>
      <c r="AE801" t="s">
        <v>15065</v>
      </c>
      <c r="AF801" t="s">
        <v>15066</v>
      </c>
      <c r="AG801" t="s">
        <v>15067</v>
      </c>
      <c r="AH801" t="s">
        <v>15068</v>
      </c>
      <c r="AI801" t="s">
        <v>15069</v>
      </c>
      <c r="AJ801" t="s">
        <v>15070</v>
      </c>
      <c r="AK801" t="s">
        <v>15071</v>
      </c>
      <c r="BA801" t="str">
        <f>"1699"</f>
        <v>1699</v>
      </c>
      <c r="BB801" t="str">
        <f>"715"</f>
        <v>715</v>
      </c>
      <c r="BC801" t="s">
        <v>949</v>
      </c>
      <c r="BD801" t="str">
        <f t="shared" si="177"/>
        <v>1</v>
      </c>
      <c r="BE801" t="s">
        <v>389</v>
      </c>
      <c r="BF801" t="str">
        <f>"95"</f>
        <v>95</v>
      </c>
      <c r="BG801" t="str">
        <f>"22.5"</f>
        <v>22.5</v>
      </c>
      <c r="BH801" t="str">
        <f>"29"</f>
        <v>29</v>
      </c>
      <c r="BI801" t="str">
        <f>"213.84"</f>
        <v>213.84</v>
      </c>
      <c r="BY801" t="str">
        <f>"35.88"</f>
        <v>35.88</v>
      </c>
      <c r="BZ801" t="str">
        <f>"1.016"</f>
        <v>1.016</v>
      </c>
      <c r="CA801" t="s">
        <v>495</v>
      </c>
      <c r="CB801" t="s">
        <v>1055</v>
      </c>
      <c r="CC801" t="s">
        <v>1040</v>
      </c>
      <c r="CD801" t="s">
        <v>15072</v>
      </c>
      <c r="CE801" t="s">
        <v>1055</v>
      </c>
      <c r="CF801" t="s">
        <v>2240</v>
      </c>
      <c r="CG801" t="s">
        <v>15073</v>
      </c>
      <c r="CR801" t="s">
        <v>400</v>
      </c>
      <c r="CS801">
        <v>0</v>
      </c>
      <c r="CT801" t="s">
        <v>400</v>
      </c>
      <c r="CV801">
        <v>3</v>
      </c>
      <c r="CW801" t="s">
        <v>402</v>
      </c>
      <c r="CX801" t="s">
        <v>667</v>
      </c>
      <c r="CY801" t="s">
        <v>954</v>
      </c>
      <c r="DA801">
        <v>18.14</v>
      </c>
      <c r="DB801">
        <v>40</v>
      </c>
      <c r="DC801">
        <v>0</v>
      </c>
      <c r="DK801" t="s">
        <v>15074</v>
      </c>
      <c r="EN801">
        <v>6</v>
      </c>
      <c r="EZ801" t="s">
        <v>1491</v>
      </c>
      <c r="FA801" t="s">
        <v>1040</v>
      </c>
      <c r="FB801" t="s">
        <v>474</v>
      </c>
      <c r="FG801" t="s">
        <v>402</v>
      </c>
      <c r="FI801">
        <v>4</v>
      </c>
      <c r="FJ801" t="s">
        <v>960</v>
      </c>
      <c r="FK801" t="s">
        <v>1246</v>
      </c>
      <c r="FO801" t="s">
        <v>984</v>
      </c>
      <c r="GB801" t="s">
        <v>1055</v>
      </c>
      <c r="GC801" t="s">
        <v>640</v>
      </c>
      <c r="GD801" t="s">
        <v>15073</v>
      </c>
      <c r="GE801">
        <v>0</v>
      </c>
      <c r="GR801" t="s">
        <v>1055</v>
      </c>
      <c r="GS801" t="s">
        <v>1055</v>
      </c>
      <c r="GT801" t="s">
        <v>2240</v>
      </c>
      <c r="GU801" t="s">
        <v>640</v>
      </c>
      <c r="GV801" t="s">
        <v>15072</v>
      </c>
      <c r="GW801" t="s">
        <v>15072</v>
      </c>
      <c r="JM801" t="s">
        <v>1055</v>
      </c>
      <c r="JN801" t="s">
        <v>1040</v>
      </c>
      <c r="JO801" t="s">
        <v>15073</v>
      </c>
      <c r="JY801" t="s">
        <v>1055</v>
      </c>
      <c r="JZ801" t="s">
        <v>2240</v>
      </c>
      <c r="KA801" t="s">
        <v>15073</v>
      </c>
      <c r="KI801" t="s">
        <v>1491</v>
      </c>
      <c r="KJ801" t="s">
        <v>1040</v>
      </c>
      <c r="KK801" t="s">
        <v>15075</v>
      </c>
      <c r="KL801" t="s">
        <v>1055</v>
      </c>
      <c r="KN801" t="s">
        <v>640</v>
      </c>
      <c r="KP801" t="s">
        <v>15073</v>
      </c>
    </row>
    <row r="802" spans="1:308" x14ac:dyDescent="0.25">
      <c r="A802" t="s">
        <v>15076</v>
      </c>
      <c r="B802" t="str">
        <f>"801542245696"</f>
        <v>801542245696</v>
      </c>
      <c r="C802" t="s">
        <v>15077</v>
      </c>
      <c r="D802" t="s">
        <v>1224</v>
      </c>
      <c r="E802" t="s">
        <v>1021</v>
      </c>
      <c r="G802" t="str">
        <f>"92"</f>
        <v>92</v>
      </c>
      <c r="H802" t="str">
        <f>"18"</f>
        <v>18</v>
      </c>
      <c r="I802" t="str">
        <f>"28"</f>
        <v>28</v>
      </c>
      <c r="J802" t="str">
        <f>"272.27"</f>
        <v>272.27</v>
      </c>
      <c r="K802" t="s">
        <v>14718</v>
      </c>
      <c r="L802" t="s">
        <v>15078</v>
      </c>
      <c r="N802" t="s">
        <v>14614</v>
      </c>
      <c r="O802" t="s">
        <v>1121</v>
      </c>
      <c r="T802" t="s">
        <v>373</v>
      </c>
      <c r="U802" t="s">
        <v>373</v>
      </c>
      <c r="V802" t="s">
        <v>15079</v>
      </c>
      <c r="W802" t="s">
        <v>15080</v>
      </c>
      <c r="X802" t="s">
        <v>15081</v>
      </c>
      <c r="Y802" t="s">
        <v>15082</v>
      </c>
      <c r="Z802" t="s">
        <v>15083</v>
      </c>
      <c r="AA802" t="s">
        <v>15084</v>
      </c>
      <c r="AB802" t="s">
        <v>15085</v>
      </c>
      <c r="AC802" t="s">
        <v>15086</v>
      </c>
      <c r="AD802" t="s">
        <v>15087</v>
      </c>
      <c r="AE802" t="s">
        <v>15088</v>
      </c>
      <c r="AF802" t="s">
        <v>15089</v>
      </c>
      <c r="AG802" t="s">
        <v>15090</v>
      </c>
      <c r="AH802" t="s">
        <v>15091</v>
      </c>
      <c r="AI802" t="s">
        <v>15092</v>
      </c>
      <c r="AJ802" t="s">
        <v>15093</v>
      </c>
      <c r="AK802" t="s">
        <v>15094</v>
      </c>
      <c r="AL802" t="s">
        <v>15095</v>
      </c>
      <c r="AM802" t="s">
        <v>15096</v>
      </c>
      <c r="AN802" t="s">
        <v>15097</v>
      </c>
      <c r="AO802" t="s">
        <v>15098</v>
      </c>
      <c r="BA802" t="str">
        <f>"4299"</f>
        <v>4299</v>
      </c>
      <c r="BB802" t="str">
        <f>"1810"</f>
        <v>1810</v>
      </c>
      <c r="BC802" t="s">
        <v>1149</v>
      </c>
      <c r="BD802" t="str">
        <f t="shared" si="177"/>
        <v>1</v>
      </c>
      <c r="BE802" t="s">
        <v>389</v>
      </c>
      <c r="BF802" t="str">
        <f>"97.64"</f>
        <v>97.64</v>
      </c>
      <c r="BG802" t="str">
        <f>"24.02"</f>
        <v>24.02</v>
      </c>
      <c r="BH802" t="str">
        <f>"35.04"</f>
        <v>35.04</v>
      </c>
      <c r="BI802" t="str">
        <f>"327.38"</f>
        <v>327.38</v>
      </c>
      <c r="BY802" t="str">
        <f>"47.53"</f>
        <v>47.53</v>
      </c>
      <c r="BZ802" t="str">
        <f>"1.346"</f>
        <v>1.346</v>
      </c>
      <c r="CA802" t="s">
        <v>431</v>
      </c>
      <c r="CE802" t="s">
        <v>510</v>
      </c>
      <c r="CF802" t="s">
        <v>15099</v>
      </c>
      <c r="CG802" t="s">
        <v>15100</v>
      </c>
      <c r="CR802" t="s">
        <v>400</v>
      </c>
      <c r="CS802">
        <v>0</v>
      </c>
      <c r="CT802" t="s">
        <v>400</v>
      </c>
      <c r="CV802">
        <v>0</v>
      </c>
      <c r="CX802" t="s">
        <v>1241</v>
      </c>
      <c r="CY802" t="s">
        <v>954</v>
      </c>
      <c r="DA802">
        <v>18.14</v>
      </c>
      <c r="DB802">
        <v>40</v>
      </c>
      <c r="DC802">
        <v>2</v>
      </c>
      <c r="DK802" t="s">
        <v>15101</v>
      </c>
      <c r="DX802" t="s">
        <v>4018</v>
      </c>
      <c r="EM802" t="s">
        <v>402</v>
      </c>
      <c r="EN802">
        <v>2</v>
      </c>
      <c r="EZ802" t="s">
        <v>1510</v>
      </c>
      <c r="FA802" t="s">
        <v>8318</v>
      </c>
      <c r="FB802" t="s">
        <v>444</v>
      </c>
      <c r="FC802" t="s">
        <v>1512</v>
      </c>
      <c r="FD802" t="s">
        <v>6662</v>
      </c>
      <c r="FE802" t="s">
        <v>15100</v>
      </c>
      <c r="FG802" t="s">
        <v>402</v>
      </c>
      <c r="FI802">
        <v>4</v>
      </c>
      <c r="FJ802" t="s">
        <v>960</v>
      </c>
      <c r="FK802" t="s">
        <v>1246</v>
      </c>
      <c r="FM802" t="s">
        <v>402</v>
      </c>
      <c r="FO802" t="s">
        <v>984</v>
      </c>
      <c r="GB802" t="s">
        <v>510</v>
      </c>
      <c r="GC802" t="s">
        <v>15099</v>
      </c>
      <c r="GD802" t="s">
        <v>15100</v>
      </c>
      <c r="GE802">
        <v>0</v>
      </c>
    </row>
    <row r="803" spans="1:308" x14ac:dyDescent="0.25">
      <c r="A803" t="s">
        <v>15102</v>
      </c>
      <c r="B803" t="str">
        <f>"801542212940"</f>
        <v>801542212940</v>
      </c>
      <c r="C803" t="s">
        <v>15103</v>
      </c>
      <c r="D803" t="s">
        <v>4843</v>
      </c>
      <c r="E803" t="s">
        <v>3813</v>
      </c>
      <c r="G803" t="str">
        <f>"42"</f>
        <v>42</v>
      </c>
      <c r="H803" t="str">
        <f>"20"</f>
        <v>20</v>
      </c>
      <c r="I803" t="str">
        <f>"94"</f>
        <v>94</v>
      </c>
      <c r="J803" t="str">
        <f>"184.74"</f>
        <v>184.74</v>
      </c>
      <c r="K803" t="s">
        <v>4845</v>
      </c>
      <c r="L803" t="s">
        <v>4844</v>
      </c>
      <c r="N803" t="s">
        <v>1424</v>
      </c>
      <c r="O803" t="s">
        <v>775</v>
      </c>
      <c r="T803" t="s">
        <v>373</v>
      </c>
      <c r="U803" t="s">
        <v>373</v>
      </c>
      <c r="V803" t="s">
        <v>15104</v>
      </c>
      <c r="W803" t="s">
        <v>15105</v>
      </c>
      <c r="X803" t="s">
        <v>15106</v>
      </c>
      <c r="Y803" t="s">
        <v>15107</v>
      </c>
      <c r="Z803" t="s">
        <v>15108</v>
      </c>
      <c r="AA803" t="s">
        <v>15109</v>
      </c>
      <c r="AB803" t="s">
        <v>15110</v>
      </c>
      <c r="AC803" t="s">
        <v>15111</v>
      </c>
      <c r="AD803" t="s">
        <v>15112</v>
      </c>
      <c r="AE803" t="s">
        <v>15113</v>
      </c>
      <c r="AF803" t="s">
        <v>15114</v>
      </c>
      <c r="AG803" t="s">
        <v>15115</v>
      </c>
      <c r="AH803" t="s">
        <v>15116</v>
      </c>
      <c r="AI803" t="s">
        <v>15117</v>
      </c>
      <c r="AJ803" t="s">
        <v>15118</v>
      </c>
      <c r="AK803" t="s">
        <v>15119</v>
      </c>
      <c r="AL803" t="s">
        <v>15120</v>
      </c>
      <c r="AM803" t="s">
        <v>15121</v>
      </c>
      <c r="AN803" t="s">
        <v>15122</v>
      </c>
      <c r="AO803" t="s">
        <v>15123</v>
      </c>
      <c r="AP803" t="s">
        <v>15124</v>
      </c>
      <c r="AQ803" t="s">
        <v>15125</v>
      </c>
      <c r="BA803" t="str">
        <f>"2099"</f>
        <v>2099</v>
      </c>
      <c r="BB803" t="str">
        <f>"885"</f>
        <v>885</v>
      </c>
      <c r="BC803" t="s">
        <v>949</v>
      </c>
      <c r="BD803" t="str">
        <f>"2"</f>
        <v>2</v>
      </c>
      <c r="BE803" t="s">
        <v>5995</v>
      </c>
      <c r="BF803" t="str">
        <f>"50"</f>
        <v>50</v>
      </c>
      <c r="BG803" t="str">
        <f>"6"</f>
        <v>6</v>
      </c>
      <c r="BH803" t="str">
        <f>"97.2"</f>
        <v>97.2</v>
      </c>
      <c r="BI803" t="str">
        <f>"92.37"</f>
        <v>92.37</v>
      </c>
      <c r="BJ803" t="s">
        <v>15126</v>
      </c>
      <c r="BK803" t="str">
        <f>"41"</f>
        <v>41</v>
      </c>
      <c r="BL803" t="str">
        <f>"21"</f>
        <v>21</v>
      </c>
      <c r="BM803" t="str">
        <f>"33"</f>
        <v>33</v>
      </c>
      <c r="BN803" t="str">
        <f>"133.37"</f>
        <v>133.37</v>
      </c>
      <c r="BY803" t="str">
        <f>"33.34"</f>
        <v>33.34</v>
      </c>
      <c r="BZ803" t="str">
        <f>"0.944"</f>
        <v>0.944</v>
      </c>
      <c r="CA803" t="s">
        <v>390</v>
      </c>
      <c r="CB803" t="s">
        <v>449</v>
      </c>
      <c r="CC803" t="s">
        <v>1490</v>
      </c>
      <c r="CD803" t="s">
        <v>790</v>
      </c>
      <c r="CE803" t="s">
        <v>449</v>
      </c>
      <c r="CF803" t="s">
        <v>11765</v>
      </c>
      <c r="CG803" t="s">
        <v>790</v>
      </c>
      <c r="CR803" t="s">
        <v>400</v>
      </c>
      <c r="CS803">
        <v>0</v>
      </c>
      <c r="CT803" t="s">
        <v>400</v>
      </c>
      <c r="CV803">
        <v>3</v>
      </c>
      <c r="CW803" t="s">
        <v>402</v>
      </c>
      <c r="CX803" t="s">
        <v>667</v>
      </c>
      <c r="CY803" t="s">
        <v>954</v>
      </c>
      <c r="DA803">
        <v>18.14</v>
      </c>
      <c r="DB803">
        <v>40</v>
      </c>
      <c r="DC803">
        <v>1</v>
      </c>
      <c r="DJ803" t="s">
        <v>982</v>
      </c>
      <c r="DK803" t="s">
        <v>4864</v>
      </c>
      <c r="DX803" t="s">
        <v>433</v>
      </c>
      <c r="EM803" t="s">
        <v>402</v>
      </c>
      <c r="EN803">
        <v>5</v>
      </c>
      <c r="EZ803" t="s">
        <v>4865</v>
      </c>
      <c r="FA803" t="s">
        <v>1040</v>
      </c>
      <c r="FB803" t="s">
        <v>15127</v>
      </c>
      <c r="FC803" t="s">
        <v>1056</v>
      </c>
      <c r="FD803" t="s">
        <v>3483</v>
      </c>
      <c r="FE803" t="s">
        <v>434</v>
      </c>
      <c r="FH803" t="s">
        <v>959</v>
      </c>
      <c r="FI803">
        <v>2</v>
      </c>
      <c r="FJ803" t="s">
        <v>960</v>
      </c>
      <c r="FK803" t="s">
        <v>1246</v>
      </c>
      <c r="FM803" t="s">
        <v>402</v>
      </c>
      <c r="FO803" t="s">
        <v>984</v>
      </c>
      <c r="GB803" t="s">
        <v>449</v>
      </c>
      <c r="GC803" t="s">
        <v>11765</v>
      </c>
      <c r="GD803" t="s">
        <v>790</v>
      </c>
      <c r="GR803" t="s">
        <v>449</v>
      </c>
      <c r="GS803" t="s">
        <v>449</v>
      </c>
      <c r="GT803" t="s">
        <v>11765</v>
      </c>
      <c r="GU803" t="s">
        <v>11765</v>
      </c>
      <c r="GV803" t="s">
        <v>790</v>
      </c>
      <c r="GW803" t="s">
        <v>790</v>
      </c>
      <c r="JY803" t="s">
        <v>511</v>
      </c>
      <c r="JZ803" t="s">
        <v>6207</v>
      </c>
      <c r="KA803" t="s">
        <v>434</v>
      </c>
    </row>
    <row r="804" spans="1:308" x14ac:dyDescent="0.25">
      <c r="A804" t="s">
        <v>15128</v>
      </c>
      <c r="B804" t="str">
        <f>"801542213022"</f>
        <v>801542213022</v>
      </c>
      <c r="C804" t="s">
        <v>15129</v>
      </c>
      <c r="D804" t="s">
        <v>4843</v>
      </c>
      <c r="E804" t="s">
        <v>3813</v>
      </c>
      <c r="G804" t="str">
        <f>"42"</f>
        <v>42</v>
      </c>
      <c r="H804" t="str">
        <f>"20"</f>
        <v>20</v>
      </c>
      <c r="I804" t="str">
        <f>"94"</f>
        <v>94</v>
      </c>
      <c r="J804" t="str">
        <f>"184.74"</f>
        <v>184.74</v>
      </c>
      <c r="K804" t="s">
        <v>4869</v>
      </c>
      <c r="L804" t="s">
        <v>4868</v>
      </c>
      <c r="N804" t="s">
        <v>1424</v>
      </c>
      <c r="O804" t="s">
        <v>775</v>
      </c>
      <c r="T804" t="s">
        <v>373</v>
      </c>
      <c r="U804" t="s">
        <v>373</v>
      </c>
      <c r="V804" t="s">
        <v>15130</v>
      </c>
      <c r="W804" t="s">
        <v>15131</v>
      </c>
      <c r="X804" t="s">
        <v>15132</v>
      </c>
      <c r="Y804" t="s">
        <v>15133</v>
      </c>
      <c r="Z804" t="s">
        <v>15134</v>
      </c>
      <c r="AA804" t="s">
        <v>15135</v>
      </c>
      <c r="AB804" t="s">
        <v>15136</v>
      </c>
      <c r="AC804" t="s">
        <v>15137</v>
      </c>
      <c r="AD804" t="s">
        <v>15138</v>
      </c>
      <c r="AE804" t="s">
        <v>15139</v>
      </c>
      <c r="AF804" t="s">
        <v>15140</v>
      </c>
      <c r="AG804" t="s">
        <v>15141</v>
      </c>
      <c r="AH804" t="s">
        <v>15142</v>
      </c>
      <c r="AI804" t="s">
        <v>15143</v>
      </c>
      <c r="AJ804" t="s">
        <v>15144</v>
      </c>
      <c r="BA804" t="str">
        <f>"2099"</f>
        <v>2099</v>
      </c>
      <c r="BB804" t="str">
        <f>"885"</f>
        <v>885</v>
      </c>
      <c r="BC804" t="s">
        <v>949</v>
      </c>
      <c r="BD804" t="str">
        <f>"2"</f>
        <v>2</v>
      </c>
      <c r="BE804" t="s">
        <v>5995</v>
      </c>
      <c r="BF804" t="str">
        <f>"50"</f>
        <v>50</v>
      </c>
      <c r="BG804" t="str">
        <f>"6"</f>
        <v>6</v>
      </c>
      <c r="BH804" t="str">
        <f>"97.2"</f>
        <v>97.2</v>
      </c>
      <c r="BI804" t="str">
        <f>"92.37"</f>
        <v>92.37</v>
      </c>
      <c r="BJ804" t="s">
        <v>15126</v>
      </c>
      <c r="BK804" t="str">
        <f>"41"</f>
        <v>41</v>
      </c>
      <c r="BL804" t="str">
        <f>"21"</f>
        <v>21</v>
      </c>
      <c r="BM804" t="str">
        <f>"33"</f>
        <v>33</v>
      </c>
      <c r="BN804" t="str">
        <f>"133.37"</f>
        <v>133.37</v>
      </c>
      <c r="BY804" t="str">
        <f>"33.34"</f>
        <v>33.34</v>
      </c>
      <c r="BZ804" t="str">
        <f>"0.944"</f>
        <v>0.944</v>
      </c>
      <c r="CA804" t="s">
        <v>495</v>
      </c>
      <c r="CB804" t="s">
        <v>449</v>
      </c>
      <c r="CC804" t="s">
        <v>1490</v>
      </c>
      <c r="CD804" t="s">
        <v>790</v>
      </c>
      <c r="CE804" t="s">
        <v>449</v>
      </c>
      <c r="CF804" t="s">
        <v>11765</v>
      </c>
      <c r="CG804" t="s">
        <v>790</v>
      </c>
      <c r="CR804" t="s">
        <v>400</v>
      </c>
      <c r="CS804">
        <v>0</v>
      </c>
      <c r="CT804" t="s">
        <v>400</v>
      </c>
      <c r="CV804">
        <v>3</v>
      </c>
      <c r="CW804" t="s">
        <v>402</v>
      </c>
      <c r="CX804" t="s">
        <v>667</v>
      </c>
      <c r="CY804" t="s">
        <v>954</v>
      </c>
      <c r="DA804">
        <v>18.14</v>
      </c>
      <c r="DB804">
        <v>40</v>
      </c>
      <c r="DC804">
        <v>1</v>
      </c>
      <c r="DJ804" t="s">
        <v>982</v>
      </c>
      <c r="DK804" t="s">
        <v>4864</v>
      </c>
      <c r="DX804" t="s">
        <v>433</v>
      </c>
      <c r="EM804" t="s">
        <v>402</v>
      </c>
      <c r="EN804">
        <v>5</v>
      </c>
      <c r="EZ804" t="s">
        <v>4865</v>
      </c>
      <c r="FA804" t="s">
        <v>1040</v>
      </c>
      <c r="FB804" t="s">
        <v>15127</v>
      </c>
      <c r="FC804" t="s">
        <v>1056</v>
      </c>
      <c r="FD804" t="s">
        <v>3483</v>
      </c>
      <c r="FE804" t="s">
        <v>434</v>
      </c>
      <c r="FH804" t="s">
        <v>959</v>
      </c>
      <c r="FI804">
        <v>2</v>
      </c>
      <c r="FJ804" t="s">
        <v>960</v>
      </c>
      <c r="FK804" t="s">
        <v>1246</v>
      </c>
      <c r="FM804" t="s">
        <v>402</v>
      </c>
      <c r="FO804" t="s">
        <v>984</v>
      </c>
      <c r="GB804" t="s">
        <v>449</v>
      </c>
      <c r="GC804" t="s">
        <v>11765</v>
      </c>
      <c r="GD804" t="s">
        <v>790</v>
      </c>
      <c r="GR804" t="s">
        <v>449</v>
      </c>
      <c r="GS804" t="s">
        <v>449</v>
      </c>
      <c r="GT804" t="s">
        <v>11765</v>
      </c>
      <c r="GU804" t="s">
        <v>11765</v>
      </c>
      <c r="GV804" t="s">
        <v>790</v>
      </c>
      <c r="GW804" t="s">
        <v>790</v>
      </c>
      <c r="JY804" t="s">
        <v>511</v>
      </c>
      <c r="JZ804" t="s">
        <v>6207</v>
      </c>
      <c r="KA804" t="s">
        <v>434</v>
      </c>
    </row>
    <row r="805" spans="1:308" x14ac:dyDescent="0.25">
      <c r="A805" t="s">
        <v>15145</v>
      </c>
      <c r="B805" t="str">
        <f>"801542223694"</f>
        <v>801542223694</v>
      </c>
      <c r="C805" t="s">
        <v>15146</v>
      </c>
      <c r="D805" t="s">
        <v>1420</v>
      </c>
      <c r="E805" t="s">
        <v>1077</v>
      </c>
      <c r="G805" t="str">
        <f>"65"</f>
        <v>65</v>
      </c>
      <c r="H805" t="str">
        <f>"35"</f>
        <v>35</v>
      </c>
      <c r="I805" t="str">
        <f>"14"</f>
        <v>14</v>
      </c>
      <c r="J805" t="str">
        <f>"114.64"</f>
        <v>114.64</v>
      </c>
      <c r="K805" t="s">
        <v>4099</v>
      </c>
      <c r="N805" t="s">
        <v>1463</v>
      </c>
      <c r="O805" t="s">
        <v>372</v>
      </c>
      <c r="T805" t="s">
        <v>373</v>
      </c>
      <c r="U805" t="s">
        <v>373</v>
      </c>
      <c r="V805" t="s">
        <v>15147</v>
      </c>
      <c r="W805" t="s">
        <v>15148</v>
      </c>
      <c r="X805" t="s">
        <v>15149</v>
      </c>
      <c r="Y805" t="s">
        <v>15150</v>
      </c>
      <c r="Z805" t="s">
        <v>15151</v>
      </c>
      <c r="AA805" t="s">
        <v>15152</v>
      </c>
      <c r="AB805" t="s">
        <v>15153</v>
      </c>
      <c r="AC805" t="s">
        <v>15154</v>
      </c>
      <c r="AD805" t="s">
        <v>15155</v>
      </c>
      <c r="AE805" t="s">
        <v>15156</v>
      </c>
      <c r="AF805" t="s">
        <v>15157</v>
      </c>
      <c r="AG805" t="s">
        <v>15158</v>
      </c>
      <c r="AH805" t="s">
        <v>15159</v>
      </c>
      <c r="AI805" t="s">
        <v>15160</v>
      </c>
      <c r="AJ805" t="s">
        <v>15161</v>
      </c>
      <c r="BA805" t="str">
        <f>"1599"</f>
        <v>1599</v>
      </c>
      <c r="BB805" t="str">
        <f>"675"</f>
        <v>675</v>
      </c>
      <c r="BC805" t="s">
        <v>665</v>
      </c>
      <c r="BD805" t="str">
        <f t="shared" ref="BD805:BD811" si="178">"1"</f>
        <v>1</v>
      </c>
      <c r="BE805" t="s">
        <v>15162</v>
      </c>
      <c r="BF805" t="str">
        <f>"69.69"</f>
        <v>69.69</v>
      </c>
      <c r="BG805" t="str">
        <f>"39.17"</f>
        <v>39.17</v>
      </c>
      <c r="BH805" t="str">
        <f>"10.04"</f>
        <v>10.04</v>
      </c>
      <c r="BI805" t="str">
        <f>"144.4"</f>
        <v>144.4</v>
      </c>
      <c r="BY805" t="str">
        <f>"15.86"</f>
        <v>15.86</v>
      </c>
      <c r="BZ805" t="str">
        <f>"0.449"</f>
        <v>0.449</v>
      </c>
      <c r="CA805" t="s">
        <v>495</v>
      </c>
      <c r="CR805" t="s">
        <v>400</v>
      </c>
      <c r="CS805">
        <v>0</v>
      </c>
      <c r="CT805" t="s">
        <v>400</v>
      </c>
      <c r="CV805">
        <v>0</v>
      </c>
      <c r="CX805" t="s">
        <v>1980</v>
      </c>
      <c r="CY805" t="s">
        <v>400</v>
      </c>
      <c r="DC805">
        <v>0</v>
      </c>
      <c r="DJ805" t="s">
        <v>408</v>
      </c>
      <c r="DK805" t="s">
        <v>14747</v>
      </c>
      <c r="DM805" t="s">
        <v>473</v>
      </c>
      <c r="DX805" t="s">
        <v>3252</v>
      </c>
      <c r="DZ805" t="s">
        <v>15163</v>
      </c>
      <c r="EI805" t="s">
        <v>15164</v>
      </c>
      <c r="EJ805" t="s">
        <v>546</v>
      </c>
      <c r="EK805" t="s">
        <v>674</v>
      </c>
      <c r="EL805" t="s">
        <v>674</v>
      </c>
      <c r="EM805" t="s">
        <v>402</v>
      </c>
      <c r="EN805">
        <v>0</v>
      </c>
      <c r="EO805">
        <v>0</v>
      </c>
      <c r="EX805" t="s">
        <v>635</v>
      </c>
    </row>
    <row r="806" spans="1:308" x14ac:dyDescent="0.25">
      <c r="A806" t="s">
        <v>15165</v>
      </c>
      <c r="B806" t="str">
        <f>"801542964207"</f>
        <v>801542964207</v>
      </c>
      <c r="C806" t="s">
        <v>15166</v>
      </c>
      <c r="D806" t="s">
        <v>1420</v>
      </c>
      <c r="E806" t="s">
        <v>1077</v>
      </c>
      <c r="G806" t="str">
        <f>"65"</f>
        <v>65</v>
      </c>
      <c r="H806" t="str">
        <f>"35"</f>
        <v>35</v>
      </c>
      <c r="I806" t="str">
        <f>"14"</f>
        <v>14</v>
      </c>
      <c r="J806" t="str">
        <f>"114.64"</f>
        <v>114.64</v>
      </c>
      <c r="K806" t="s">
        <v>13730</v>
      </c>
      <c r="N806" t="s">
        <v>1463</v>
      </c>
      <c r="O806" t="s">
        <v>372</v>
      </c>
      <c r="T806" t="s">
        <v>373</v>
      </c>
      <c r="U806" t="s">
        <v>373</v>
      </c>
      <c r="W806" t="s">
        <v>15167</v>
      </c>
      <c r="X806" t="s">
        <v>15168</v>
      </c>
      <c r="Y806" t="s">
        <v>15169</v>
      </c>
      <c r="Z806" t="s">
        <v>15170</v>
      </c>
      <c r="AA806" t="s">
        <v>15171</v>
      </c>
      <c r="AB806" t="s">
        <v>15172</v>
      </c>
      <c r="AC806" t="s">
        <v>15173</v>
      </c>
      <c r="AD806" t="s">
        <v>15174</v>
      </c>
      <c r="AE806" t="s">
        <v>15175</v>
      </c>
      <c r="BA806" t="str">
        <f>"1599"</f>
        <v>1599</v>
      </c>
      <c r="BB806" t="str">
        <f>"675"</f>
        <v>675</v>
      </c>
      <c r="BC806" t="s">
        <v>665</v>
      </c>
      <c r="BD806" t="str">
        <f t="shared" si="178"/>
        <v>1</v>
      </c>
      <c r="BE806" t="s">
        <v>15162</v>
      </c>
      <c r="BF806" t="str">
        <f>"69.69"</f>
        <v>69.69</v>
      </c>
      <c r="BG806" t="str">
        <f>"39.17"</f>
        <v>39.17</v>
      </c>
      <c r="BH806" t="str">
        <f>"10.04"</f>
        <v>10.04</v>
      </c>
      <c r="BI806" t="str">
        <f>"144.4"</f>
        <v>144.4</v>
      </c>
      <c r="BY806" t="str">
        <f>"15.86"</f>
        <v>15.86</v>
      </c>
      <c r="BZ806" t="str">
        <f>"0.449"</f>
        <v>0.449</v>
      </c>
      <c r="CA806" t="s">
        <v>495</v>
      </c>
      <c r="CR806" t="s">
        <v>400</v>
      </c>
      <c r="CS806">
        <v>0</v>
      </c>
      <c r="CT806" t="s">
        <v>400</v>
      </c>
      <c r="CV806">
        <v>0</v>
      </c>
      <c r="CX806" t="s">
        <v>1980</v>
      </c>
      <c r="CY806" t="s">
        <v>400</v>
      </c>
      <c r="DC806">
        <v>0</v>
      </c>
      <c r="DJ806" t="s">
        <v>408</v>
      </c>
      <c r="DK806" t="s">
        <v>14747</v>
      </c>
      <c r="DM806" t="s">
        <v>473</v>
      </c>
      <c r="DX806" t="s">
        <v>3252</v>
      </c>
      <c r="DZ806" t="s">
        <v>15163</v>
      </c>
      <c r="EI806" t="s">
        <v>15164</v>
      </c>
      <c r="EJ806" t="s">
        <v>546</v>
      </c>
      <c r="EK806" t="s">
        <v>674</v>
      </c>
      <c r="EL806" t="s">
        <v>674</v>
      </c>
      <c r="EM806" t="s">
        <v>402</v>
      </c>
      <c r="EN806">
        <v>0</v>
      </c>
      <c r="EO806">
        <v>0</v>
      </c>
      <c r="EX806" t="s">
        <v>635</v>
      </c>
    </row>
    <row r="807" spans="1:308" x14ac:dyDescent="0.25">
      <c r="A807" t="s">
        <v>15176</v>
      </c>
      <c r="B807" t="str">
        <f>"801542240950"</f>
        <v>801542240950</v>
      </c>
      <c r="C807" t="s">
        <v>15177</v>
      </c>
      <c r="D807" t="s">
        <v>1224</v>
      </c>
      <c r="E807" t="s">
        <v>1043</v>
      </c>
      <c r="G807" t="str">
        <f>"36"</f>
        <v>36</v>
      </c>
      <c r="H807" t="str">
        <f>"20.75"</f>
        <v>20.75</v>
      </c>
      <c r="I807" t="str">
        <f>"22.75"</f>
        <v>22.75</v>
      </c>
      <c r="J807" t="str">
        <f>"87.3"</f>
        <v>87.3</v>
      </c>
      <c r="K807" t="s">
        <v>8690</v>
      </c>
      <c r="N807" t="s">
        <v>1463</v>
      </c>
      <c r="T807" t="s">
        <v>373</v>
      </c>
      <c r="U807" t="s">
        <v>373</v>
      </c>
      <c r="V807" t="s">
        <v>15178</v>
      </c>
      <c r="W807" t="s">
        <v>15179</v>
      </c>
      <c r="X807" t="s">
        <v>15180</v>
      </c>
      <c r="Y807" t="s">
        <v>15181</v>
      </c>
      <c r="Z807" t="s">
        <v>15182</v>
      </c>
      <c r="AA807" t="s">
        <v>15183</v>
      </c>
      <c r="AB807" t="s">
        <v>15184</v>
      </c>
      <c r="AC807" t="s">
        <v>15185</v>
      </c>
      <c r="AD807" t="s">
        <v>15186</v>
      </c>
      <c r="AE807" t="s">
        <v>15187</v>
      </c>
      <c r="AF807" t="s">
        <v>15188</v>
      </c>
      <c r="AG807" t="s">
        <v>15189</v>
      </c>
      <c r="AH807" t="s">
        <v>15190</v>
      </c>
      <c r="AI807" t="s">
        <v>15191</v>
      </c>
      <c r="AJ807" t="s">
        <v>15192</v>
      </c>
      <c r="AK807" t="s">
        <v>15193</v>
      </c>
      <c r="AL807" t="s">
        <v>15194</v>
      </c>
      <c r="AM807" t="s">
        <v>15195</v>
      </c>
      <c r="AN807" t="s">
        <v>15196</v>
      </c>
      <c r="BA807" t="str">
        <f>"2199"</f>
        <v>2199</v>
      </c>
      <c r="BB807" t="str">
        <f>"925"</f>
        <v>925</v>
      </c>
      <c r="BC807" t="s">
        <v>1149</v>
      </c>
      <c r="BD807" t="str">
        <f t="shared" si="178"/>
        <v>1</v>
      </c>
      <c r="BE807" t="s">
        <v>389</v>
      </c>
      <c r="BF807" t="str">
        <f>"41.34"</f>
        <v>41.34</v>
      </c>
      <c r="BG807" t="str">
        <f>"25.79"</f>
        <v>25.79</v>
      </c>
      <c r="BH807" t="str">
        <f>"28.94"</f>
        <v>28.94</v>
      </c>
      <c r="BI807" t="str">
        <f>"116.07"</f>
        <v>116.07</v>
      </c>
      <c r="BY807" t="str">
        <f>"17.83"</f>
        <v>17.83</v>
      </c>
      <c r="BZ807" t="str">
        <f>"0.505"</f>
        <v>0.505</v>
      </c>
      <c r="CA807" t="s">
        <v>390</v>
      </c>
      <c r="CR807" t="s">
        <v>5068</v>
      </c>
      <c r="CS807">
        <v>2</v>
      </c>
      <c r="CT807" t="s">
        <v>400</v>
      </c>
      <c r="CV807">
        <v>0</v>
      </c>
      <c r="CX807" t="s">
        <v>953</v>
      </c>
      <c r="CY807" t="s">
        <v>1009</v>
      </c>
      <c r="DC807">
        <v>0</v>
      </c>
      <c r="DJ807" t="s">
        <v>408</v>
      </c>
      <c r="DK807" t="s">
        <v>8337</v>
      </c>
      <c r="DM807" t="s">
        <v>473</v>
      </c>
      <c r="DX807" t="s">
        <v>1094</v>
      </c>
      <c r="EM807" t="s">
        <v>402</v>
      </c>
      <c r="EN807">
        <v>0</v>
      </c>
      <c r="FI807">
        <v>0</v>
      </c>
      <c r="FJ807" t="s">
        <v>1012</v>
      </c>
      <c r="FP807" t="s">
        <v>402</v>
      </c>
      <c r="FR807" t="s">
        <v>6206</v>
      </c>
      <c r="FT807" t="s">
        <v>1156</v>
      </c>
      <c r="FV807" t="s">
        <v>9259</v>
      </c>
      <c r="FX807" t="s">
        <v>4210</v>
      </c>
    </row>
    <row r="808" spans="1:308" x14ac:dyDescent="0.25">
      <c r="A808" t="s">
        <v>15197</v>
      </c>
      <c r="B808" t="str">
        <f>"801542240943"</f>
        <v>801542240943</v>
      </c>
      <c r="C808" t="s">
        <v>15198</v>
      </c>
      <c r="D808" t="s">
        <v>1224</v>
      </c>
      <c r="E808" t="s">
        <v>1043</v>
      </c>
      <c r="G808" t="str">
        <f>"36"</f>
        <v>36</v>
      </c>
      <c r="H808" t="str">
        <f>"20.75"</f>
        <v>20.75</v>
      </c>
      <c r="I808" t="str">
        <f>"22.75"</f>
        <v>22.75</v>
      </c>
      <c r="J808" t="str">
        <f>"87.3"</f>
        <v>87.3</v>
      </c>
      <c r="K808" t="s">
        <v>8322</v>
      </c>
      <c r="N808" t="s">
        <v>1463</v>
      </c>
      <c r="T808" t="s">
        <v>373</v>
      </c>
      <c r="U808" t="s">
        <v>373</v>
      </c>
      <c r="V808" t="s">
        <v>15178</v>
      </c>
      <c r="W808" t="s">
        <v>15199</v>
      </c>
      <c r="X808" t="s">
        <v>15200</v>
      </c>
      <c r="Y808" t="s">
        <v>15201</v>
      </c>
      <c r="Z808" t="s">
        <v>15202</v>
      </c>
      <c r="AA808" t="s">
        <v>15203</v>
      </c>
      <c r="AB808" t="s">
        <v>15204</v>
      </c>
      <c r="AC808" t="s">
        <v>15205</v>
      </c>
      <c r="AD808" t="s">
        <v>15206</v>
      </c>
      <c r="AE808" t="s">
        <v>8330</v>
      </c>
      <c r="AF808" t="s">
        <v>15207</v>
      </c>
      <c r="AG808" t="s">
        <v>15208</v>
      </c>
      <c r="AH808" t="s">
        <v>15209</v>
      </c>
      <c r="AI808" t="s">
        <v>15210</v>
      </c>
      <c r="AJ808" t="s">
        <v>15211</v>
      </c>
      <c r="AK808" t="s">
        <v>15212</v>
      </c>
      <c r="AL808" t="s">
        <v>15213</v>
      </c>
      <c r="AM808" t="s">
        <v>15214</v>
      </c>
      <c r="AN808" t="s">
        <v>15215</v>
      </c>
      <c r="AO808" t="s">
        <v>15216</v>
      </c>
      <c r="BA808" t="str">
        <f>"2199"</f>
        <v>2199</v>
      </c>
      <c r="BB808" t="str">
        <f>"925"</f>
        <v>925</v>
      </c>
      <c r="BC808" t="s">
        <v>1149</v>
      </c>
      <c r="BD808" t="str">
        <f t="shared" si="178"/>
        <v>1</v>
      </c>
      <c r="BE808" t="s">
        <v>389</v>
      </c>
      <c r="BF808" t="str">
        <f>"41.34"</f>
        <v>41.34</v>
      </c>
      <c r="BG808" t="str">
        <f>"25.79"</f>
        <v>25.79</v>
      </c>
      <c r="BH808" t="str">
        <f>"28.94"</f>
        <v>28.94</v>
      </c>
      <c r="BI808" t="str">
        <f>"116.07"</f>
        <v>116.07</v>
      </c>
      <c r="BY808" t="str">
        <f>"17.83"</f>
        <v>17.83</v>
      </c>
      <c r="BZ808" t="str">
        <f>"0.505"</f>
        <v>0.505</v>
      </c>
      <c r="CA808" t="s">
        <v>390</v>
      </c>
      <c r="CR808" t="s">
        <v>5068</v>
      </c>
      <c r="CS808">
        <v>2</v>
      </c>
      <c r="CT808" t="s">
        <v>400</v>
      </c>
      <c r="CV808">
        <v>0</v>
      </c>
      <c r="CX808" t="s">
        <v>953</v>
      </c>
      <c r="CY808" t="s">
        <v>1009</v>
      </c>
      <c r="DC808">
        <v>0</v>
      </c>
      <c r="DJ808" t="s">
        <v>408</v>
      </c>
      <c r="DK808" t="s">
        <v>8337</v>
      </c>
      <c r="DM808" t="s">
        <v>473</v>
      </c>
      <c r="DX808" t="s">
        <v>1094</v>
      </c>
      <c r="EM808" t="s">
        <v>402</v>
      </c>
      <c r="EN808">
        <v>0</v>
      </c>
      <c r="FI808">
        <v>0</v>
      </c>
      <c r="FJ808" t="s">
        <v>1012</v>
      </c>
      <c r="FP808" t="s">
        <v>402</v>
      </c>
      <c r="FR808" t="s">
        <v>6206</v>
      </c>
      <c r="FT808" t="s">
        <v>1156</v>
      </c>
      <c r="FV808" t="s">
        <v>9259</v>
      </c>
      <c r="FX808" t="s">
        <v>4210</v>
      </c>
    </row>
    <row r="809" spans="1:308" x14ac:dyDescent="0.25">
      <c r="A809" t="s">
        <v>15217</v>
      </c>
      <c r="B809" t="str">
        <f>"801542240936"</f>
        <v>801542240936</v>
      </c>
      <c r="C809" t="s">
        <v>15218</v>
      </c>
      <c r="D809" t="s">
        <v>1224</v>
      </c>
      <c r="E809" t="s">
        <v>988</v>
      </c>
      <c r="G809" t="str">
        <f>"80"</f>
        <v>80</v>
      </c>
      <c r="H809" t="str">
        <f>"20"</f>
        <v>20</v>
      </c>
      <c r="I809" t="str">
        <f>"32"</f>
        <v>32</v>
      </c>
      <c r="J809" t="str">
        <f>"304.01"</f>
        <v>304.01</v>
      </c>
      <c r="K809" t="s">
        <v>8690</v>
      </c>
      <c r="N809" t="s">
        <v>1463</v>
      </c>
      <c r="T809" t="s">
        <v>373</v>
      </c>
      <c r="U809" t="s">
        <v>373</v>
      </c>
      <c r="W809" t="s">
        <v>15219</v>
      </c>
      <c r="X809" t="s">
        <v>15220</v>
      </c>
      <c r="Y809" t="s">
        <v>15221</v>
      </c>
      <c r="Z809" t="s">
        <v>15222</v>
      </c>
      <c r="AA809" t="s">
        <v>15223</v>
      </c>
      <c r="AB809" t="s">
        <v>15224</v>
      </c>
      <c r="AC809" t="s">
        <v>15225</v>
      </c>
      <c r="AD809" t="s">
        <v>15226</v>
      </c>
      <c r="AE809" t="s">
        <v>15227</v>
      </c>
      <c r="AF809" t="s">
        <v>15228</v>
      </c>
      <c r="BA809" t="str">
        <f>"4899"</f>
        <v>4899</v>
      </c>
      <c r="BB809" t="str">
        <f>"2060"</f>
        <v>2060</v>
      </c>
      <c r="BC809" t="s">
        <v>1149</v>
      </c>
      <c r="BD809" t="str">
        <f t="shared" si="178"/>
        <v>1</v>
      </c>
      <c r="BE809" t="s">
        <v>389</v>
      </c>
      <c r="BF809" t="str">
        <f>"85.04"</f>
        <v>85.04</v>
      </c>
      <c r="BG809" t="str">
        <f>"25.59"</f>
        <v>25.59</v>
      </c>
      <c r="BH809" t="str">
        <f>"38.58"</f>
        <v>38.58</v>
      </c>
      <c r="BI809" t="str">
        <f>"384.26"</f>
        <v>384.26</v>
      </c>
      <c r="BY809" t="str">
        <f>"48.59"</f>
        <v>48.59</v>
      </c>
      <c r="BZ809" t="str">
        <f>"1.376"</f>
        <v>1.376</v>
      </c>
      <c r="CA809" t="s">
        <v>390</v>
      </c>
      <c r="CR809" t="s">
        <v>5068</v>
      </c>
      <c r="CS809">
        <v>6</v>
      </c>
      <c r="CT809" t="s">
        <v>400</v>
      </c>
      <c r="CV809">
        <v>0</v>
      </c>
      <c r="CX809" t="s">
        <v>953</v>
      </c>
      <c r="CY809" t="s">
        <v>1009</v>
      </c>
      <c r="DC809">
        <v>0</v>
      </c>
      <c r="DJ809" t="s">
        <v>1010</v>
      </c>
      <c r="DK809" t="s">
        <v>8337</v>
      </c>
      <c r="DM809" t="s">
        <v>669</v>
      </c>
      <c r="DX809" t="s">
        <v>1094</v>
      </c>
      <c r="EM809" t="s">
        <v>402</v>
      </c>
      <c r="EN809">
        <v>0</v>
      </c>
      <c r="FI809">
        <v>0</v>
      </c>
      <c r="FJ809" t="s">
        <v>1012</v>
      </c>
      <c r="FP809" t="s">
        <v>402</v>
      </c>
      <c r="FR809" t="s">
        <v>4976</v>
      </c>
      <c r="FT809" t="s">
        <v>446</v>
      </c>
      <c r="FV809" t="s">
        <v>8631</v>
      </c>
      <c r="FX809" t="s">
        <v>4210</v>
      </c>
    </row>
    <row r="810" spans="1:308" x14ac:dyDescent="0.25">
      <c r="A810" t="s">
        <v>15229</v>
      </c>
      <c r="B810" t="str">
        <f>"801542240929"</f>
        <v>801542240929</v>
      </c>
      <c r="C810" t="s">
        <v>15230</v>
      </c>
      <c r="D810" t="s">
        <v>1224</v>
      </c>
      <c r="E810" t="s">
        <v>988</v>
      </c>
      <c r="G810" t="str">
        <f>"80"</f>
        <v>80</v>
      </c>
      <c r="H810" t="str">
        <f>"20"</f>
        <v>20</v>
      </c>
      <c r="I810" t="str">
        <f>"32"</f>
        <v>32</v>
      </c>
      <c r="J810" t="str">
        <f>"304.01"</f>
        <v>304.01</v>
      </c>
      <c r="K810" t="s">
        <v>8322</v>
      </c>
      <c r="N810" t="s">
        <v>1463</v>
      </c>
      <c r="T810" t="s">
        <v>373</v>
      </c>
      <c r="U810" t="s">
        <v>373</v>
      </c>
      <c r="V810" t="s">
        <v>15231</v>
      </c>
      <c r="W810" t="s">
        <v>15232</v>
      </c>
      <c r="X810" t="s">
        <v>15233</v>
      </c>
      <c r="Y810" t="s">
        <v>15234</v>
      </c>
      <c r="Z810" t="s">
        <v>15235</v>
      </c>
      <c r="AA810" t="s">
        <v>15236</v>
      </c>
      <c r="AB810" t="s">
        <v>15237</v>
      </c>
      <c r="AC810" t="s">
        <v>15238</v>
      </c>
      <c r="AD810" t="s">
        <v>8330</v>
      </c>
      <c r="AE810" t="s">
        <v>15239</v>
      </c>
      <c r="AF810" t="s">
        <v>15240</v>
      </c>
      <c r="AG810" t="s">
        <v>15241</v>
      </c>
      <c r="BA810" t="str">
        <f>"4899"</f>
        <v>4899</v>
      </c>
      <c r="BB810" t="str">
        <f>"2060"</f>
        <v>2060</v>
      </c>
      <c r="BC810" t="s">
        <v>1149</v>
      </c>
      <c r="BD810" t="str">
        <f t="shared" si="178"/>
        <v>1</v>
      </c>
      <c r="BE810" t="s">
        <v>389</v>
      </c>
      <c r="BF810" t="str">
        <f>"85.04"</f>
        <v>85.04</v>
      </c>
      <c r="BG810" t="str">
        <f>"25.59"</f>
        <v>25.59</v>
      </c>
      <c r="BH810" t="str">
        <f>"38.58"</f>
        <v>38.58</v>
      </c>
      <c r="BI810" t="str">
        <f>"384.26"</f>
        <v>384.26</v>
      </c>
      <c r="BY810" t="str">
        <f>"48.59"</f>
        <v>48.59</v>
      </c>
      <c r="BZ810" t="str">
        <f>"1.376"</f>
        <v>1.376</v>
      </c>
      <c r="CA810" t="s">
        <v>390</v>
      </c>
      <c r="CR810" t="s">
        <v>5068</v>
      </c>
      <c r="CS810">
        <v>6</v>
      </c>
      <c r="CT810" t="s">
        <v>400</v>
      </c>
      <c r="CV810">
        <v>0</v>
      </c>
      <c r="CX810" t="s">
        <v>953</v>
      </c>
      <c r="CY810" t="s">
        <v>1009</v>
      </c>
      <c r="DC810">
        <v>0</v>
      </c>
      <c r="DJ810" t="s">
        <v>1010</v>
      </c>
      <c r="DK810" t="s">
        <v>8337</v>
      </c>
      <c r="DM810" t="s">
        <v>669</v>
      </c>
      <c r="DX810" t="s">
        <v>1094</v>
      </c>
      <c r="EM810" t="s">
        <v>402</v>
      </c>
      <c r="EN810">
        <v>0</v>
      </c>
      <c r="FI810">
        <v>0</v>
      </c>
      <c r="FJ810" t="s">
        <v>1012</v>
      </c>
      <c r="FP810" t="s">
        <v>402</v>
      </c>
      <c r="FR810" t="s">
        <v>4976</v>
      </c>
      <c r="FT810" t="s">
        <v>446</v>
      </c>
      <c r="FV810" t="s">
        <v>8631</v>
      </c>
      <c r="FX810" t="s">
        <v>4210</v>
      </c>
    </row>
    <row r="811" spans="1:308" x14ac:dyDescent="0.25">
      <c r="A811" t="s">
        <v>15242</v>
      </c>
      <c r="B811" t="str">
        <f>"801542248055"</f>
        <v>801542248055</v>
      </c>
      <c r="C811" t="s">
        <v>15243</v>
      </c>
      <c r="D811" t="s">
        <v>722</v>
      </c>
      <c r="E811" t="s">
        <v>1077</v>
      </c>
      <c r="G811" t="str">
        <f>"55"</f>
        <v>55</v>
      </c>
      <c r="H811" t="str">
        <f>"55"</f>
        <v>55</v>
      </c>
      <c r="I811" t="str">
        <f>"14"</f>
        <v>14</v>
      </c>
      <c r="J811" t="str">
        <f>"145.5"</f>
        <v>145.5</v>
      </c>
      <c r="K811" t="s">
        <v>15244</v>
      </c>
      <c r="N811" t="s">
        <v>1324</v>
      </c>
      <c r="T811" t="s">
        <v>373</v>
      </c>
      <c r="U811" t="s">
        <v>373</v>
      </c>
      <c r="V811" t="s">
        <v>15245</v>
      </c>
      <c r="W811" t="s">
        <v>15246</v>
      </c>
      <c r="X811" t="s">
        <v>15247</v>
      </c>
      <c r="Y811" t="s">
        <v>15248</v>
      </c>
      <c r="Z811" t="s">
        <v>15249</v>
      </c>
      <c r="AA811" t="s">
        <v>15250</v>
      </c>
      <c r="AB811" t="s">
        <v>15251</v>
      </c>
      <c r="AC811" t="s">
        <v>15252</v>
      </c>
      <c r="AD811" t="s">
        <v>15253</v>
      </c>
      <c r="AE811" t="s">
        <v>15254</v>
      </c>
      <c r="AF811" t="s">
        <v>15255</v>
      </c>
      <c r="AG811" t="s">
        <v>15256</v>
      </c>
      <c r="AH811" t="s">
        <v>15257</v>
      </c>
      <c r="AI811" t="s">
        <v>15258</v>
      </c>
      <c r="AJ811" t="s">
        <v>15259</v>
      </c>
      <c r="AK811" t="s">
        <v>15260</v>
      </c>
      <c r="AL811" t="s">
        <v>15261</v>
      </c>
      <c r="BA811" t="str">
        <f>"2999"</f>
        <v>2999</v>
      </c>
      <c r="BB811" t="str">
        <f>"1260"</f>
        <v>1260</v>
      </c>
      <c r="BC811" t="s">
        <v>388</v>
      </c>
      <c r="BD811" t="str">
        <f t="shared" si="178"/>
        <v>1</v>
      </c>
      <c r="BE811" t="s">
        <v>389</v>
      </c>
      <c r="BF811" t="str">
        <f>"57.09"</f>
        <v>57.09</v>
      </c>
      <c r="BG811" t="str">
        <f>"57.09"</f>
        <v>57.09</v>
      </c>
      <c r="BH811" t="str">
        <f>"17.72"</f>
        <v>17.72</v>
      </c>
      <c r="BI811" t="str">
        <f>"207.23"</f>
        <v>207.23</v>
      </c>
      <c r="BY811" t="str">
        <f>"33.41"</f>
        <v>33.41</v>
      </c>
      <c r="BZ811" t="str">
        <f>"0.946"</f>
        <v>0.946</v>
      </c>
      <c r="CA811" t="s">
        <v>431</v>
      </c>
      <c r="CR811" t="s">
        <v>400</v>
      </c>
      <c r="CS811">
        <v>0</v>
      </c>
      <c r="CT811" t="s">
        <v>400</v>
      </c>
      <c r="CV811">
        <v>0</v>
      </c>
      <c r="CX811" t="s">
        <v>403</v>
      </c>
      <c r="CY811" t="s">
        <v>400</v>
      </c>
      <c r="DC811">
        <v>0</v>
      </c>
      <c r="DJ811" t="s">
        <v>471</v>
      </c>
      <c r="DK811" t="s">
        <v>15262</v>
      </c>
      <c r="DM811" t="s">
        <v>473</v>
      </c>
      <c r="DX811" t="s">
        <v>5828</v>
      </c>
      <c r="DY811" t="s">
        <v>15263</v>
      </c>
      <c r="DZ811" t="s">
        <v>15263</v>
      </c>
      <c r="EI811" t="s">
        <v>392</v>
      </c>
      <c r="EJ811" t="s">
        <v>8684</v>
      </c>
      <c r="EK811" t="s">
        <v>676</v>
      </c>
      <c r="EL811" t="s">
        <v>392</v>
      </c>
      <c r="EM811" t="s">
        <v>402</v>
      </c>
      <c r="EN811">
        <v>0</v>
      </c>
      <c r="EO811">
        <v>0</v>
      </c>
      <c r="EX811" t="s">
        <v>2167</v>
      </c>
    </row>
    <row r="812" spans="1:308" x14ac:dyDescent="0.25">
      <c r="A812" t="s">
        <v>15264</v>
      </c>
      <c r="B812" t="str">
        <f>"801542248314"</f>
        <v>801542248314</v>
      </c>
      <c r="C812" t="s">
        <v>15265</v>
      </c>
      <c r="D812" t="s">
        <v>722</v>
      </c>
      <c r="E812" t="s">
        <v>4074</v>
      </c>
      <c r="G812" t="str">
        <f>"94"</f>
        <v>94</v>
      </c>
      <c r="H812" t="str">
        <f>"18"</f>
        <v>18</v>
      </c>
      <c r="I812" t="str">
        <f>"30"</f>
        <v>30</v>
      </c>
      <c r="J812" t="str">
        <f>"141.54"</f>
        <v>141.54</v>
      </c>
      <c r="K812" t="s">
        <v>15266</v>
      </c>
      <c r="N812" t="s">
        <v>1463</v>
      </c>
      <c r="T812" t="s">
        <v>373</v>
      </c>
      <c r="U812" t="s">
        <v>373</v>
      </c>
      <c r="V812" t="s">
        <v>15267</v>
      </c>
      <c r="W812" t="s">
        <v>15268</v>
      </c>
      <c r="X812" t="s">
        <v>15269</v>
      </c>
      <c r="Y812" t="s">
        <v>15270</v>
      </c>
      <c r="Z812" t="s">
        <v>15271</v>
      </c>
      <c r="AA812" t="s">
        <v>15272</v>
      </c>
      <c r="AB812" t="s">
        <v>15273</v>
      </c>
      <c r="AC812" t="s">
        <v>15274</v>
      </c>
      <c r="AD812" t="s">
        <v>15275</v>
      </c>
      <c r="AE812" t="s">
        <v>15276</v>
      </c>
      <c r="AF812" t="s">
        <v>15277</v>
      </c>
      <c r="AG812" t="s">
        <v>14328</v>
      </c>
      <c r="BA812" t="str">
        <f>"1999"</f>
        <v>1999</v>
      </c>
      <c r="BB812" t="str">
        <f>"840"</f>
        <v>840</v>
      </c>
      <c r="BC812" t="s">
        <v>388</v>
      </c>
      <c r="BD812" t="str">
        <f>"2"</f>
        <v>2</v>
      </c>
      <c r="BE812" t="s">
        <v>1089</v>
      </c>
      <c r="BF812" t="str">
        <f>"99.02"</f>
        <v>99.02</v>
      </c>
      <c r="BG812" t="str">
        <f>"7.09"</f>
        <v>7.09</v>
      </c>
      <c r="BH812" t="str">
        <f>"22.64"</f>
        <v>22.64</v>
      </c>
      <c r="BI812" t="str">
        <f>"98.99"</f>
        <v>98.99</v>
      </c>
      <c r="BJ812" t="s">
        <v>1090</v>
      </c>
      <c r="BK812" t="str">
        <f>"19.29"</f>
        <v>19.29</v>
      </c>
      <c r="BL812" t="str">
        <f>"17.32"</f>
        <v>17.32</v>
      </c>
      <c r="BM812" t="str">
        <f>"33.46"</f>
        <v>33.46</v>
      </c>
      <c r="BN812" t="str">
        <f>"79.81"</f>
        <v>79.81</v>
      </c>
      <c r="BY812" t="str">
        <f>"15.64"</f>
        <v>15.64</v>
      </c>
      <c r="BZ812" t="str">
        <f>"0.443"</f>
        <v>0.443</v>
      </c>
      <c r="CA812" t="s">
        <v>390</v>
      </c>
      <c r="CR812" t="s">
        <v>400</v>
      </c>
      <c r="CS812">
        <v>0</v>
      </c>
      <c r="CT812" t="s">
        <v>400</v>
      </c>
      <c r="CV812">
        <v>0</v>
      </c>
      <c r="CX812" t="s">
        <v>1980</v>
      </c>
      <c r="CY812" t="s">
        <v>400</v>
      </c>
      <c r="DC812">
        <v>0</v>
      </c>
      <c r="DJ812" t="s">
        <v>408</v>
      </c>
      <c r="DK812" t="s">
        <v>15278</v>
      </c>
      <c r="DM812" t="s">
        <v>669</v>
      </c>
      <c r="DX812" t="s">
        <v>2379</v>
      </c>
      <c r="DY812" t="s">
        <v>4242</v>
      </c>
      <c r="DZ812" t="s">
        <v>15279</v>
      </c>
      <c r="EI812" t="s">
        <v>392</v>
      </c>
      <c r="EJ812" t="s">
        <v>9904</v>
      </c>
      <c r="EK812" t="s">
        <v>540</v>
      </c>
      <c r="EL812" t="s">
        <v>392</v>
      </c>
      <c r="EM812" t="s">
        <v>402</v>
      </c>
      <c r="EN812">
        <v>0</v>
      </c>
      <c r="EO812">
        <v>0</v>
      </c>
      <c r="EX812" t="s">
        <v>635</v>
      </c>
      <c r="FI812">
        <v>0</v>
      </c>
      <c r="FJ812" t="s">
        <v>1012</v>
      </c>
    </row>
    <row r="813" spans="1:308" x14ac:dyDescent="0.25">
      <c r="A813" t="s">
        <v>15280</v>
      </c>
      <c r="B813" t="str">
        <f>"801542382070"</f>
        <v>801542382070</v>
      </c>
      <c r="C813" t="s">
        <v>15281</v>
      </c>
      <c r="D813" t="s">
        <v>1276</v>
      </c>
      <c r="E813" t="s">
        <v>515</v>
      </c>
      <c r="F813" t="s">
        <v>516</v>
      </c>
      <c r="G813" t="str">
        <f>"28.25"</f>
        <v>28.25</v>
      </c>
      <c r="H813" t="str">
        <f>"36.25"</f>
        <v>36.25</v>
      </c>
      <c r="I813" t="str">
        <f>"30"</f>
        <v>30</v>
      </c>
      <c r="J813" t="str">
        <f>"48.5"</f>
        <v>48.5</v>
      </c>
      <c r="K813" t="s">
        <v>6263</v>
      </c>
      <c r="L813" t="s">
        <v>15282</v>
      </c>
      <c r="N813" t="s">
        <v>1949</v>
      </c>
      <c r="O813" t="s">
        <v>1950</v>
      </c>
      <c r="P813" t="s">
        <v>1535</v>
      </c>
      <c r="Q813" t="s">
        <v>519</v>
      </c>
      <c r="T813" t="s">
        <v>373</v>
      </c>
      <c r="U813" t="s">
        <v>402</v>
      </c>
      <c r="V813" t="s">
        <v>15283</v>
      </c>
      <c r="W813" t="s">
        <v>15284</v>
      </c>
      <c r="X813" t="s">
        <v>15285</v>
      </c>
      <c r="Y813" t="s">
        <v>15286</v>
      </c>
      <c r="Z813" t="s">
        <v>15287</v>
      </c>
      <c r="AA813" t="s">
        <v>15288</v>
      </c>
      <c r="AB813" t="s">
        <v>15289</v>
      </c>
      <c r="AC813" t="s">
        <v>15290</v>
      </c>
      <c r="AD813" t="s">
        <v>15291</v>
      </c>
      <c r="AE813" t="s">
        <v>15292</v>
      </c>
      <c r="AF813" t="s">
        <v>15293</v>
      </c>
      <c r="AG813" t="s">
        <v>15294</v>
      </c>
      <c r="AH813" t="s">
        <v>15295</v>
      </c>
      <c r="AI813" t="s">
        <v>15296</v>
      </c>
      <c r="AJ813" t="s">
        <v>15297</v>
      </c>
      <c r="BA813" t="str">
        <f>"1099"</f>
        <v>1099</v>
      </c>
      <c r="BB813" t="str">
        <f>"465"</f>
        <v>465</v>
      </c>
      <c r="BC813" t="s">
        <v>665</v>
      </c>
      <c r="BD813" t="str">
        <f t="shared" ref="BD813:BD822" si="179">"1"</f>
        <v>1</v>
      </c>
      <c r="BE813" t="s">
        <v>15298</v>
      </c>
      <c r="BF813" t="str">
        <f>"40.35"</f>
        <v>40.35</v>
      </c>
      <c r="BG813" t="str">
        <f>"32.28"</f>
        <v>32.28</v>
      </c>
      <c r="BH813" t="str">
        <f>"34.06"</f>
        <v>34.06</v>
      </c>
      <c r="BI813" t="str">
        <f>"85.98"</f>
        <v>85.98</v>
      </c>
      <c r="BY813" t="str">
        <f>"25.67"</f>
        <v>25.67</v>
      </c>
      <c r="BZ813" t="str">
        <f>"0.727"</f>
        <v>0.727</v>
      </c>
      <c r="CA813" t="s">
        <v>390</v>
      </c>
      <c r="CH813" t="s">
        <v>6253</v>
      </c>
      <c r="CI813" t="s">
        <v>3079</v>
      </c>
      <c r="CJ813" t="s">
        <v>5827</v>
      </c>
      <c r="CK813" t="s">
        <v>3076</v>
      </c>
      <c r="CL813" t="s">
        <v>2595</v>
      </c>
      <c r="CN813">
        <v>0</v>
      </c>
      <c r="CO813">
        <v>1</v>
      </c>
      <c r="CP813" t="s">
        <v>437</v>
      </c>
      <c r="CQ813" t="s">
        <v>631</v>
      </c>
      <c r="CU813" t="s">
        <v>15299</v>
      </c>
      <c r="CX813" t="s">
        <v>667</v>
      </c>
      <c r="CY813" t="s">
        <v>400</v>
      </c>
      <c r="CZ813">
        <v>0</v>
      </c>
      <c r="DD813">
        <v>25000</v>
      </c>
      <c r="DE813" t="s">
        <v>2076</v>
      </c>
      <c r="DF813" t="s">
        <v>406</v>
      </c>
      <c r="DG813" t="s">
        <v>5549</v>
      </c>
      <c r="DH813">
        <v>1</v>
      </c>
      <c r="DI813">
        <v>1</v>
      </c>
      <c r="DK813" t="s">
        <v>15300</v>
      </c>
      <c r="DL813">
        <v>0</v>
      </c>
      <c r="DM813" t="s">
        <v>538</v>
      </c>
      <c r="DN813" t="s">
        <v>6229</v>
      </c>
      <c r="DO813" t="s">
        <v>8926</v>
      </c>
      <c r="DP813" t="s">
        <v>15301</v>
      </c>
      <c r="DT813" t="s">
        <v>3856</v>
      </c>
      <c r="DU813" t="s">
        <v>15302</v>
      </c>
      <c r="DV813" t="s">
        <v>3600</v>
      </c>
      <c r="DW813" t="s">
        <v>4671</v>
      </c>
      <c r="DX813" t="s">
        <v>8376</v>
      </c>
      <c r="DY813" t="s">
        <v>2792</v>
      </c>
      <c r="EA813" t="s">
        <v>15303</v>
      </c>
      <c r="ED813" t="s">
        <v>406</v>
      </c>
      <c r="EE813" t="s">
        <v>5549</v>
      </c>
      <c r="EM813" t="s">
        <v>402</v>
      </c>
      <c r="EP813" t="s">
        <v>4671</v>
      </c>
      <c r="EQ813" t="s">
        <v>3077</v>
      </c>
      <c r="ER813">
        <v>0</v>
      </c>
      <c r="ES813">
        <v>0</v>
      </c>
      <c r="EU813">
        <v>0</v>
      </c>
      <c r="JK813" t="s">
        <v>15304</v>
      </c>
      <c r="JL813" t="s">
        <v>15305</v>
      </c>
    </row>
    <row r="814" spans="1:308" x14ac:dyDescent="0.25">
      <c r="A814" t="s">
        <v>15306</v>
      </c>
      <c r="B814" t="str">
        <f>"801542313203"</f>
        <v>801542313203</v>
      </c>
      <c r="C814" t="s">
        <v>15307</v>
      </c>
      <c r="D814" t="s">
        <v>1276</v>
      </c>
      <c r="E814" t="s">
        <v>988</v>
      </c>
      <c r="G814" t="str">
        <f>"75"</f>
        <v>75</v>
      </c>
      <c r="H814" t="str">
        <f>"19.5"</f>
        <v>19.5</v>
      </c>
      <c r="I814" t="str">
        <f>"32.5"</f>
        <v>32.5</v>
      </c>
      <c r="J814" t="str">
        <f>"274.476"</f>
        <v>274.476</v>
      </c>
      <c r="K814" t="s">
        <v>15308</v>
      </c>
      <c r="N814" t="s">
        <v>1463</v>
      </c>
      <c r="O814" t="s">
        <v>372</v>
      </c>
      <c r="T814" t="s">
        <v>373</v>
      </c>
      <c r="U814" t="s">
        <v>373</v>
      </c>
      <c r="V814" t="s">
        <v>15309</v>
      </c>
      <c r="W814" t="s">
        <v>15310</v>
      </c>
      <c r="X814" t="s">
        <v>15311</v>
      </c>
      <c r="Y814" t="s">
        <v>15312</v>
      </c>
      <c r="Z814" t="s">
        <v>15313</v>
      </c>
      <c r="AA814" t="s">
        <v>15314</v>
      </c>
      <c r="AB814" t="s">
        <v>15315</v>
      </c>
      <c r="AC814" t="s">
        <v>15316</v>
      </c>
      <c r="AD814" t="s">
        <v>15317</v>
      </c>
      <c r="AE814" t="s">
        <v>15318</v>
      </c>
      <c r="AF814" t="s">
        <v>15319</v>
      </c>
      <c r="AG814" t="s">
        <v>15320</v>
      </c>
      <c r="AH814" t="s">
        <v>15321</v>
      </c>
      <c r="AI814" t="s">
        <v>15322</v>
      </c>
      <c r="BA814" t="str">
        <f>"2499"</f>
        <v>2499</v>
      </c>
      <c r="BB814" t="str">
        <f>"1050"</f>
        <v>1050</v>
      </c>
      <c r="BC814" t="s">
        <v>665</v>
      </c>
      <c r="BD814" t="str">
        <f t="shared" si="179"/>
        <v>1</v>
      </c>
      <c r="BE814" t="s">
        <v>15323</v>
      </c>
      <c r="BF814" t="str">
        <f>"78.94"</f>
        <v>78.94</v>
      </c>
      <c r="BG814" t="str">
        <f>"23.62"</f>
        <v>23.62</v>
      </c>
      <c r="BH814" t="str">
        <f>"39.57"</f>
        <v>39.57</v>
      </c>
      <c r="BI814" t="str">
        <f>"328.49"</f>
        <v>328.49</v>
      </c>
      <c r="BY814" t="str">
        <f>"42.7"</f>
        <v>42.7</v>
      </c>
      <c r="BZ814" t="str">
        <f>"1.209"</f>
        <v>1.209</v>
      </c>
      <c r="CA814" t="s">
        <v>390</v>
      </c>
      <c r="CR814" t="s">
        <v>5068</v>
      </c>
      <c r="CS814">
        <v>6</v>
      </c>
      <c r="CT814" t="s">
        <v>400</v>
      </c>
      <c r="CV814">
        <v>0</v>
      </c>
      <c r="CX814" t="s">
        <v>1980</v>
      </c>
      <c r="CY814" t="s">
        <v>1009</v>
      </c>
      <c r="DC814">
        <v>0</v>
      </c>
      <c r="DJ814" t="s">
        <v>1010</v>
      </c>
      <c r="DK814" t="s">
        <v>15324</v>
      </c>
      <c r="DM814" t="s">
        <v>669</v>
      </c>
      <c r="DX814" t="s">
        <v>8232</v>
      </c>
      <c r="EM814" t="s">
        <v>402</v>
      </c>
      <c r="EN814">
        <v>0</v>
      </c>
      <c r="FI814">
        <v>0</v>
      </c>
      <c r="FJ814" t="s">
        <v>1012</v>
      </c>
      <c r="FR814" t="s">
        <v>979</v>
      </c>
      <c r="FT814" t="s">
        <v>8761</v>
      </c>
      <c r="FV814" t="s">
        <v>15325</v>
      </c>
      <c r="FX814" t="s">
        <v>4210</v>
      </c>
    </row>
    <row r="815" spans="1:308" x14ac:dyDescent="0.25">
      <c r="A815" t="s">
        <v>15326</v>
      </c>
      <c r="B815" t="str">
        <f>"801542978563"</f>
        <v>801542978563</v>
      </c>
      <c r="C815" t="s">
        <v>15327</v>
      </c>
      <c r="D815" t="s">
        <v>1420</v>
      </c>
      <c r="E815" t="s">
        <v>988</v>
      </c>
      <c r="G815" t="str">
        <f>"75"</f>
        <v>75</v>
      </c>
      <c r="H815" t="str">
        <f>"19.5"</f>
        <v>19.5</v>
      </c>
      <c r="I815" t="str">
        <f>"32.5"</f>
        <v>32.5</v>
      </c>
      <c r="J815" t="str">
        <f>"274.476"</f>
        <v>274.476</v>
      </c>
      <c r="K815" t="s">
        <v>15328</v>
      </c>
      <c r="N815" t="s">
        <v>1324</v>
      </c>
      <c r="O815" t="s">
        <v>372</v>
      </c>
      <c r="T815" t="s">
        <v>373</v>
      </c>
      <c r="U815" t="s">
        <v>373</v>
      </c>
      <c r="V815" t="s">
        <v>15329</v>
      </c>
      <c r="W815" t="s">
        <v>15330</v>
      </c>
      <c r="X815" t="s">
        <v>15331</v>
      </c>
      <c r="Y815" t="s">
        <v>15332</v>
      </c>
      <c r="Z815" t="s">
        <v>15333</v>
      </c>
      <c r="AA815" t="s">
        <v>15334</v>
      </c>
      <c r="AB815" t="s">
        <v>15335</v>
      </c>
      <c r="AC815" t="s">
        <v>15336</v>
      </c>
      <c r="AD815" t="s">
        <v>15337</v>
      </c>
      <c r="AE815" t="s">
        <v>15338</v>
      </c>
      <c r="AF815" t="s">
        <v>15339</v>
      </c>
      <c r="AG815" t="s">
        <v>15340</v>
      </c>
      <c r="AH815" t="s">
        <v>15341</v>
      </c>
      <c r="BA815" t="str">
        <f>"2499"</f>
        <v>2499</v>
      </c>
      <c r="BB815" t="str">
        <f>"1050"</f>
        <v>1050</v>
      </c>
      <c r="BC815" t="s">
        <v>665</v>
      </c>
      <c r="BD815" t="str">
        <f t="shared" si="179"/>
        <v>1</v>
      </c>
      <c r="BE815" t="s">
        <v>15323</v>
      </c>
      <c r="BF815" t="str">
        <f>"78.94"</f>
        <v>78.94</v>
      </c>
      <c r="BG815" t="str">
        <f>"23.62"</f>
        <v>23.62</v>
      </c>
      <c r="BH815" t="str">
        <f>"39.57"</f>
        <v>39.57</v>
      </c>
      <c r="BI815" t="str">
        <f>"328.49"</f>
        <v>328.49</v>
      </c>
      <c r="BY815" t="str">
        <f>"42.7"</f>
        <v>42.7</v>
      </c>
      <c r="BZ815" t="str">
        <f>"1.209"</f>
        <v>1.209</v>
      </c>
      <c r="CA815" t="s">
        <v>495</v>
      </c>
      <c r="CR815" t="s">
        <v>5068</v>
      </c>
      <c r="CS815">
        <v>6</v>
      </c>
      <c r="CT815" t="s">
        <v>400</v>
      </c>
      <c r="CV815">
        <v>0</v>
      </c>
      <c r="CX815" t="s">
        <v>1980</v>
      </c>
      <c r="CY815" t="s">
        <v>1009</v>
      </c>
      <c r="DC815">
        <v>0</v>
      </c>
      <c r="DJ815" t="s">
        <v>1010</v>
      </c>
      <c r="DK815" t="s">
        <v>15324</v>
      </c>
      <c r="DM815" t="s">
        <v>669</v>
      </c>
      <c r="DX815" t="s">
        <v>8232</v>
      </c>
      <c r="EM815" t="s">
        <v>402</v>
      </c>
      <c r="EN815">
        <v>0</v>
      </c>
      <c r="FI815">
        <v>0</v>
      </c>
      <c r="FJ815" t="s">
        <v>1012</v>
      </c>
      <c r="FR815" t="s">
        <v>979</v>
      </c>
      <c r="FT815" t="s">
        <v>8761</v>
      </c>
      <c r="FV815" t="s">
        <v>15325</v>
      </c>
      <c r="FX815" t="s">
        <v>4210</v>
      </c>
    </row>
    <row r="816" spans="1:308" x14ac:dyDescent="0.25">
      <c r="A816" t="s">
        <v>15342</v>
      </c>
      <c r="B816" t="str">
        <f>"801542264314"</f>
        <v>801542264314</v>
      </c>
      <c r="C816" t="s">
        <v>15343</v>
      </c>
      <c r="D816" t="s">
        <v>2267</v>
      </c>
      <c r="E816" t="s">
        <v>413</v>
      </c>
      <c r="G816" t="str">
        <f>"62"</f>
        <v>62</v>
      </c>
      <c r="H816" t="str">
        <f>"57"</f>
        <v>57</v>
      </c>
      <c r="I816" t="str">
        <f>"35"</f>
        <v>35</v>
      </c>
      <c r="J816" t="str">
        <f>"149.91"</f>
        <v>149.91</v>
      </c>
      <c r="K816" t="s">
        <v>6934</v>
      </c>
      <c r="L816" t="s">
        <v>9585</v>
      </c>
      <c r="N816" t="s">
        <v>1170</v>
      </c>
      <c r="O816" t="s">
        <v>2269</v>
      </c>
      <c r="P816" t="s">
        <v>372</v>
      </c>
      <c r="T816" t="s">
        <v>373</v>
      </c>
      <c r="U816" t="s">
        <v>373</v>
      </c>
      <c r="V816" t="s">
        <v>15344</v>
      </c>
      <c r="W816" t="s">
        <v>15345</v>
      </c>
      <c r="X816" t="s">
        <v>15346</v>
      </c>
      <c r="Y816" t="s">
        <v>15347</v>
      </c>
      <c r="Z816" t="s">
        <v>15348</v>
      </c>
      <c r="AA816" t="s">
        <v>15349</v>
      </c>
      <c r="AB816" t="s">
        <v>15350</v>
      </c>
      <c r="AC816" t="s">
        <v>15351</v>
      </c>
      <c r="AD816" t="s">
        <v>15352</v>
      </c>
      <c r="AE816" t="s">
        <v>15353</v>
      </c>
      <c r="AF816" t="s">
        <v>15354</v>
      </c>
      <c r="AG816" t="s">
        <v>15355</v>
      </c>
      <c r="AH816" t="s">
        <v>15356</v>
      </c>
      <c r="AI816" t="s">
        <v>15357</v>
      </c>
      <c r="BA816" t="str">
        <f>"2799"</f>
        <v>2799</v>
      </c>
      <c r="BB816" t="str">
        <f>"1180"</f>
        <v>1180</v>
      </c>
      <c r="BC816" t="s">
        <v>665</v>
      </c>
      <c r="BD816" t="str">
        <f t="shared" si="179"/>
        <v>1</v>
      </c>
      <c r="BE816" t="s">
        <v>389</v>
      </c>
      <c r="BF816" t="str">
        <f>"63.78"</f>
        <v>63.78</v>
      </c>
      <c r="BG816" t="str">
        <f>"57.87"</f>
        <v>57.87</v>
      </c>
      <c r="BH816" t="str">
        <f>"32.09"</f>
        <v>32.09</v>
      </c>
      <c r="BI816" t="str">
        <f>"185.19"</f>
        <v>185.19</v>
      </c>
      <c r="BY816" t="str">
        <f>"68.55"</f>
        <v>68.55</v>
      </c>
      <c r="BZ816" t="str">
        <f>"1.941"</f>
        <v>1.941</v>
      </c>
      <c r="CA816" t="s">
        <v>495</v>
      </c>
      <c r="CK816" t="s">
        <v>6126</v>
      </c>
      <c r="CL816" t="s">
        <v>1711</v>
      </c>
      <c r="CM816" t="s">
        <v>15358</v>
      </c>
      <c r="CN816">
        <v>0</v>
      </c>
      <c r="CO816">
        <v>1</v>
      </c>
      <c r="CP816" t="s">
        <v>437</v>
      </c>
      <c r="CQ816" t="s">
        <v>631</v>
      </c>
      <c r="CX816" t="s">
        <v>1609</v>
      </c>
      <c r="CY816" t="s">
        <v>400</v>
      </c>
      <c r="CZ816">
        <v>0</v>
      </c>
      <c r="DD816">
        <v>79000</v>
      </c>
      <c r="DE816" t="s">
        <v>439</v>
      </c>
      <c r="DF816" t="s">
        <v>632</v>
      </c>
      <c r="DH816">
        <v>1</v>
      </c>
      <c r="DI816">
        <v>1</v>
      </c>
      <c r="DK816" t="s">
        <v>15359</v>
      </c>
      <c r="DL816">
        <v>4</v>
      </c>
      <c r="DM816" t="s">
        <v>538</v>
      </c>
      <c r="DN816" t="s">
        <v>5483</v>
      </c>
      <c r="DO816" t="s">
        <v>4673</v>
      </c>
      <c r="DP816" t="s">
        <v>15360</v>
      </c>
      <c r="DT816" t="s">
        <v>15361</v>
      </c>
      <c r="DX816" t="s">
        <v>5482</v>
      </c>
      <c r="DY816" t="s">
        <v>6162</v>
      </c>
      <c r="DZ816" t="s">
        <v>15362</v>
      </c>
      <c r="EA816" t="s">
        <v>4673</v>
      </c>
      <c r="ED816" t="s">
        <v>632</v>
      </c>
      <c r="EG816" t="s">
        <v>15363</v>
      </c>
      <c r="EM816" t="s">
        <v>402</v>
      </c>
      <c r="EP816" t="s">
        <v>1349</v>
      </c>
      <c r="EQ816" t="s">
        <v>15364</v>
      </c>
      <c r="ET816" t="s">
        <v>643</v>
      </c>
      <c r="IX816" t="s">
        <v>2072</v>
      </c>
      <c r="IY816" t="s">
        <v>1055</v>
      </c>
      <c r="IZ816" t="s">
        <v>1055</v>
      </c>
      <c r="JC816" t="s">
        <v>402</v>
      </c>
      <c r="KT816" t="s">
        <v>575</v>
      </c>
      <c r="KU816" t="s">
        <v>1711</v>
      </c>
      <c r="KV816" t="s">
        <v>1711</v>
      </c>
    </row>
    <row r="817" spans="1:302" x14ac:dyDescent="0.25">
      <c r="A817" t="s">
        <v>15365</v>
      </c>
      <c r="B817" t="str">
        <f>"801542255336"</f>
        <v>801542255336</v>
      </c>
      <c r="C817" t="s">
        <v>15366</v>
      </c>
      <c r="D817" t="s">
        <v>11007</v>
      </c>
      <c r="E817" t="s">
        <v>515</v>
      </c>
      <c r="F817" t="s">
        <v>516</v>
      </c>
      <c r="G817" t="str">
        <f>"43.5"</f>
        <v>43.5</v>
      </c>
      <c r="H817" t="str">
        <f>"36.5"</f>
        <v>36.5</v>
      </c>
      <c r="I817" t="str">
        <f>"30.5"</f>
        <v>30.5</v>
      </c>
      <c r="J817" t="str">
        <f>"84.88"</f>
        <v>84.88</v>
      </c>
      <c r="K817" t="s">
        <v>9226</v>
      </c>
      <c r="N817" t="s">
        <v>9227</v>
      </c>
      <c r="O817" t="s">
        <v>9228</v>
      </c>
      <c r="P817" t="s">
        <v>9229</v>
      </c>
      <c r="Q817" t="s">
        <v>9230</v>
      </c>
      <c r="R817" t="s">
        <v>9231</v>
      </c>
      <c r="T817" t="s">
        <v>373</v>
      </c>
      <c r="U817" t="s">
        <v>373</v>
      </c>
      <c r="V817" t="s">
        <v>15367</v>
      </c>
      <c r="W817" t="s">
        <v>15368</v>
      </c>
      <c r="X817" t="s">
        <v>15369</v>
      </c>
      <c r="Y817" t="s">
        <v>15370</v>
      </c>
      <c r="Z817" t="s">
        <v>15371</v>
      </c>
      <c r="AA817" t="s">
        <v>15372</v>
      </c>
      <c r="AB817" t="s">
        <v>15373</v>
      </c>
      <c r="AC817" t="s">
        <v>15374</v>
      </c>
      <c r="AD817" t="s">
        <v>15375</v>
      </c>
      <c r="AE817" t="s">
        <v>15376</v>
      </c>
      <c r="AF817" t="s">
        <v>15377</v>
      </c>
      <c r="AG817" t="s">
        <v>15378</v>
      </c>
      <c r="AH817" t="s">
        <v>15379</v>
      </c>
      <c r="AI817" t="s">
        <v>15380</v>
      </c>
      <c r="AJ817" t="s">
        <v>15381</v>
      </c>
      <c r="AK817" t="s">
        <v>15382</v>
      </c>
      <c r="AL817" t="s">
        <v>15383</v>
      </c>
      <c r="BA817" t="str">
        <f>"1999"</f>
        <v>1999</v>
      </c>
      <c r="BB817" t="str">
        <f>"840"</f>
        <v>840</v>
      </c>
      <c r="BC817" t="s">
        <v>665</v>
      </c>
      <c r="BD817" t="str">
        <f t="shared" si="179"/>
        <v>1</v>
      </c>
      <c r="BE817" t="s">
        <v>389</v>
      </c>
      <c r="BF817" t="str">
        <f>"44.49"</f>
        <v>44.49</v>
      </c>
      <c r="BG817" t="str">
        <f>"37.6"</f>
        <v>37.6</v>
      </c>
      <c r="BH817" t="str">
        <f>"32.68"</f>
        <v>32.68</v>
      </c>
      <c r="BI817" t="str">
        <f>"103.62"</f>
        <v>103.62</v>
      </c>
      <c r="BY817" t="str">
        <f>"31.64"</f>
        <v>31.64</v>
      </c>
      <c r="BZ817" t="str">
        <f>"0.896"</f>
        <v>0.896</v>
      </c>
      <c r="CA817" t="s">
        <v>431</v>
      </c>
      <c r="CK817" t="s">
        <v>2071</v>
      </c>
      <c r="CL817" t="s">
        <v>535</v>
      </c>
      <c r="CN817">
        <v>0</v>
      </c>
      <c r="CO817">
        <v>1</v>
      </c>
      <c r="CP817" t="s">
        <v>437</v>
      </c>
      <c r="CQ817" t="s">
        <v>399</v>
      </c>
      <c r="CU817" t="s">
        <v>13962</v>
      </c>
      <c r="CX817" t="s">
        <v>403</v>
      </c>
      <c r="CY817" t="s">
        <v>1753</v>
      </c>
      <c r="CZ817">
        <v>0</v>
      </c>
      <c r="DD817">
        <v>30000</v>
      </c>
      <c r="DE817" t="s">
        <v>439</v>
      </c>
      <c r="DF817" t="s">
        <v>632</v>
      </c>
      <c r="DH817">
        <v>1</v>
      </c>
      <c r="DI817">
        <v>1</v>
      </c>
      <c r="DK817" t="s">
        <v>15384</v>
      </c>
      <c r="DL817">
        <v>0</v>
      </c>
      <c r="DM817" t="s">
        <v>538</v>
      </c>
      <c r="DN817" t="s">
        <v>567</v>
      </c>
      <c r="DO817" t="s">
        <v>1739</v>
      </c>
      <c r="DP817" t="s">
        <v>13047</v>
      </c>
      <c r="DT817" t="s">
        <v>7533</v>
      </c>
      <c r="DX817" t="s">
        <v>7917</v>
      </c>
      <c r="EA817" t="s">
        <v>15385</v>
      </c>
      <c r="ED817" t="s">
        <v>632</v>
      </c>
      <c r="EF817" t="s">
        <v>13962</v>
      </c>
      <c r="EG817" t="s">
        <v>13962</v>
      </c>
      <c r="EM817" t="s">
        <v>402</v>
      </c>
      <c r="EP817" t="s">
        <v>2071</v>
      </c>
      <c r="EQ817" t="s">
        <v>1412</v>
      </c>
      <c r="ER817">
        <v>0</v>
      </c>
      <c r="ES817">
        <v>0</v>
      </c>
      <c r="EU817">
        <v>0</v>
      </c>
      <c r="HM817" t="s">
        <v>1754</v>
      </c>
    </row>
    <row r="818" spans="1:302" x14ac:dyDescent="0.25">
      <c r="A818" t="s">
        <v>15386</v>
      </c>
      <c r="B818" t="str">
        <f>"198394022613"</f>
        <v>198394022613</v>
      </c>
      <c r="C818" t="s">
        <v>15387</v>
      </c>
      <c r="D818" t="s">
        <v>11007</v>
      </c>
      <c r="E818" t="s">
        <v>515</v>
      </c>
      <c r="F818" t="s">
        <v>516</v>
      </c>
      <c r="G818" t="str">
        <f>"43.5"</f>
        <v>43.5</v>
      </c>
      <c r="H818" t="str">
        <f>"36.5"</f>
        <v>36.5</v>
      </c>
      <c r="I818" t="str">
        <f>"30.5"</f>
        <v>30.5</v>
      </c>
      <c r="J818" t="str">
        <f>"84.88"</f>
        <v>84.88</v>
      </c>
      <c r="K818" t="s">
        <v>15388</v>
      </c>
      <c r="N818" t="s">
        <v>371</v>
      </c>
      <c r="T818" t="s">
        <v>373</v>
      </c>
      <c r="U818" t="s">
        <v>373</v>
      </c>
      <c r="V818" t="s">
        <v>15389</v>
      </c>
      <c r="W818" t="s">
        <v>15390</v>
      </c>
      <c r="X818" t="s">
        <v>15391</v>
      </c>
      <c r="Y818" t="s">
        <v>15392</v>
      </c>
      <c r="Z818" t="s">
        <v>15393</v>
      </c>
      <c r="AA818" t="s">
        <v>15394</v>
      </c>
      <c r="AB818" t="s">
        <v>15395</v>
      </c>
      <c r="AC818" t="s">
        <v>15396</v>
      </c>
      <c r="AD818" t="s">
        <v>15397</v>
      </c>
      <c r="AE818" t="s">
        <v>15398</v>
      </c>
      <c r="AF818" t="s">
        <v>15399</v>
      </c>
      <c r="AG818" t="s">
        <v>15400</v>
      </c>
      <c r="AH818" t="s">
        <v>15401</v>
      </c>
      <c r="AI818" t="s">
        <v>15402</v>
      </c>
      <c r="BA818" t="str">
        <f>"1899"</f>
        <v>1899</v>
      </c>
      <c r="BB818" t="str">
        <f>"800"</f>
        <v>800</v>
      </c>
      <c r="BC818" t="s">
        <v>665</v>
      </c>
      <c r="BD818" t="str">
        <f t="shared" si="179"/>
        <v>1</v>
      </c>
      <c r="BE818" t="s">
        <v>389</v>
      </c>
      <c r="BF818" t="str">
        <f>"44.49"</f>
        <v>44.49</v>
      </c>
      <c r="BG818" t="str">
        <f>"37.6"</f>
        <v>37.6</v>
      </c>
      <c r="BH818" t="str">
        <f>"32.68"</f>
        <v>32.68</v>
      </c>
      <c r="BI818" t="str">
        <f>"103.62"</f>
        <v>103.62</v>
      </c>
      <c r="BY818" t="str">
        <f>"31.64"</f>
        <v>31.64</v>
      </c>
      <c r="BZ818" t="str">
        <f>"0.896"</f>
        <v>0.896</v>
      </c>
      <c r="CA818" t="s">
        <v>495</v>
      </c>
      <c r="CK818" t="s">
        <v>2071</v>
      </c>
      <c r="CL818" t="s">
        <v>535</v>
      </c>
      <c r="CN818">
        <v>0</v>
      </c>
      <c r="CO818">
        <v>1</v>
      </c>
      <c r="CP818" t="s">
        <v>437</v>
      </c>
      <c r="CQ818" t="s">
        <v>1152</v>
      </c>
      <c r="CU818" t="s">
        <v>13962</v>
      </c>
      <c r="CX818" t="s">
        <v>403</v>
      </c>
      <c r="CY818" t="s">
        <v>1753</v>
      </c>
      <c r="CZ818">
        <v>0</v>
      </c>
      <c r="DD818">
        <v>50000</v>
      </c>
      <c r="DE818" t="s">
        <v>439</v>
      </c>
      <c r="DF818" t="s">
        <v>632</v>
      </c>
      <c r="DH818">
        <v>1</v>
      </c>
      <c r="DI818">
        <v>1</v>
      </c>
      <c r="DK818" t="s">
        <v>15384</v>
      </c>
      <c r="DL818">
        <v>0</v>
      </c>
      <c r="DM818" t="s">
        <v>538</v>
      </c>
      <c r="DN818" t="s">
        <v>567</v>
      </c>
      <c r="DO818" t="s">
        <v>1739</v>
      </c>
      <c r="DP818" t="s">
        <v>13047</v>
      </c>
      <c r="DT818" t="s">
        <v>7533</v>
      </c>
      <c r="DX818" t="s">
        <v>7917</v>
      </c>
      <c r="EA818" t="s">
        <v>15385</v>
      </c>
      <c r="ED818" t="s">
        <v>632</v>
      </c>
      <c r="EF818" t="s">
        <v>13962</v>
      </c>
      <c r="EG818" t="s">
        <v>13962</v>
      </c>
      <c r="EM818" t="s">
        <v>402</v>
      </c>
      <c r="EP818" t="s">
        <v>2071</v>
      </c>
      <c r="EQ818" t="s">
        <v>1412</v>
      </c>
      <c r="ER818">
        <v>0</v>
      </c>
      <c r="ES818">
        <v>0</v>
      </c>
      <c r="EU818">
        <v>0</v>
      </c>
      <c r="HM818" t="s">
        <v>1754</v>
      </c>
    </row>
    <row r="819" spans="1:302" x14ac:dyDescent="0.25">
      <c r="A819" t="s">
        <v>15403</v>
      </c>
      <c r="B819" t="str">
        <f>"198394022620"</f>
        <v>198394022620</v>
      </c>
      <c r="C819" t="s">
        <v>15404</v>
      </c>
      <c r="D819" t="s">
        <v>11007</v>
      </c>
      <c r="E819" t="s">
        <v>515</v>
      </c>
      <c r="F819" t="s">
        <v>516</v>
      </c>
      <c r="G819" t="str">
        <f>"43.5"</f>
        <v>43.5</v>
      </c>
      <c r="H819" t="str">
        <f>"36.5"</f>
        <v>36.5</v>
      </c>
      <c r="I819" t="str">
        <f>"30.5"</f>
        <v>30.5</v>
      </c>
      <c r="J819" t="str">
        <f>"84.88"</f>
        <v>84.88</v>
      </c>
      <c r="K819" t="s">
        <v>7879</v>
      </c>
      <c r="N819" t="s">
        <v>7880</v>
      </c>
      <c r="O819" t="s">
        <v>7881</v>
      </c>
      <c r="P819" t="s">
        <v>7882</v>
      </c>
      <c r="T819" t="s">
        <v>373</v>
      </c>
      <c r="U819" t="s">
        <v>373</v>
      </c>
      <c r="V819" t="s">
        <v>15367</v>
      </c>
      <c r="W819" t="s">
        <v>15405</v>
      </c>
      <c r="X819" t="s">
        <v>15406</v>
      </c>
      <c r="Y819" t="s">
        <v>15407</v>
      </c>
      <c r="Z819" t="s">
        <v>15408</v>
      </c>
      <c r="AA819" t="s">
        <v>15409</v>
      </c>
      <c r="AB819" t="s">
        <v>15410</v>
      </c>
      <c r="AC819" t="s">
        <v>15411</v>
      </c>
      <c r="AD819" t="s">
        <v>15412</v>
      </c>
      <c r="AE819" t="s">
        <v>15413</v>
      </c>
      <c r="AF819" t="s">
        <v>15414</v>
      </c>
      <c r="AG819" t="s">
        <v>15415</v>
      </c>
      <c r="AH819" t="s">
        <v>15416</v>
      </c>
      <c r="AI819" t="s">
        <v>15417</v>
      </c>
      <c r="AJ819" t="s">
        <v>15418</v>
      </c>
      <c r="BA819" t="str">
        <f>"2199"</f>
        <v>2199</v>
      </c>
      <c r="BB819" t="str">
        <f>"925"</f>
        <v>925</v>
      </c>
      <c r="BC819" t="s">
        <v>665</v>
      </c>
      <c r="BD819" t="str">
        <f t="shared" si="179"/>
        <v>1</v>
      </c>
      <c r="BE819" t="s">
        <v>389</v>
      </c>
      <c r="BF819" t="str">
        <f>"44.49"</f>
        <v>44.49</v>
      </c>
      <c r="BG819" t="str">
        <f>"37.6"</f>
        <v>37.6</v>
      </c>
      <c r="BH819" t="str">
        <f>"32.68"</f>
        <v>32.68</v>
      </c>
      <c r="BI819" t="str">
        <f>"103.62"</f>
        <v>103.62</v>
      </c>
      <c r="BY819" t="str">
        <f>"31.64"</f>
        <v>31.64</v>
      </c>
      <c r="BZ819" t="str">
        <f>"0.896"</f>
        <v>0.896</v>
      </c>
      <c r="CA819" t="s">
        <v>431</v>
      </c>
      <c r="CK819" t="s">
        <v>2071</v>
      </c>
      <c r="CL819" t="s">
        <v>535</v>
      </c>
      <c r="CN819">
        <v>0</v>
      </c>
      <c r="CO819">
        <v>1</v>
      </c>
      <c r="CP819" t="s">
        <v>437</v>
      </c>
      <c r="CQ819" t="s">
        <v>1152</v>
      </c>
      <c r="CU819" t="s">
        <v>13962</v>
      </c>
      <c r="CX819" t="s">
        <v>403</v>
      </c>
      <c r="CY819" t="s">
        <v>1753</v>
      </c>
      <c r="CZ819">
        <v>0</v>
      </c>
      <c r="DD819">
        <v>50000</v>
      </c>
      <c r="DE819" t="s">
        <v>439</v>
      </c>
      <c r="DF819" t="s">
        <v>632</v>
      </c>
      <c r="DH819">
        <v>1</v>
      </c>
      <c r="DI819">
        <v>1</v>
      </c>
      <c r="DK819" t="s">
        <v>15384</v>
      </c>
      <c r="DL819">
        <v>0</v>
      </c>
      <c r="DM819" t="s">
        <v>538</v>
      </c>
      <c r="DN819" t="s">
        <v>567</v>
      </c>
      <c r="DO819" t="s">
        <v>1739</v>
      </c>
      <c r="DP819" t="s">
        <v>13047</v>
      </c>
      <c r="DT819" t="s">
        <v>7533</v>
      </c>
      <c r="DX819" t="s">
        <v>7917</v>
      </c>
      <c r="EA819" t="s">
        <v>15385</v>
      </c>
      <c r="ED819" t="s">
        <v>632</v>
      </c>
      <c r="EF819" t="s">
        <v>13962</v>
      </c>
      <c r="EG819" t="s">
        <v>13962</v>
      </c>
      <c r="EM819" t="s">
        <v>402</v>
      </c>
      <c r="EP819" t="s">
        <v>2071</v>
      </c>
      <c r="EQ819" t="s">
        <v>1412</v>
      </c>
      <c r="ER819">
        <v>0</v>
      </c>
      <c r="ES819">
        <v>0</v>
      </c>
      <c r="EU819">
        <v>0</v>
      </c>
      <c r="HM819" t="s">
        <v>1754</v>
      </c>
    </row>
    <row r="820" spans="1:302" x14ac:dyDescent="0.25">
      <c r="A820" t="s">
        <v>15419</v>
      </c>
      <c r="B820" t="str">
        <f>"801542342036"</f>
        <v>801542342036</v>
      </c>
      <c r="C820" t="s">
        <v>15420</v>
      </c>
      <c r="D820" t="s">
        <v>929</v>
      </c>
      <c r="E820" t="s">
        <v>930</v>
      </c>
      <c r="G820" t="str">
        <f>"98"</f>
        <v>98</v>
      </c>
      <c r="H820" t="str">
        <f>"18"</f>
        <v>18</v>
      </c>
      <c r="I820" t="str">
        <f>"34"</f>
        <v>34</v>
      </c>
      <c r="J820" t="str">
        <f>"231.48"</f>
        <v>231.48</v>
      </c>
      <c r="K820" t="s">
        <v>15421</v>
      </c>
      <c r="L820" t="s">
        <v>15422</v>
      </c>
      <c r="N820" t="s">
        <v>372</v>
      </c>
      <c r="T820" t="s">
        <v>373</v>
      </c>
      <c r="U820" t="s">
        <v>373</v>
      </c>
      <c r="V820" t="s">
        <v>15423</v>
      </c>
      <c r="W820" t="s">
        <v>15424</v>
      </c>
      <c r="X820" t="s">
        <v>15425</v>
      </c>
      <c r="Y820" t="s">
        <v>15426</v>
      </c>
      <c r="Z820" t="s">
        <v>15427</v>
      </c>
      <c r="AA820" t="s">
        <v>15428</v>
      </c>
      <c r="AB820" t="s">
        <v>15429</v>
      </c>
      <c r="AC820" t="s">
        <v>15430</v>
      </c>
      <c r="AD820" t="s">
        <v>15431</v>
      </c>
      <c r="AE820" t="s">
        <v>15432</v>
      </c>
      <c r="AF820" t="s">
        <v>15433</v>
      </c>
      <c r="AG820" t="s">
        <v>15434</v>
      </c>
      <c r="AH820" t="s">
        <v>15435</v>
      </c>
      <c r="AI820" t="s">
        <v>15436</v>
      </c>
      <c r="AJ820" t="s">
        <v>15437</v>
      </c>
      <c r="AK820" t="s">
        <v>15438</v>
      </c>
      <c r="BA820" t="str">
        <f>"3299"</f>
        <v>3299</v>
      </c>
      <c r="BB820" t="str">
        <f>"1390"</f>
        <v>1390</v>
      </c>
      <c r="BC820" t="s">
        <v>949</v>
      </c>
      <c r="BD820" t="str">
        <f t="shared" si="179"/>
        <v>1</v>
      </c>
      <c r="BE820" t="s">
        <v>389</v>
      </c>
      <c r="BF820" t="str">
        <f>"107.25"</f>
        <v>107.25</v>
      </c>
      <c r="BG820" t="str">
        <f>"23.25"</f>
        <v>23.25</v>
      </c>
      <c r="BH820" t="str">
        <f>"39.25"</f>
        <v>39.25</v>
      </c>
      <c r="BI820" t="str">
        <f>"308.31"</f>
        <v>308.31</v>
      </c>
      <c r="BY820" t="str">
        <f>"56.64"</f>
        <v>56.64</v>
      </c>
      <c r="BZ820" t="str">
        <f>"1.604"</f>
        <v>1.604</v>
      </c>
      <c r="CA820" t="s">
        <v>431</v>
      </c>
      <c r="CB820" t="s">
        <v>979</v>
      </c>
      <c r="CC820" t="s">
        <v>6662</v>
      </c>
      <c r="CD820" t="s">
        <v>1853</v>
      </c>
      <c r="CE820" t="s">
        <v>979</v>
      </c>
      <c r="CF820" t="s">
        <v>4034</v>
      </c>
      <c r="CG820" t="s">
        <v>1853</v>
      </c>
      <c r="CR820" t="s">
        <v>400</v>
      </c>
      <c r="CS820">
        <v>0</v>
      </c>
      <c r="CT820" t="s">
        <v>400</v>
      </c>
      <c r="CV820">
        <v>3</v>
      </c>
      <c r="CW820" t="s">
        <v>402</v>
      </c>
      <c r="CX820" t="s">
        <v>953</v>
      </c>
      <c r="CY820" t="s">
        <v>954</v>
      </c>
      <c r="DA820">
        <v>18.14</v>
      </c>
      <c r="DB820">
        <v>40</v>
      </c>
      <c r="DC820">
        <v>0</v>
      </c>
      <c r="DK820" t="s">
        <v>15439</v>
      </c>
      <c r="DM820" t="s">
        <v>669</v>
      </c>
      <c r="DX820" t="s">
        <v>446</v>
      </c>
      <c r="EM820" t="s">
        <v>402</v>
      </c>
      <c r="EN820">
        <v>6</v>
      </c>
      <c r="EZ820" t="s">
        <v>451</v>
      </c>
      <c r="FA820" t="s">
        <v>956</v>
      </c>
      <c r="FB820" t="s">
        <v>510</v>
      </c>
      <c r="FF820">
        <v>0</v>
      </c>
      <c r="FG820" t="s">
        <v>402</v>
      </c>
      <c r="FH820" t="s">
        <v>1245</v>
      </c>
      <c r="FI820">
        <v>6</v>
      </c>
      <c r="FJ820" t="s">
        <v>960</v>
      </c>
      <c r="FK820" t="s">
        <v>1246</v>
      </c>
      <c r="FL820">
        <v>0</v>
      </c>
      <c r="FO820" t="s">
        <v>984</v>
      </c>
      <c r="GB820" t="s">
        <v>979</v>
      </c>
      <c r="GC820" t="s">
        <v>4034</v>
      </c>
      <c r="GD820" t="s">
        <v>1853</v>
      </c>
      <c r="GR820" t="s">
        <v>979</v>
      </c>
      <c r="GS820" t="s">
        <v>979</v>
      </c>
      <c r="GT820" t="s">
        <v>4034</v>
      </c>
      <c r="GU820" t="s">
        <v>4034</v>
      </c>
      <c r="GV820" t="s">
        <v>1853</v>
      </c>
      <c r="GW820" t="s">
        <v>1853</v>
      </c>
      <c r="JY820" t="s">
        <v>979</v>
      </c>
      <c r="JZ820" t="s">
        <v>4034</v>
      </c>
      <c r="KA820" t="s">
        <v>1853</v>
      </c>
      <c r="KL820" t="s">
        <v>979</v>
      </c>
      <c r="KN820" t="s">
        <v>4034</v>
      </c>
      <c r="KP820" t="s">
        <v>1853</v>
      </c>
    </row>
    <row r="821" spans="1:302" x14ac:dyDescent="0.25">
      <c r="A821" t="s">
        <v>15440</v>
      </c>
      <c r="B821" t="str">
        <f>"801542341947"</f>
        <v>801542341947</v>
      </c>
      <c r="C821" t="s">
        <v>15441</v>
      </c>
      <c r="D821" t="s">
        <v>929</v>
      </c>
      <c r="E821" t="s">
        <v>930</v>
      </c>
      <c r="G821" t="str">
        <f>"98"</f>
        <v>98</v>
      </c>
      <c r="H821" t="str">
        <f>"18"</f>
        <v>18</v>
      </c>
      <c r="I821" t="str">
        <f>"34"</f>
        <v>34</v>
      </c>
      <c r="J821" t="str">
        <f>"231.48"</f>
        <v>231.48</v>
      </c>
      <c r="K821" t="s">
        <v>15442</v>
      </c>
      <c r="L821" t="s">
        <v>15443</v>
      </c>
      <c r="N821" t="s">
        <v>372</v>
      </c>
      <c r="T821" t="s">
        <v>373</v>
      </c>
      <c r="U821" t="s">
        <v>373</v>
      </c>
      <c r="V821" t="s">
        <v>15423</v>
      </c>
      <c r="W821" t="s">
        <v>15444</v>
      </c>
      <c r="X821" t="s">
        <v>15445</v>
      </c>
      <c r="Y821" t="s">
        <v>15446</v>
      </c>
      <c r="Z821" t="s">
        <v>15447</v>
      </c>
      <c r="AA821" t="s">
        <v>15448</v>
      </c>
      <c r="AB821" t="s">
        <v>15449</v>
      </c>
      <c r="AC821" t="s">
        <v>15450</v>
      </c>
      <c r="AD821" t="s">
        <v>15451</v>
      </c>
      <c r="AE821" t="s">
        <v>15452</v>
      </c>
      <c r="AF821" t="s">
        <v>15453</v>
      </c>
      <c r="AG821" t="s">
        <v>15454</v>
      </c>
      <c r="AH821" t="s">
        <v>15455</v>
      </c>
      <c r="BA821" t="str">
        <f>"3299"</f>
        <v>3299</v>
      </c>
      <c r="BB821" t="str">
        <f>"1390"</f>
        <v>1390</v>
      </c>
      <c r="BC821" t="s">
        <v>949</v>
      </c>
      <c r="BD821" t="str">
        <f t="shared" si="179"/>
        <v>1</v>
      </c>
      <c r="BE821" t="s">
        <v>389</v>
      </c>
      <c r="BF821" t="str">
        <f>"107.25"</f>
        <v>107.25</v>
      </c>
      <c r="BG821" t="str">
        <f>"23.25"</f>
        <v>23.25</v>
      </c>
      <c r="BH821" t="str">
        <f>"39.25"</f>
        <v>39.25</v>
      </c>
      <c r="BI821" t="str">
        <f>"308.31"</f>
        <v>308.31</v>
      </c>
      <c r="BY821" t="str">
        <f>"56.64"</f>
        <v>56.64</v>
      </c>
      <c r="BZ821" t="str">
        <f>"1.604"</f>
        <v>1.604</v>
      </c>
      <c r="CA821" t="s">
        <v>495</v>
      </c>
      <c r="CB821" t="s">
        <v>979</v>
      </c>
      <c r="CC821" t="s">
        <v>6662</v>
      </c>
      <c r="CD821" t="s">
        <v>1853</v>
      </c>
      <c r="CE821" t="s">
        <v>979</v>
      </c>
      <c r="CF821" t="s">
        <v>4034</v>
      </c>
      <c r="CG821" t="s">
        <v>1853</v>
      </c>
      <c r="CR821" t="s">
        <v>400</v>
      </c>
      <c r="CS821">
        <v>0</v>
      </c>
      <c r="CT821" t="s">
        <v>400</v>
      </c>
      <c r="CV821">
        <v>3</v>
      </c>
      <c r="CW821" t="s">
        <v>402</v>
      </c>
      <c r="CX821" t="s">
        <v>953</v>
      </c>
      <c r="CY821" t="s">
        <v>954</v>
      </c>
      <c r="DA821">
        <v>18.14</v>
      </c>
      <c r="DB821">
        <v>40</v>
      </c>
      <c r="DC821">
        <v>0</v>
      </c>
      <c r="DK821" t="s">
        <v>15439</v>
      </c>
      <c r="DM821" t="s">
        <v>669</v>
      </c>
      <c r="DX821" t="s">
        <v>446</v>
      </c>
      <c r="EM821" t="s">
        <v>402</v>
      </c>
      <c r="EN821">
        <v>6</v>
      </c>
      <c r="EZ821" t="s">
        <v>451</v>
      </c>
      <c r="FA821" t="s">
        <v>956</v>
      </c>
      <c r="FB821" t="s">
        <v>510</v>
      </c>
      <c r="FF821">
        <v>0</v>
      </c>
      <c r="FG821" t="s">
        <v>402</v>
      </c>
      <c r="FH821" t="s">
        <v>1245</v>
      </c>
      <c r="FI821">
        <v>6</v>
      </c>
      <c r="FJ821" t="s">
        <v>960</v>
      </c>
      <c r="FK821" t="s">
        <v>1246</v>
      </c>
      <c r="FL821">
        <v>0</v>
      </c>
      <c r="FO821" t="s">
        <v>984</v>
      </c>
      <c r="GB821" t="s">
        <v>979</v>
      </c>
      <c r="GC821" t="s">
        <v>4034</v>
      </c>
      <c r="GD821" t="s">
        <v>1853</v>
      </c>
      <c r="GR821" t="s">
        <v>979</v>
      </c>
      <c r="GS821" t="s">
        <v>979</v>
      </c>
      <c r="GT821" t="s">
        <v>4034</v>
      </c>
      <c r="GU821" t="s">
        <v>4034</v>
      </c>
      <c r="GV821" t="s">
        <v>1853</v>
      </c>
      <c r="GW821" t="s">
        <v>1853</v>
      </c>
      <c r="JY821" t="s">
        <v>979</v>
      </c>
      <c r="JZ821" t="s">
        <v>4034</v>
      </c>
      <c r="KA821" t="s">
        <v>1853</v>
      </c>
      <c r="KL821" t="s">
        <v>979</v>
      </c>
      <c r="KN821" t="s">
        <v>4034</v>
      </c>
      <c r="KP821" t="s">
        <v>1853</v>
      </c>
    </row>
    <row r="822" spans="1:302" x14ac:dyDescent="0.25">
      <c r="A822" t="s">
        <v>15456</v>
      </c>
      <c r="B822" t="str">
        <f>"801542313173"</f>
        <v>801542313173</v>
      </c>
      <c r="C822" t="s">
        <v>15457</v>
      </c>
      <c r="D822" t="s">
        <v>5513</v>
      </c>
      <c r="E822" t="s">
        <v>2388</v>
      </c>
      <c r="G822" t="str">
        <f>"19"</f>
        <v>19</v>
      </c>
      <c r="H822" t="str">
        <f>"19"</f>
        <v>19</v>
      </c>
      <c r="I822" t="str">
        <f>"19.25"</f>
        <v>19.25</v>
      </c>
      <c r="J822" t="str">
        <f>"23.81"</f>
        <v>23.81</v>
      </c>
      <c r="K822" t="s">
        <v>15458</v>
      </c>
      <c r="L822" t="s">
        <v>15459</v>
      </c>
      <c r="N822" t="s">
        <v>15460</v>
      </c>
      <c r="O822" t="s">
        <v>15461</v>
      </c>
      <c r="P822" t="s">
        <v>7882</v>
      </c>
      <c r="Q822" t="s">
        <v>1970</v>
      </c>
      <c r="T822" t="s">
        <v>373</v>
      </c>
      <c r="U822" t="s">
        <v>373</v>
      </c>
      <c r="V822" t="s">
        <v>15462</v>
      </c>
      <c r="W822" t="s">
        <v>15463</v>
      </c>
      <c r="X822" t="s">
        <v>15464</v>
      </c>
      <c r="Y822" t="s">
        <v>15465</v>
      </c>
      <c r="Z822" t="s">
        <v>15466</v>
      </c>
      <c r="AA822" t="s">
        <v>15467</v>
      </c>
      <c r="AB822" t="s">
        <v>15468</v>
      </c>
      <c r="AC822" t="s">
        <v>15469</v>
      </c>
      <c r="AD822" t="s">
        <v>15470</v>
      </c>
      <c r="AE822" t="s">
        <v>15471</v>
      </c>
      <c r="BA822" t="str">
        <f>"649"</f>
        <v>649</v>
      </c>
      <c r="BB822" t="str">
        <f>"275"</f>
        <v>275</v>
      </c>
      <c r="BC822" t="s">
        <v>388</v>
      </c>
      <c r="BD822" t="str">
        <f t="shared" si="179"/>
        <v>1</v>
      </c>
      <c r="BE822" t="s">
        <v>389</v>
      </c>
      <c r="BF822" t="str">
        <f>"20.08"</f>
        <v>20.08</v>
      </c>
      <c r="BG822" t="str">
        <f>"20.08"</f>
        <v>20.08</v>
      </c>
      <c r="BH822" t="str">
        <f>"21.46"</f>
        <v>21.46</v>
      </c>
      <c r="BI822" t="str">
        <f>"29.76"</f>
        <v>29.76</v>
      </c>
      <c r="BY822" t="str">
        <f>"5.01"</f>
        <v>5.01</v>
      </c>
      <c r="BZ822" t="str">
        <f>"0.142"</f>
        <v>0.142</v>
      </c>
      <c r="CA822" t="s">
        <v>495</v>
      </c>
      <c r="CK822" t="s">
        <v>449</v>
      </c>
      <c r="CL822" t="s">
        <v>3982</v>
      </c>
      <c r="CM822" t="s">
        <v>449</v>
      </c>
      <c r="CN822">
        <v>0</v>
      </c>
      <c r="CO822">
        <v>0</v>
      </c>
      <c r="CP822" t="s">
        <v>398</v>
      </c>
      <c r="CQ822" t="s">
        <v>1152</v>
      </c>
      <c r="CR822" t="s">
        <v>400</v>
      </c>
      <c r="CS822">
        <v>0</v>
      </c>
      <c r="CT822" t="s">
        <v>400</v>
      </c>
      <c r="CU822" t="s">
        <v>2029</v>
      </c>
      <c r="CV822">
        <v>0</v>
      </c>
      <c r="CX822" t="s">
        <v>953</v>
      </c>
      <c r="CY822" t="s">
        <v>400</v>
      </c>
      <c r="CZ822">
        <v>0</v>
      </c>
      <c r="DA822">
        <v>0</v>
      </c>
      <c r="DB822">
        <v>0</v>
      </c>
      <c r="DC822">
        <v>0</v>
      </c>
      <c r="DD822">
        <v>30000</v>
      </c>
      <c r="DE822" t="s">
        <v>570</v>
      </c>
      <c r="DF822" t="s">
        <v>632</v>
      </c>
      <c r="DH822">
        <v>1</v>
      </c>
      <c r="DI822">
        <v>1</v>
      </c>
      <c r="DJ822" t="s">
        <v>471</v>
      </c>
      <c r="DK822" t="s">
        <v>15472</v>
      </c>
      <c r="DL822">
        <v>0</v>
      </c>
      <c r="DM822" t="s">
        <v>538</v>
      </c>
      <c r="DX822" t="s">
        <v>5146</v>
      </c>
      <c r="DY822" t="s">
        <v>607</v>
      </c>
      <c r="DZ822" t="s">
        <v>607</v>
      </c>
    </row>
    <row r="823" spans="1:302" x14ac:dyDescent="0.25">
      <c r="A823" t="s">
        <v>15473</v>
      </c>
      <c r="B823" t="str">
        <f>"801542316839"</f>
        <v>801542316839</v>
      </c>
      <c r="C823" t="s">
        <v>15474</v>
      </c>
      <c r="D823" t="s">
        <v>8652</v>
      </c>
      <c r="E823" t="s">
        <v>4074</v>
      </c>
      <c r="G823" t="str">
        <f>"78"</f>
        <v>78</v>
      </c>
      <c r="H823" t="str">
        <f>"20.5"</f>
        <v>20.5</v>
      </c>
      <c r="I823" t="str">
        <f>"27"</f>
        <v>27</v>
      </c>
      <c r="J823" t="str">
        <f>"96.78"</f>
        <v>96.78</v>
      </c>
      <c r="K823" t="s">
        <v>15475</v>
      </c>
      <c r="N823" t="s">
        <v>372</v>
      </c>
      <c r="T823" t="s">
        <v>373</v>
      </c>
      <c r="U823" t="s">
        <v>373</v>
      </c>
      <c r="V823" t="s">
        <v>15476</v>
      </c>
      <c r="W823" t="s">
        <v>15477</v>
      </c>
      <c r="X823" t="s">
        <v>15478</v>
      </c>
      <c r="Y823" t="s">
        <v>15479</v>
      </c>
      <c r="Z823" t="s">
        <v>15480</v>
      </c>
      <c r="AA823" t="s">
        <v>15481</v>
      </c>
      <c r="AB823" t="s">
        <v>15482</v>
      </c>
      <c r="AC823" t="s">
        <v>15483</v>
      </c>
      <c r="AD823" t="s">
        <v>15484</v>
      </c>
      <c r="AE823" t="s">
        <v>15485</v>
      </c>
      <c r="AF823" t="s">
        <v>15486</v>
      </c>
      <c r="AG823" t="s">
        <v>15487</v>
      </c>
      <c r="AH823" t="s">
        <v>15488</v>
      </c>
      <c r="AI823" t="s">
        <v>15489</v>
      </c>
      <c r="AJ823" t="s">
        <v>15490</v>
      </c>
      <c r="BA823" t="str">
        <f>"1649"</f>
        <v>1649</v>
      </c>
      <c r="BB823" t="str">
        <f>"695"</f>
        <v>695</v>
      </c>
      <c r="BC823" t="s">
        <v>388</v>
      </c>
      <c r="BD823" t="str">
        <f>"2"</f>
        <v>2</v>
      </c>
      <c r="BE823" t="s">
        <v>1089</v>
      </c>
      <c r="BF823" t="str">
        <f>"81.69"</f>
        <v>81.69</v>
      </c>
      <c r="BG823" t="str">
        <f>"5.31"</f>
        <v>5.31</v>
      </c>
      <c r="BH823" t="str">
        <f>"23.43"</f>
        <v>23.43</v>
      </c>
      <c r="BI823" t="str">
        <f>"68.34"</f>
        <v>68.34</v>
      </c>
      <c r="BJ823" t="s">
        <v>1090</v>
      </c>
      <c r="BK823" t="str">
        <f>"22.64"</f>
        <v>22.64</v>
      </c>
      <c r="BL823" t="str">
        <f>"17.91"</f>
        <v>17.91</v>
      </c>
      <c r="BM823" t="str">
        <f>"30.51"</f>
        <v>30.51</v>
      </c>
      <c r="BN823" t="str">
        <f>"46.74"</f>
        <v>46.74</v>
      </c>
      <c r="BY823" t="str">
        <f>"13.07"</f>
        <v>13.07</v>
      </c>
      <c r="BZ823" t="str">
        <f>"0.37"</f>
        <v>0.37</v>
      </c>
      <c r="CA823" t="s">
        <v>495</v>
      </c>
      <c r="CB823" t="s">
        <v>3319</v>
      </c>
      <c r="CC823" t="s">
        <v>3518</v>
      </c>
      <c r="CD823" t="s">
        <v>8319</v>
      </c>
      <c r="CE823" t="s">
        <v>3319</v>
      </c>
      <c r="CF823" t="s">
        <v>396</v>
      </c>
      <c r="CG823" t="s">
        <v>8319</v>
      </c>
      <c r="CR823" t="s">
        <v>400</v>
      </c>
      <c r="CS823">
        <v>0</v>
      </c>
      <c r="CT823" t="s">
        <v>400</v>
      </c>
      <c r="CV823">
        <v>1</v>
      </c>
      <c r="CW823" t="s">
        <v>402</v>
      </c>
      <c r="CX823" t="s">
        <v>953</v>
      </c>
      <c r="CY823" t="s">
        <v>404</v>
      </c>
      <c r="DC823">
        <v>0</v>
      </c>
      <c r="DJ823" t="s">
        <v>408</v>
      </c>
      <c r="DK823" t="s">
        <v>15491</v>
      </c>
      <c r="DM823" t="s">
        <v>669</v>
      </c>
      <c r="DX823" t="s">
        <v>5881</v>
      </c>
      <c r="DY823" t="s">
        <v>979</v>
      </c>
      <c r="DZ823" t="s">
        <v>10377</v>
      </c>
      <c r="EI823" t="s">
        <v>395</v>
      </c>
      <c r="EJ823" t="s">
        <v>577</v>
      </c>
      <c r="EK823" t="s">
        <v>674</v>
      </c>
      <c r="EL823" t="s">
        <v>637</v>
      </c>
      <c r="EM823" t="s">
        <v>402</v>
      </c>
      <c r="EN823">
        <v>1</v>
      </c>
      <c r="EO823">
        <v>0</v>
      </c>
      <c r="EX823" t="s">
        <v>635</v>
      </c>
      <c r="FI823">
        <v>0</v>
      </c>
      <c r="FJ823" t="s">
        <v>1012</v>
      </c>
    </row>
    <row r="824" spans="1:302" x14ac:dyDescent="0.25">
      <c r="A824" t="s">
        <v>15492</v>
      </c>
      <c r="B824" t="str">
        <f>"801542981358"</f>
        <v>801542981358</v>
      </c>
      <c r="C824" t="s">
        <v>15493</v>
      </c>
      <c r="D824" t="s">
        <v>8652</v>
      </c>
      <c r="E824" t="s">
        <v>1077</v>
      </c>
      <c r="G824" t="str">
        <f>"65"</f>
        <v>65</v>
      </c>
      <c r="H824" t="str">
        <f>"35.5"</f>
        <v>35.5</v>
      </c>
      <c r="I824" t="str">
        <f>"16"</f>
        <v>16</v>
      </c>
      <c r="J824" t="str">
        <f>"127.87"</f>
        <v>127.87</v>
      </c>
      <c r="K824" t="s">
        <v>15475</v>
      </c>
      <c r="N824" t="s">
        <v>372</v>
      </c>
      <c r="T824" t="s">
        <v>373</v>
      </c>
      <c r="U824" t="s">
        <v>373</v>
      </c>
      <c r="V824" t="s">
        <v>15476</v>
      </c>
      <c r="W824" t="s">
        <v>15494</v>
      </c>
      <c r="X824" t="s">
        <v>15495</v>
      </c>
      <c r="Y824" t="s">
        <v>15496</v>
      </c>
      <c r="Z824" t="s">
        <v>15497</v>
      </c>
      <c r="AA824" t="s">
        <v>15498</v>
      </c>
      <c r="AB824" t="s">
        <v>15499</v>
      </c>
      <c r="AC824" t="s">
        <v>15500</v>
      </c>
      <c r="AD824" t="s">
        <v>15501</v>
      </c>
      <c r="AE824" t="s">
        <v>15502</v>
      </c>
      <c r="AF824" t="s">
        <v>15503</v>
      </c>
      <c r="AG824" t="s">
        <v>15504</v>
      </c>
      <c r="AH824" t="s">
        <v>15505</v>
      </c>
      <c r="AI824" t="s">
        <v>13350</v>
      </c>
      <c r="BA824" t="str">
        <f>"2199"</f>
        <v>2199</v>
      </c>
      <c r="BB824" t="str">
        <f>"925"</f>
        <v>925</v>
      </c>
      <c r="BC824" t="s">
        <v>388</v>
      </c>
      <c r="BD824" t="str">
        <f t="shared" ref="BD824:BD838" si="180">"1"</f>
        <v>1</v>
      </c>
      <c r="BE824" t="s">
        <v>389</v>
      </c>
      <c r="BF824" t="str">
        <f>"68.11"</f>
        <v>68.11</v>
      </c>
      <c r="BG824" t="str">
        <f>"38.19"</f>
        <v>38.19</v>
      </c>
      <c r="BH824" t="str">
        <f>"20.87"</f>
        <v>20.87</v>
      </c>
      <c r="BI824" t="str">
        <f>"165.35"</f>
        <v>165.35</v>
      </c>
      <c r="BY824" t="str">
        <f>"31.43"</f>
        <v>31.43</v>
      </c>
      <c r="BZ824" t="str">
        <f>"0.89"</f>
        <v>0.89</v>
      </c>
      <c r="CA824" t="s">
        <v>495</v>
      </c>
      <c r="CB824" t="s">
        <v>612</v>
      </c>
      <c r="CC824" t="s">
        <v>1040</v>
      </c>
      <c r="CD824" t="s">
        <v>10812</v>
      </c>
      <c r="CE824" t="s">
        <v>612</v>
      </c>
      <c r="CF824" t="s">
        <v>2263</v>
      </c>
      <c r="CG824" t="s">
        <v>10812</v>
      </c>
      <c r="CR824" t="s">
        <v>400</v>
      </c>
      <c r="CS824">
        <v>0</v>
      </c>
      <c r="CT824" t="s">
        <v>400</v>
      </c>
      <c r="CV824">
        <v>1</v>
      </c>
      <c r="CW824" t="s">
        <v>402</v>
      </c>
      <c r="CX824" t="s">
        <v>953</v>
      </c>
      <c r="CY824" t="s">
        <v>404</v>
      </c>
      <c r="DC824">
        <v>0</v>
      </c>
      <c r="DJ824" t="s">
        <v>408</v>
      </c>
      <c r="DK824" t="s">
        <v>15491</v>
      </c>
      <c r="DM824" t="s">
        <v>473</v>
      </c>
      <c r="DX824" t="s">
        <v>1852</v>
      </c>
      <c r="DY824" t="s">
        <v>1853</v>
      </c>
      <c r="DZ824" t="s">
        <v>2141</v>
      </c>
      <c r="EI824" t="s">
        <v>1490</v>
      </c>
      <c r="EJ824" t="s">
        <v>950</v>
      </c>
      <c r="EK824" t="s">
        <v>827</v>
      </c>
      <c r="EL824" t="s">
        <v>637</v>
      </c>
      <c r="EM824" t="s">
        <v>402</v>
      </c>
      <c r="EN824">
        <v>1</v>
      </c>
      <c r="EO824">
        <v>0</v>
      </c>
      <c r="EX824" t="s">
        <v>635</v>
      </c>
    </row>
    <row r="825" spans="1:302" x14ac:dyDescent="0.25">
      <c r="A825" t="s">
        <v>15506</v>
      </c>
      <c r="B825" t="str">
        <f>"801542332655"</f>
        <v>801542332655</v>
      </c>
      <c r="C825" t="s">
        <v>15507</v>
      </c>
      <c r="D825" t="s">
        <v>1276</v>
      </c>
      <c r="E825" t="s">
        <v>1021</v>
      </c>
      <c r="G825" t="str">
        <f>"84"</f>
        <v>84</v>
      </c>
      <c r="H825" t="str">
        <f>"19"</f>
        <v>19</v>
      </c>
      <c r="I825" t="str">
        <f>"26"</f>
        <v>26</v>
      </c>
      <c r="J825" t="str">
        <f>"194"</f>
        <v>194</v>
      </c>
      <c r="K825" t="s">
        <v>13090</v>
      </c>
      <c r="N825" t="s">
        <v>1463</v>
      </c>
      <c r="O825" t="s">
        <v>372</v>
      </c>
      <c r="T825" t="s">
        <v>373</v>
      </c>
      <c r="U825" t="s">
        <v>373</v>
      </c>
      <c r="V825" t="s">
        <v>15508</v>
      </c>
      <c r="W825" t="s">
        <v>15509</v>
      </c>
      <c r="X825" t="s">
        <v>15510</v>
      </c>
      <c r="Y825" t="s">
        <v>15511</v>
      </c>
      <c r="Z825" t="s">
        <v>15512</v>
      </c>
      <c r="AA825" t="s">
        <v>15513</v>
      </c>
      <c r="AB825" t="s">
        <v>15514</v>
      </c>
      <c r="AC825" t="s">
        <v>15515</v>
      </c>
      <c r="AD825" t="s">
        <v>15516</v>
      </c>
      <c r="AE825" t="s">
        <v>15517</v>
      </c>
      <c r="AF825" t="s">
        <v>15518</v>
      </c>
      <c r="AG825" t="s">
        <v>15519</v>
      </c>
      <c r="AH825" t="s">
        <v>15520</v>
      </c>
      <c r="AI825" t="s">
        <v>15521</v>
      </c>
      <c r="AJ825" t="s">
        <v>15522</v>
      </c>
      <c r="BA825" t="str">
        <f>"1899"</f>
        <v>1899</v>
      </c>
      <c r="BB825" t="str">
        <f>"800"</f>
        <v>800</v>
      </c>
      <c r="BC825" t="s">
        <v>665</v>
      </c>
      <c r="BD825" t="str">
        <f t="shared" si="180"/>
        <v>1</v>
      </c>
      <c r="BE825" t="s">
        <v>15523</v>
      </c>
      <c r="BF825" t="str">
        <f>"88.19"</f>
        <v>88.19</v>
      </c>
      <c r="BG825" t="str">
        <f>"22.83"</f>
        <v>22.83</v>
      </c>
      <c r="BH825" t="str">
        <f>"33.27"</f>
        <v>33.27</v>
      </c>
      <c r="BI825" t="str">
        <f>"248.02"</f>
        <v>248.02</v>
      </c>
      <c r="BY825" t="str">
        <f>"38.78"</f>
        <v>38.78</v>
      </c>
      <c r="BZ825" t="str">
        <f>"1.098"</f>
        <v>1.098</v>
      </c>
      <c r="CA825" t="s">
        <v>431</v>
      </c>
      <c r="CE825" t="s">
        <v>9338</v>
      </c>
      <c r="CF825" t="s">
        <v>4609</v>
      </c>
      <c r="CG825" t="s">
        <v>15524</v>
      </c>
      <c r="CR825" t="s">
        <v>400</v>
      </c>
      <c r="CS825">
        <v>0</v>
      </c>
      <c r="CT825" t="s">
        <v>400</v>
      </c>
      <c r="CV825">
        <v>0</v>
      </c>
      <c r="CX825" t="s">
        <v>1980</v>
      </c>
      <c r="CY825" t="s">
        <v>954</v>
      </c>
      <c r="DA825">
        <v>18.14</v>
      </c>
      <c r="DB825">
        <v>40</v>
      </c>
      <c r="DC825">
        <v>2</v>
      </c>
      <c r="DK825" t="s">
        <v>15525</v>
      </c>
      <c r="DX825" t="s">
        <v>1290</v>
      </c>
      <c r="EM825" t="s">
        <v>402</v>
      </c>
      <c r="EN825">
        <v>2</v>
      </c>
      <c r="EZ825" t="s">
        <v>2600</v>
      </c>
      <c r="FA825" t="s">
        <v>956</v>
      </c>
      <c r="FB825" t="s">
        <v>15526</v>
      </c>
      <c r="FC825" t="s">
        <v>9338</v>
      </c>
      <c r="FD825" t="s">
        <v>956</v>
      </c>
      <c r="FE825" t="s">
        <v>15524</v>
      </c>
      <c r="FG825" t="s">
        <v>402</v>
      </c>
      <c r="FH825" t="s">
        <v>1245</v>
      </c>
      <c r="FI825">
        <v>4</v>
      </c>
      <c r="FJ825" t="s">
        <v>960</v>
      </c>
      <c r="FK825" t="s">
        <v>1246</v>
      </c>
      <c r="FM825" t="s">
        <v>402</v>
      </c>
      <c r="FO825" t="s">
        <v>984</v>
      </c>
      <c r="GE825">
        <v>0</v>
      </c>
      <c r="GX825" t="s">
        <v>392</v>
      </c>
      <c r="HI825" t="s">
        <v>402</v>
      </c>
    </row>
    <row r="826" spans="1:302" x14ac:dyDescent="0.25">
      <c r="A826" t="s">
        <v>15527</v>
      </c>
      <c r="B826" t="str">
        <f>"801542993085"</f>
        <v>801542993085</v>
      </c>
      <c r="C826" t="s">
        <v>15528</v>
      </c>
      <c r="D826" t="s">
        <v>1076</v>
      </c>
      <c r="E826" t="s">
        <v>988</v>
      </c>
      <c r="G826" t="str">
        <f>"85"</f>
        <v>85</v>
      </c>
      <c r="H826" t="str">
        <f>"22"</f>
        <v>22</v>
      </c>
      <c r="I826" t="str">
        <f>"33"</f>
        <v>33</v>
      </c>
      <c r="J826" t="str">
        <f>"280.93"</f>
        <v>280.93</v>
      </c>
      <c r="K826" t="s">
        <v>13052</v>
      </c>
      <c r="N826" t="s">
        <v>1970</v>
      </c>
      <c r="O826" t="s">
        <v>372</v>
      </c>
      <c r="T826" t="s">
        <v>373</v>
      </c>
      <c r="U826" t="s">
        <v>373</v>
      </c>
      <c r="V826" t="s">
        <v>15529</v>
      </c>
      <c r="W826" t="s">
        <v>15530</v>
      </c>
      <c r="X826" t="s">
        <v>15531</v>
      </c>
      <c r="Y826" t="s">
        <v>15532</v>
      </c>
      <c r="Z826" t="s">
        <v>15533</v>
      </c>
      <c r="AA826" t="s">
        <v>15534</v>
      </c>
      <c r="AB826" t="s">
        <v>15535</v>
      </c>
      <c r="AC826" t="s">
        <v>15536</v>
      </c>
      <c r="AD826" t="s">
        <v>15537</v>
      </c>
      <c r="AE826" t="s">
        <v>15538</v>
      </c>
      <c r="AF826" t="s">
        <v>15539</v>
      </c>
      <c r="AG826" t="s">
        <v>15540</v>
      </c>
      <c r="AH826" t="s">
        <v>15541</v>
      </c>
      <c r="AI826" t="s">
        <v>15542</v>
      </c>
      <c r="AJ826" t="s">
        <v>15543</v>
      </c>
      <c r="AK826" t="s">
        <v>15544</v>
      </c>
      <c r="BA826" t="str">
        <f>"3199"</f>
        <v>3199</v>
      </c>
      <c r="BB826" t="str">
        <f>"1345"</f>
        <v>1345</v>
      </c>
      <c r="BC826" t="s">
        <v>949</v>
      </c>
      <c r="BD826" t="str">
        <f t="shared" si="180"/>
        <v>1</v>
      </c>
      <c r="BE826" t="s">
        <v>389</v>
      </c>
      <c r="BF826" t="str">
        <f>"89"</f>
        <v>89</v>
      </c>
      <c r="BG826" t="str">
        <f>"26"</f>
        <v>26</v>
      </c>
      <c r="BH826" t="str">
        <f>"37"</f>
        <v>37</v>
      </c>
      <c r="BI826" t="str">
        <f>"335.1"</f>
        <v>335.1</v>
      </c>
      <c r="BY826" t="str">
        <f>"49.55"</f>
        <v>49.55</v>
      </c>
      <c r="BZ826" t="str">
        <f>"1.403"</f>
        <v>1.403</v>
      </c>
      <c r="CA826" t="s">
        <v>495</v>
      </c>
      <c r="CR826" t="s">
        <v>1007</v>
      </c>
      <c r="CS826">
        <v>10</v>
      </c>
      <c r="CT826" t="s">
        <v>1344</v>
      </c>
      <c r="CV826">
        <v>0</v>
      </c>
      <c r="CX826" t="s">
        <v>4903</v>
      </c>
      <c r="CY826" t="s">
        <v>1009</v>
      </c>
      <c r="DC826">
        <v>0</v>
      </c>
      <c r="DJ826" t="s">
        <v>1010</v>
      </c>
      <c r="DK826" t="s">
        <v>13070</v>
      </c>
      <c r="DM826" t="s">
        <v>669</v>
      </c>
      <c r="DX826" t="s">
        <v>1156</v>
      </c>
      <c r="DY826" t="s">
        <v>2908</v>
      </c>
      <c r="DZ826" t="s">
        <v>7739</v>
      </c>
      <c r="EI826" t="s">
        <v>1852</v>
      </c>
      <c r="EJ826" t="s">
        <v>860</v>
      </c>
      <c r="EK826" t="s">
        <v>1852</v>
      </c>
      <c r="EL826" t="s">
        <v>6662</v>
      </c>
      <c r="EM826" t="s">
        <v>402</v>
      </c>
      <c r="EN826">
        <v>0</v>
      </c>
      <c r="EX826" t="s">
        <v>450</v>
      </c>
      <c r="FI826">
        <v>0</v>
      </c>
      <c r="FJ826" t="s">
        <v>1012</v>
      </c>
      <c r="FR826" t="s">
        <v>2696</v>
      </c>
      <c r="FS826" t="s">
        <v>2696</v>
      </c>
      <c r="FT826" t="s">
        <v>3025</v>
      </c>
      <c r="FU826" t="s">
        <v>3025</v>
      </c>
      <c r="FV826" t="s">
        <v>4976</v>
      </c>
      <c r="FW826" t="s">
        <v>444</v>
      </c>
      <c r="FX826" t="s">
        <v>1017</v>
      </c>
      <c r="FZ826" t="s">
        <v>953</v>
      </c>
      <c r="GA826" t="s">
        <v>402</v>
      </c>
    </row>
    <row r="827" spans="1:302" x14ac:dyDescent="0.25">
      <c r="A827" t="s">
        <v>15545</v>
      </c>
      <c r="B827" t="str">
        <f>"801542316747"</f>
        <v>801542316747</v>
      </c>
      <c r="C827" t="s">
        <v>15546</v>
      </c>
      <c r="D827" t="s">
        <v>1276</v>
      </c>
      <c r="E827" t="s">
        <v>988</v>
      </c>
      <c r="G827" t="str">
        <f>"72"</f>
        <v>72</v>
      </c>
      <c r="H827" t="str">
        <f>"21"</f>
        <v>21</v>
      </c>
      <c r="I827" t="str">
        <f>"38.75"</f>
        <v>38.75</v>
      </c>
      <c r="J827" t="str">
        <f>"281.089"</f>
        <v>281.089</v>
      </c>
      <c r="K827" t="s">
        <v>10864</v>
      </c>
      <c r="N827" t="s">
        <v>1970</v>
      </c>
      <c r="O827" t="s">
        <v>372</v>
      </c>
      <c r="T827" t="s">
        <v>373</v>
      </c>
      <c r="U827" t="s">
        <v>373</v>
      </c>
      <c r="V827" t="s">
        <v>15547</v>
      </c>
      <c r="W827" t="s">
        <v>15548</v>
      </c>
      <c r="X827" t="s">
        <v>15549</v>
      </c>
      <c r="Y827" t="s">
        <v>15550</v>
      </c>
      <c r="Z827" t="s">
        <v>15551</v>
      </c>
      <c r="AA827" t="s">
        <v>15552</v>
      </c>
      <c r="AB827" t="s">
        <v>15553</v>
      </c>
      <c r="AC827" t="s">
        <v>15554</v>
      </c>
      <c r="AD827" t="s">
        <v>15555</v>
      </c>
      <c r="AE827" t="s">
        <v>15556</v>
      </c>
      <c r="AF827" t="s">
        <v>15557</v>
      </c>
      <c r="AG827" t="s">
        <v>15558</v>
      </c>
      <c r="AH827" t="s">
        <v>15559</v>
      </c>
      <c r="AI827" t="s">
        <v>15560</v>
      </c>
      <c r="AJ827" t="s">
        <v>15561</v>
      </c>
      <c r="AK827" t="s">
        <v>15562</v>
      </c>
      <c r="AL827" t="s">
        <v>15563</v>
      </c>
      <c r="BA827" t="str">
        <f>"2599"</f>
        <v>2599</v>
      </c>
      <c r="BB827" t="str">
        <f>"1095"</f>
        <v>1095</v>
      </c>
      <c r="BC827" t="s">
        <v>665</v>
      </c>
      <c r="BD827" t="str">
        <f t="shared" si="180"/>
        <v>1</v>
      </c>
      <c r="BE827" t="s">
        <v>15564</v>
      </c>
      <c r="BF827" t="str">
        <f>"76.18"</f>
        <v>76.18</v>
      </c>
      <c r="BG827" t="str">
        <f>"25"</f>
        <v>25</v>
      </c>
      <c r="BH827" t="str">
        <f>"51.77"</f>
        <v>51.77</v>
      </c>
      <c r="BI827" t="str">
        <f>"358.25"</f>
        <v>358.25</v>
      </c>
      <c r="BY827" t="str">
        <f>"57.07"</f>
        <v>57.07</v>
      </c>
      <c r="BZ827" t="str">
        <f>"1.616"</f>
        <v>1.616</v>
      </c>
      <c r="CA827" t="s">
        <v>431</v>
      </c>
      <c r="CR827" t="s">
        <v>400</v>
      </c>
      <c r="CS827">
        <v>7</v>
      </c>
      <c r="CT827" t="s">
        <v>400</v>
      </c>
      <c r="CV827">
        <v>0</v>
      </c>
      <c r="CX827" t="s">
        <v>1980</v>
      </c>
      <c r="CY827" t="s">
        <v>1009</v>
      </c>
      <c r="DC827">
        <v>0</v>
      </c>
      <c r="DJ827" t="s">
        <v>1010</v>
      </c>
      <c r="DK827" t="s">
        <v>15565</v>
      </c>
      <c r="DM827" t="s">
        <v>669</v>
      </c>
      <c r="DX827" t="s">
        <v>446</v>
      </c>
      <c r="EM827" t="s">
        <v>402</v>
      </c>
      <c r="EN827">
        <v>0</v>
      </c>
      <c r="FI827">
        <v>0</v>
      </c>
      <c r="FJ827" t="s">
        <v>1012</v>
      </c>
      <c r="FR827" t="s">
        <v>10030</v>
      </c>
      <c r="FS827" t="s">
        <v>10030</v>
      </c>
      <c r="FT827" t="s">
        <v>8232</v>
      </c>
      <c r="FU827" t="s">
        <v>8376</v>
      </c>
      <c r="FV827" t="s">
        <v>568</v>
      </c>
      <c r="FW827" t="s">
        <v>15566</v>
      </c>
    </row>
    <row r="828" spans="1:302" x14ac:dyDescent="0.25">
      <c r="A828" t="s">
        <v>15567</v>
      </c>
      <c r="B828" t="str">
        <f>"801542316754"</f>
        <v>801542316754</v>
      </c>
      <c r="C828" t="s">
        <v>15568</v>
      </c>
      <c r="D828" t="s">
        <v>1276</v>
      </c>
      <c r="E828" t="s">
        <v>1043</v>
      </c>
      <c r="G828" t="str">
        <f>"36"</f>
        <v>36</v>
      </c>
      <c r="H828" t="str">
        <f>"21"</f>
        <v>21</v>
      </c>
      <c r="I828" t="str">
        <f>"26.5"</f>
        <v>26.5</v>
      </c>
      <c r="J828" t="str">
        <f>"111.33"</f>
        <v>111.33</v>
      </c>
      <c r="K828" t="s">
        <v>15569</v>
      </c>
      <c r="L828" t="s">
        <v>10864</v>
      </c>
      <c r="N828" t="s">
        <v>372</v>
      </c>
      <c r="O828" t="s">
        <v>1970</v>
      </c>
      <c r="T828" t="s">
        <v>373</v>
      </c>
      <c r="U828" t="s">
        <v>373</v>
      </c>
      <c r="V828" t="s">
        <v>15570</v>
      </c>
      <c r="W828" t="s">
        <v>15571</v>
      </c>
      <c r="X828" t="s">
        <v>15572</v>
      </c>
      <c r="Y828" t="s">
        <v>15573</v>
      </c>
      <c r="Z828" t="s">
        <v>15574</v>
      </c>
      <c r="AA828" t="s">
        <v>15575</v>
      </c>
      <c r="AB828" t="s">
        <v>15576</v>
      </c>
      <c r="AC828" t="s">
        <v>15577</v>
      </c>
      <c r="AD828" t="s">
        <v>15578</v>
      </c>
      <c r="AE828" t="s">
        <v>15579</v>
      </c>
      <c r="AF828" t="s">
        <v>15580</v>
      </c>
      <c r="AG828" t="s">
        <v>15581</v>
      </c>
      <c r="AH828" t="s">
        <v>15582</v>
      </c>
      <c r="AI828" t="s">
        <v>15583</v>
      </c>
      <c r="AJ828" t="s">
        <v>15584</v>
      </c>
      <c r="AK828" t="s">
        <v>15585</v>
      </c>
      <c r="AL828" t="s">
        <v>15586</v>
      </c>
      <c r="AM828" t="s">
        <v>15587</v>
      </c>
      <c r="AN828" t="s">
        <v>15588</v>
      </c>
      <c r="BA828" t="str">
        <f>"1049"</f>
        <v>1049</v>
      </c>
      <c r="BB828" t="str">
        <f>"445"</f>
        <v>445</v>
      </c>
      <c r="BC828" t="s">
        <v>665</v>
      </c>
      <c r="BD828" t="str">
        <f t="shared" si="180"/>
        <v>1</v>
      </c>
      <c r="BE828" t="s">
        <v>15589</v>
      </c>
      <c r="BF828" t="str">
        <f>"39.96"</f>
        <v>39.96</v>
      </c>
      <c r="BG828" t="str">
        <f>"24.8"</f>
        <v>24.8</v>
      </c>
      <c r="BH828" t="str">
        <f>"32.09"</f>
        <v>32.09</v>
      </c>
      <c r="BI828" t="str">
        <f>"143.3"</f>
        <v>143.3</v>
      </c>
      <c r="BY828" t="str">
        <f>"18.4"</f>
        <v>18.4</v>
      </c>
      <c r="BZ828" t="str">
        <f>"0.521"</f>
        <v>0.521</v>
      </c>
      <c r="CA828" t="s">
        <v>495</v>
      </c>
      <c r="CR828" t="s">
        <v>5068</v>
      </c>
      <c r="CS828">
        <v>2</v>
      </c>
      <c r="CT828" t="s">
        <v>400</v>
      </c>
      <c r="CV828">
        <v>0</v>
      </c>
      <c r="CX828" t="s">
        <v>1980</v>
      </c>
      <c r="CY828" t="s">
        <v>1009</v>
      </c>
      <c r="DC828">
        <v>0</v>
      </c>
      <c r="DJ828" t="s">
        <v>408</v>
      </c>
      <c r="DK828" t="s">
        <v>15565</v>
      </c>
      <c r="DM828" t="s">
        <v>473</v>
      </c>
      <c r="DX828" t="s">
        <v>446</v>
      </c>
      <c r="EM828" t="s">
        <v>402</v>
      </c>
      <c r="EN828">
        <v>0</v>
      </c>
      <c r="FI828">
        <v>0</v>
      </c>
      <c r="FJ828" t="s">
        <v>1012</v>
      </c>
      <c r="FP828" t="s">
        <v>402</v>
      </c>
      <c r="FR828" t="s">
        <v>10030</v>
      </c>
      <c r="FT828" t="s">
        <v>15590</v>
      </c>
      <c r="FV828" t="s">
        <v>15591</v>
      </c>
      <c r="FX828" t="s">
        <v>1017</v>
      </c>
    </row>
    <row r="829" spans="1:302" x14ac:dyDescent="0.25">
      <c r="A829" t="s">
        <v>15592</v>
      </c>
      <c r="B829" t="str">
        <f>"801542313227"</f>
        <v>801542313227</v>
      </c>
      <c r="C829" t="s">
        <v>15593</v>
      </c>
      <c r="D829" t="s">
        <v>1276</v>
      </c>
      <c r="E829" t="s">
        <v>1043</v>
      </c>
      <c r="G829" t="str">
        <f>"34"</f>
        <v>34</v>
      </c>
      <c r="H829" t="str">
        <f>"19.5"</f>
        <v>19.5</v>
      </c>
      <c r="I829" t="str">
        <f>"24.75"</f>
        <v>24.75</v>
      </c>
      <c r="J829" t="str">
        <f>"108.027"</f>
        <v>108.027</v>
      </c>
      <c r="K829" t="s">
        <v>15308</v>
      </c>
      <c r="N829" t="s">
        <v>1463</v>
      </c>
      <c r="O829" t="s">
        <v>372</v>
      </c>
      <c r="T829" t="s">
        <v>373</v>
      </c>
      <c r="U829" t="s">
        <v>373</v>
      </c>
      <c r="V829" t="s">
        <v>15594</v>
      </c>
      <c r="W829" t="s">
        <v>15595</v>
      </c>
      <c r="X829" t="s">
        <v>15596</v>
      </c>
      <c r="Y829" t="s">
        <v>15597</v>
      </c>
      <c r="Z829" t="s">
        <v>15598</v>
      </c>
      <c r="AA829" t="s">
        <v>15599</v>
      </c>
      <c r="AB829" t="s">
        <v>15600</v>
      </c>
      <c r="AC829" t="s">
        <v>15601</v>
      </c>
      <c r="AD829" t="s">
        <v>15602</v>
      </c>
      <c r="AE829" t="s">
        <v>15603</v>
      </c>
      <c r="AF829" t="s">
        <v>15604</v>
      </c>
      <c r="AG829" t="s">
        <v>15605</v>
      </c>
      <c r="AH829" t="s">
        <v>15606</v>
      </c>
      <c r="AI829" t="s">
        <v>15607</v>
      </c>
      <c r="AJ829" t="s">
        <v>15608</v>
      </c>
      <c r="AK829" t="s">
        <v>15609</v>
      </c>
      <c r="AL829" t="s">
        <v>15610</v>
      </c>
      <c r="BA829" t="str">
        <f>"1049"</f>
        <v>1049</v>
      </c>
      <c r="BB829" t="str">
        <f>"445"</f>
        <v>445</v>
      </c>
      <c r="BC829" t="s">
        <v>665</v>
      </c>
      <c r="BD829" t="str">
        <f t="shared" si="180"/>
        <v>1</v>
      </c>
      <c r="BE829" t="s">
        <v>15611</v>
      </c>
      <c r="BF829" t="str">
        <f>"37.99"</f>
        <v>37.99</v>
      </c>
      <c r="BG829" t="str">
        <f>"23.62"</f>
        <v>23.62</v>
      </c>
      <c r="BH829" t="str">
        <f>"31.89"</f>
        <v>31.89</v>
      </c>
      <c r="BI829" t="str">
        <f>"136.69"</f>
        <v>136.69</v>
      </c>
      <c r="BY829" t="str">
        <f>"16.56"</f>
        <v>16.56</v>
      </c>
      <c r="BZ829" t="str">
        <f>"0.469"</f>
        <v>0.469</v>
      </c>
      <c r="CA829" t="s">
        <v>495</v>
      </c>
      <c r="CR829" t="s">
        <v>5068</v>
      </c>
      <c r="CS829">
        <v>2</v>
      </c>
      <c r="CT829" t="s">
        <v>400</v>
      </c>
      <c r="CV829">
        <v>0</v>
      </c>
      <c r="CX829" t="s">
        <v>1980</v>
      </c>
      <c r="CY829" t="s">
        <v>1009</v>
      </c>
      <c r="DC829">
        <v>0</v>
      </c>
      <c r="DJ829" t="s">
        <v>408</v>
      </c>
      <c r="DK829" t="s">
        <v>15324</v>
      </c>
      <c r="DM829" t="s">
        <v>473</v>
      </c>
      <c r="DX829" t="s">
        <v>1359</v>
      </c>
      <c r="EM829" t="s">
        <v>402</v>
      </c>
      <c r="EN829">
        <v>0</v>
      </c>
      <c r="FI829">
        <v>0</v>
      </c>
      <c r="FJ829" t="s">
        <v>1012</v>
      </c>
      <c r="FR829" t="s">
        <v>979</v>
      </c>
      <c r="FT829" t="s">
        <v>1341</v>
      </c>
      <c r="FV829" t="s">
        <v>15612</v>
      </c>
      <c r="FX829" t="s">
        <v>4210</v>
      </c>
    </row>
    <row r="830" spans="1:302" x14ac:dyDescent="0.25">
      <c r="A830" t="s">
        <v>15613</v>
      </c>
      <c r="B830" t="str">
        <f>"801542978631"</f>
        <v>801542978631</v>
      </c>
      <c r="C830" t="s">
        <v>15614</v>
      </c>
      <c r="D830" t="s">
        <v>1276</v>
      </c>
      <c r="E830" t="s">
        <v>1043</v>
      </c>
      <c r="G830" t="str">
        <f>"34"</f>
        <v>34</v>
      </c>
      <c r="H830" t="str">
        <f>"19.5"</f>
        <v>19.5</v>
      </c>
      <c r="I830" t="str">
        <f>"24.75"</f>
        <v>24.75</v>
      </c>
      <c r="J830" t="str">
        <f>"108.027"</f>
        <v>108.027</v>
      </c>
      <c r="K830" t="s">
        <v>15328</v>
      </c>
      <c r="L830" t="s">
        <v>1462</v>
      </c>
      <c r="N830" t="s">
        <v>1324</v>
      </c>
      <c r="O830" t="s">
        <v>372</v>
      </c>
      <c r="T830" t="s">
        <v>373</v>
      </c>
      <c r="U830" t="s">
        <v>373</v>
      </c>
      <c r="V830" t="s">
        <v>15615</v>
      </c>
      <c r="W830" t="s">
        <v>15616</v>
      </c>
      <c r="X830" t="s">
        <v>15617</v>
      </c>
      <c r="Y830" t="s">
        <v>15618</v>
      </c>
      <c r="Z830" t="s">
        <v>15619</v>
      </c>
      <c r="AA830" t="s">
        <v>15620</v>
      </c>
      <c r="AB830" t="s">
        <v>15621</v>
      </c>
      <c r="AC830" t="s">
        <v>15622</v>
      </c>
      <c r="AD830" t="s">
        <v>15623</v>
      </c>
      <c r="AE830" t="s">
        <v>15624</v>
      </c>
      <c r="AF830" t="s">
        <v>15625</v>
      </c>
      <c r="AG830" t="s">
        <v>15626</v>
      </c>
      <c r="AH830" t="s">
        <v>15627</v>
      </c>
      <c r="BA830" t="str">
        <f>"1049"</f>
        <v>1049</v>
      </c>
      <c r="BB830" t="str">
        <f>"445"</f>
        <v>445</v>
      </c>
      <c r="BC830" t="s">
        <v>665</v>
      </c>
      <c r="BD830" t="str">
        <f t="shared" si="180"/>
        <v>1</v>
      </c>
      <c r="BE830" t="s">
        <v>15611</v>
      </c>
      <c r="BF830" t="str">
        <f>"37.99"</f>
        <v>37.99</v>
      </c>
      <c r="BG830" t="str">
        <f>"23.62"</f>
        <v>23.62</v>
      </c>
      <c r="BH830" t="str">
        <f>"31.89"</f>
        <v>31.89</v>
      </c>
      <c r="BI830" t="str">
        <f>"136.69"</f>
        <v>136.69</v>
      </c>
      <c r="BY830" t="str">
        <f>"16.56"</f>
        <v>16.56</v>
      </c>
      <c r="BZ830" t="str">
        <f>"0.469"</f>
        <v>0.469</v>
      </c>
      <c r="CA830" t="s">
        <v>495</v>
      </c>
      <c r="CR830" t="s">
        <v>5068</v>
      </c>
      <c r="CS830">
        <v>2</v>
      </c>
      <c r="CT830" t="s">
        <v>400</v>
      </c>
      <c r="CV830">
        <v>0</v>
      </c>
      <c r="CX830" t="s">
        <v>1980</v>
      </c>
      <c r="CY830" t="s">
        <v>1009</v>
      </c>
      <c r="DC830">
        <v>0</v>
      </c>
      <c r="DJ830" t="s">
        <v>408</v>
      </c>
      <c r="DK830" t="s">
        <v>15324</v>
      </c>
      <c r="DM830" t="s">
        <v>473</v>
      </c>
      <c r="DX830" t="s">
        <v>1359</v>
      </c>
      <c r="EM830" t="s">
        <v>402</v>
      </c>
      <c r="EN830">
        <v>0</v>
      </c>
      <c r="FI830">
        <v>0</v>
      </c>
      <c r="FJ830" t="s">
        <v>1012</v>
      </c>
      <c r="FR830" t="s">
        <v>979</v>
      </c>
      <c r="FT830" t="s">
        <v>1341</v>
      </c>
      <c r="FV830" t="s">
        <v>15612</v>
      </c>
      <c r="FX830" t="s">
        <v>4210</v>
      </c>
    </row>
    <row r="831" spans="1:302" x14ac:dyDescent="0.25">
      <c r="A831" t="s">
        <v>15628</v>
      </c>
      <c r="B831" t="str">
        <f>"801542313135"</f>
        <v>801542313135</v>
      </c>
      <c r="C831" t="s">
        <v>15629</v>
      </c>
      <c r="D831" t="s">
        <v>2267</v>
      </c>
      <c r="E831" t="s">
        <v>515</v>
      </c>
      <c r="F831" t="s">
        <v>516</v>
      </c>
      <c r="G831" t="str">
        <f>"24.5"</f>
        <v>24.5</v>
      </c>
      <c r="H831" t="str">
        <f>"30"</f>
        <v>30</v>
      </c>
      <c r="I831" t="str">
        <f>"29"</f>
        <v>29</v>
      </c>
      <c r="J831" t="str">
        <f>"34.39"</f>
        <v>34.39</v>
      </c>
      <c r="K831" t="s">
        <v>8402</v>
      </c>
      <c r="L831" t="s">
        <v>15630</v>
      </c>
      <c r="N831" t="s">
        <v>416</v>
      </c>
      <c r="O831" t="s">
        <v>775</v>
      </c>
      <c r="T831" t="s">
        <v>373</v>
      </c>
      <c r="U831" t="s">
        <v>373</v>
      </c>
      <c r="V831" t="s">
        <v>15631</v>
      </c>
      <c r="W831" t="s">
        <v>15632</v>
      </c>
      <c r="X831" t="s">
        <v>15633</v>
      </c>
      <c r="Y831" t="s">
        <v>15634</v>
      </c>
      <c r="Z831" t="s">
        <v>15635</v>
      </c>
      <c r="AA831" t="s">
        <v>15636</v>
      </c>
      <c r="AB831" t="s">
        <v>15637</v>
      </c>
      <c r="AC831" t="s">
        <v>15638</v>
      </c>
      <c r="AD831" t="s">
        <v>15639</v>
      </c>
      <c r="AE831" t="s">
        <v>15640</v>
      </c>
      <c r="AF831" t="s">
        <v>15641</v>
      </c>
      <c r="AG831" t="s">
        <v>15642</v>
      </c>
      <c r="AH831" t="s">
        <v>15643</v>
      </c>
      <c r="AI831" t="s">
        <v>15644</v>
      </c>
      <c r="AJ831" t="s">
        <v>15645</v>
      </c>
      <c r="AK831" t="s">
        <v>15646</v>
      </c>
      <c r="AL831" t="s">
        <v>15647</v>
      </c>
      <c r="BA831" t="str">
        <f>"849"</f>
        <v>849</v>
      </c>
      <c r="BB831" t="str">
        <f>"360"</f>
        <v>360</v>
      </c>
      <c r="BC831" t="s">
        <v>665</v>
      </c>
      <c r="BD831" t="str">
        <f t="shared" si="180"/>
        <v>1</v>
      </c>
      <c r="BE831" t="s">
        <v>766</v>
      </c>
      <c r="BF831" t="str">
        <f>"27.56"</f>
        <v>27.56</v>
      </c>
      <c r="BG831" t="str">
        <f>"32.68"</f>
        <v>32.68</v>
      </c>
      <c r="BH831" t="str">
        <f>"33.46"</f>
        <v>33.46</v>
      </c>
      <c r="BI831" t="str">
        <f>"48.5"</f>
        <v>48.5</v>
      </c>
      <c r="BY831" t="str">
        <f>"14.41"</f>
        <v>14.41</v>
      </c>
      <c r="BZ831" t="str">
        <f>"0.408"</f>
        <v>0.408</v>
      </c>
      <c r="CA831" t="s">
        <v>390</v>
      </c>
      <c r="CK831" t="s">
        <v>15648</v>
      </c>
      <c r="CL831" t="s">
        <v>5526</v>
      </c>
      <c r="CN831">
        <v>0</v>
      </c>
      <c r="CO831">
        <v>0</v>
      </c>
      <c r="CP831" t="s">
        <v>398</v>
      </c>
      <c r="CQ831" t="s">
        <v>438</v>
      </c>
      <c r="CX831" t="s">
        <v>403</v>
      </c>
      <c r="CY831" t="s">
        <v>400</v>
      </c>
      <c r="CZ831">
        <v>0</v>
      </c>
      <c r="DD831">
        <v>0</v>
      </c>
      <c r="DE831" t="s">
        <v>439</v>
      </c>
      <c r="DF831" t="s">
        <v>632</v>
      </c>
      <c r="DG831" t="s">
        <v>407</v>
      </c>
      <c r="DH831">
        <v>1</v>
      </c>
      <c r="DI831">
        <v>1</v>
      </c>
      <c r="DK831" t="s">
        <v>15649</v>
      </c>
      <c r="DL831">
        <v>0</v>
      </c>
      <c r="DM831" t="s">
        <v>538</v>
      </c>
      <c r="DX831" t="s">
        <v>951</v>
      </c>
      <c r="DY831" t="s">
        <v>15650</v>
      </c>
      <c r="DZ831" t="s">
        <v>1291</v>
      </c>
      <c r="EA831" t="s">
        <v>15651</v>
      </c>
      <c r="EG831" t="s">
        <v>1513</v>
      </c>
      <c r="EM831" t="s">
        <v>402</v>
      </c>
      <c r="EP831" t="s">
        <v>602</v>
      </c>
      <c r="EQ831" t="s">
        <v>1291</v>
      </c>
      <c r="ER831">
        <v>0</v>
      </c>
      <c r="ES831">
        <v>0</v>
      </c>
      <c r="EU831">
        <v>0</v>
      </c>
    </row>
    <row r="832" spans="1:302" x14ac:dyDescent="0.25">
      <c r="A832" t="s">
        <v>15652</v>
      </c>
      <c r="B832" t="str">
        <f>"801542307516"</f>
        <v>801542307516</v>
      </c>
      <c r="C832" t="s">
        <v>15653</v>
      </c>
      <c r="D832" t="s">
        <v>15654</v>
      </c>
      <c r="E832" t="s">
        <v>647</v>
      </c>
      <c r="F832" t="s">
        <v>648</v>
      </c>
      <c r="G832" t="str">
        <f>"94"</f>
        <v>94</v>
      </c>
      <c r="H832" t="str">
        <f>"42"</f>
        <v>42</v>
      </c>
      <c r="I832" t="str">
        <f>"30"</f>
        <v>30</v>
      </c>
      <c r="J832" t="str">
        <f>"256.84"</f>
        <v>256.84</v>
      </c>
      <c r="K832" t="s">
        <v>15655</v>
      </c>
      <c r="L832" t="s">
        <v>15656</v>
      </c>
      <c r="N832" t="s">
        <v>1463</v>
      </c>
      <c r="T832" t="s">
        <v>373</v>
      </c>
      <c r="U832" t="s">
        <v>373</v>
      </c>
      <c r="V832" t="s">
        <v>15657</v>
      </c>
      <c r="W832" t="s">
        <v>15658</v>
      </c>
      <c r="X832" t="s">
        <v>15659</v>
      </c>
      <c r="Y832" t="s">
        <v>15660</v>
      </c>
      <c r="Z832" t="s">
        <v>15661</v>
      </c>
      <c r="AA832" t="s">
        <v>15662</v>
      </c>
      <c r="AB832" t="s">
        <v>15663</v>
      </c>
      <c r="AC832" t="s">
        <v>15664</v>
      </c>
      <c r="AD832" t="s">
        <v>15665</v>
      </c>
      <c r="AE832" t="s">
        <v>15666</v>
      </c>
      <c r="AF832" t="s">
        <v>15667</v>
      </c>
      <c r="AG832" t="s">
        <v>15668</v>
      </c>
      <c r="AH832" t="s">
        <v>15669</v>
      </c>
      <c r="BA832" t="str">
        <f>"2599"</f>
        <v>2599</v>
      </c>
      <c r="BB832" t="str">
        <f>"1095"</f>
        <v>1095</v>
      </c>
      <c r="BC832" t="s">
        <v>665</v>
      </c>
      <c r="BD832" t="str">
        <f t="shared" si="180"/>
        <v>1</v>
      </c>
      <c r="BE832" t="s">
        <v>389</v>
      </c>
      <c r="BF832" t="str">
        <f>"100.59"</f>
        <v>100.59</v>
      </c>
      <c r="BG832" t="str">
        <f>"12.8"</f>
        <v>12.8</v>
      </c>
      <c r="BH832" t="str">
        <f>"48.43"</f>
        <v>48.43</v>
      </c>
      <c r="BI832" t="str">
        <f>"302.03"</f>
        <v>302.03</v>
      </c>
      <c r="BY832" t="str">
        <f>"36.06"</f>
        <v>36.06</v>
      </c>
      <c r="BZ832" t="str">
        <f>"1.021"</f>
        <v>1.021</v>
      </c>
      <c r="CA832" t="s">
        <v>390</v>
      </c>
      <c r="CR832" t="s">
        <v>400</v>
      </c>
      <c r="CS832">
        <v>0</v>
      </c>
      <c r="CT832" t="s">
        <v>400</v>
      </c>
      <c r="CV832">
        <v>0</v>
      </c>
      <c r="CX832" t="s">
        <v>4903</v>
      </c>
      <c r="CY832" t="s">
        <v>400</v>
      </c>
      <c r="DA832">
        <v>0</v>
      </c>
      <c r="DB832">
        <v>0</v>
      </c>
      <c r="DC832">
        <v>0</v>
      </c>
      <c r="DI832">
        <v>10</v>
      </c>
      <c r="DJ832" t="s">
        <v>408</v>
      </c>
      <c r="DK832" t="s">
        <v>15670</v>
      </c>
      <c r="DM832" t="s">
        <v>669</v>
      </c>
      <c r="DX832" t="s">
        <v>8172</v>
      </c>
      <c r="DZ832" t="s">
        <v>15671</v>
      </c>
      <c r="EI832" t="s">
        <v>15591</v>
      </c>
      <c r="EJ832" t="s">
        <v>5483</v>
      </c>
      <c r="EK832" t="s">
        <v>8151</v>
      </c>
      <c r="EL832" t="s">
        <v>1350</v>
      </c>
      <c r="EM832" t="s">
        <v>402</v>
      </c>
      <c r="EN832">
        <v>0</v>
      </c>
      <c r="EO832">
        <v>0</v>
      </c>
      <c r="EW832" t="s">
        <v>5483</v>
      </c>
      <c r="EX832" t="s">
        <v>2696</v>
      </c>
      <c r="EY832" t="s">
        <v>677</v>
      </c>
    </row>
    <row r="833" spans="1:311" x14ac:dyDescent="0.25">
      <c r="A833" t="s">
        <v>15672</v>
      </c>
      <c r="B833" t="str">
        <f>"801542321604"</f>
        <v>801542321604</v>
      </c>
      <c r="C833" t="s">
        <v>15673</v>
      </c>
      <c r="D833" t="s">
        <v>769</v>
      </c>
      <c r="E833" t="s">
        <v>413</v>
      </c>
      <c r="G833" t="str">
        <f>"97"</f>
        <v>97</v>
      </c>
      <c r="H833" t="str">
        <f>"35"</f>
        <v>35</v>
      </c>
      <c r="I833" t="str">
        <f>"32"</f>
        <v>32</v>
      </c>
      <c r="J833" t="str">
        <f>"121.25"</f>
        <v>121.25</v>
      </c>
      <c r="K833" t="s">
        <v>2268</v>
      </c>
      <c r="N833" t="s">
        <v>1170</v>
      </c>
      <c r="O833" t="s">
        <v>2269</v>
      </c>
      <c r="T833" t="s">
        <v>373</v>
      </c>
      <c r="U833" t="s">
        <v>402</v>
      </c>
      <c r="V833" t="s">
        <v>15674</v>
      </c>
      <c r="W833" t="s">
        <v>15675</v>
      </c>
      <c r="X833" t="s">
        <v>15676</v>
      </c>
      <c r="Y833" t="s">
        <v>15677</v>
      </c>
      <c r="Z833" t="s">
        <v>15678</v>
      </c>
      <c r="AA833" t="s">
        <v>15679</v>
      </c>
      <c r="AB833" t="s">
        <v>15680</v>
      </c>
      <c r="AC833" t="s">
        <v>15681</v>
      </c>
      <c r="AD833" t="s">
        <v>15682</v>
      </c>
      <c r="AE833" t="s">
        <v>15683</v>
      </c>
      <c r="AF833" t="s">
        <v>15684</v>
      </c>
      <c r="AG833" t="s">
        <v>15685</v>
      </c>
      <c r="AH833" t="s">
        <v>15686</v>
      </c>
      <c r="AI833" t="s">
        <v>15687</v>
      </c>
      <c r="AJ833" t="s">
        <v>15688</v>
      </c>
      <c r="AK833" t="s">
        <v>15689</v>
      </c>
      <c r="AL833" t="s">
        <v>15690</v>
      </c>
      <c r="AM833" t="s">
        <v>15691</v>
      </c>
      <c r="AN833" t="s">
        <v>15692</v>
      </c>
      <c r="AO833" t="s">
        <v>15693</v>
      </c>
      <c r="AP833" t="s">
        <v>15694</v>
      </c>
      <c r="AQ833" t="s">
        <v>15695</v>
      </c>
      <c r="AR833" t="s">
        <v>15696</v>
      </c>
      <c r="AS833" t="s">
        <v>15697</v>
      </c>
      <c r="AT833" t="s">
        <v>15698</v>
      </c>
      <c r="AU833" t="s">
        <v>15699</v>
      </c>
      <c r="AV833" t="s">
        <v>15700</v>
      </c>
      <c r="AW833" t="s">
        <v>15261</v>
      </c>
      <c r="BA833" t="str">
        <f>"2099"</f>
        <v>2099</v>
      </c>
      <c r="BB833" t="str">
        <f>"885"</f>
        <v>885</v>
      </c>
      <c r="BC833" t="s">
        <v>388</v>
      </c>
      <c r="BD833" t="str">
        <f t="shared" si="180"/>
        <v>1</v>
      </c>
      <c r="BE833" t="s">
        <v>389</v>
      </c>
      <c r="BF833" t="str">
        <f>"97.64"</f>
        <v>97.64</v>
      </c>
      <c r="BG833" t="str">
        <f>"35.04"</f>
        <v>35.04</v>
      </c>
      <c r="BH833" t="str">
        <f>"27.56"</f>
        <v>27.56</v>
      </c>
      <c r="BI833" t="str">
        <f>"154.32"</f>
        <v>154.32</v>
      </c>
      <c r="BY833" t="str">
        <f>"54.56"</f>
        <v>54.56</v>
      </c>
      <c r="BZ833" t="str">
        <f>"1.545"</f>
        <v>1.545</v>
      </c>
      <c r="CA833" t="s">
        <v>495</v>
      </c>
      <c r="CH833" t="s">
        <v>609</v>
      </c>
      <c r="CI833" t="s">
        <v>448</v>
      </c>
      <c r="CJ833" t="s">
        <v>2147</v>
      </c>
      <c r="CK833" t="s">
        <v>601</v>
      </c>
      <c r="CL833" t="s">
        <v>791</v>
      </c>
      <c r="CN833">
        <v>0</v>
      </c>
      <c r="CO833">
        <v>2</v>
      </c>
      <c r="CP833" t="s">
        <v>437</v>
      </c>
      <c r="CQ833" t="s">
        <v>631</v>
      </c>
      <c r="CU833" t="s">
        <v>793</v>
      </c>
      <c r="CX833" t="s">
        <v>403</v>
      </c>
      <c r="CY833" t="s">
        <v>400</v>
      </c>
      <c r="CZ833">
        <v>0</v>
      </c>
      <c r="DD833">
        <v>25000</v>
      </c>
      <c r="DE833" t="s">
        <v>439</v>
      </c>
      <c r="DF833" t="s">
        <v>406</v>
      </c>
      <c r="DG833" t="s">
        <v>407</v>
      </c>
      <c r="DH833">
        <v>1</v>
      </c>
      <c r="DI833">
        <v>5</v>
      </c>
      <c r="DK833" t="s">
        <v>2288</v>
      </c>
      <c r="DL833">
        <v>0</v>
      </c>
      <c r="DM833" t="s">
        <v>3739</v>
      </c>
      <c r="DN833" t="s">
        <v>1510</v>
      </c>
      <c r="DO833" t="s">
        <v>2510</v>
      </c>
      <c r="DP833" t="s">
        <v>3096</v>
      </c>
      <c r="DT833" t="s">
        <v>2510</v>
      </c>
      <c r="DU833" t="s">
        <v>448</v>
      </c>
      <c r="DV833" t="s">
        <v>2073</v>
      </c>
      <c r="DW833" t="s">
        <v>8743</v>
      </c>
      <c r="DX833" t="s">
        <v>827</v>
      </c>
      <c r="DY833" t="s">
        <v>1491</v>
      </c>
      <c r="DZ833" t="s">
        <v>3336</v>
      </c>
      <c r="EA833" t="s">
        <v>830</v>
      </c>
      <c r="ED833" t="s">
        <v>406</v>
      </c>
      <c r="EE833" t="s">
        <v>454</v>
      </c>
      <c r="EF833" t="s">
        <v>831</v>
      </c>
      <c r="EG833" t="s">
        <v>615</v>
      </c>
      <c r="EP833" t="s">
        <v>1807</v>
      </c>
      <c r="EQ833" t="s">
        <v>2147</v>
      </c>
      <c r="ET833" t="s">
        <v>832</v>
      </c>
    </row>
    <row r="834" spans="1:311" x14ac:dyDescent="0.25">
      <c r="A834" t="s">
        <v>15701</v>
      </c>
      <c r="B834" t="str">
        <f>"801542964825"</f>
        <v>801542964825</v>
      </c>
      <c r="C834" t="s">
        <v>15702</v>
      </c>
      <c r="D834" t="s">
        <v>1165</v>
      </c>
      <c r="E834" t="s">
        <v>413</v>
      </c>
      <c r="G834" t="str">
        <f>"102"</f>
        <v>102</v>
      </c>
      <c r="H834" t="str">
        <f>"45"</f>
        <v>45</v>
      </c>
      <c r="I834" t="str">
        <f>"30"</f>
        <v>30</v>
      </c>
      <c r="J834" t="str">
        <f>"191.8"</f>
        <v>191.8</v>
      </c>
      <c r="K834" t="s">
        <v>15703</v>
      </c>
      <c r="N834" t="s">
        <v>1534</v>
      </c>
      <c r="O834" t="s">
        <v>12436</v>
      </c>
      <c r="T834" t="s">
        <v>373</v>
      </c>
      <c r="U834" t="s">
        <v>373</v>
      </c>
      <c r="V834" t="s">
        <v>15704</v>
      </c>
      <c r="W834" t="s">
        <v>15705</v>
      </c>
      <c r="X834" t="s">
        <v>15706</v>
      </c>
      <c r="Y834" t="s">
        <v>15707</v>
      </c>
      <c r="Z834" t="s">
        <v>15708</v>
      </c>
      <c r="AA834" t="s">
        <v>15709</v>
      </c>
      <c r="AB834" t="s">
        <v>15710</v>
      </c>
      <c r="AC834" t="s">
        <v>15711</v>
      </c>
      <c r="AD834" t="s">
        <v>15712</v>
      </c>
      <c r="AE834" t="s">
        <v>15713</v>
      </c>
      <c r="AF834" t="s">
        <v>15714</v>
      </c>
      <c r="AG834" t="s">
        <v>15715</v>
      </c>
      <c r="AH834" t="s">
        <v>15716</v>
      </c>
      <c r="AI834" t="s">
        <v>15717</v>
      </c>
      <c r="AJ834" t="s">
        <v>15718</v>
      </c>
      <c r="AK834" t="s">
        <v>15719</v>
      </c>
      <c r="AL834" t="s">
        <v>15720</v>
      </c>
      <c r="AM834" t="s">
        <v>15721</v>
      </c>
      <c r="BA834" t="str">
        <f>"3099"</f>
        <v>3099</v>
      </c>
      <c r="BB834" t="str">
        <f>"1305"</f>
        <v>1305</v>
      </c>
      <c r="BC834" t="s">
        <v>1149</v>
      </c>
      <c r="BD834" t="str">
        <f t="shared" si="180"/>
        <v>1</v>
      </c>
      <c r="BE834" t="s">
        <v>389</v>
      </c>
      <c r="BF834" t="str">
        <f>"99.21"</f>
        <v>99.21</v>
      </c>
      <c r="BG834" t="str">
        <f>"44.09"</f>
        <v>44.09</v>
      </c>
      <c r="BH834" t="str">
        <f>"27.17"</f>
        <v>27.17</v>
      </c>
      <c r="BI834" t="str">
        <f>"207.89"</f>
        <v>207.89</v>
      </c>
      <c r="BY834" t="str">
        <f>"68.76"</f>
        <v>68.76</v>
      </c>
      <c r="BZ834" t="str">
        <f>"1.947"</f>
        <v>1.947</v>
      </c>
      <c r="CA834" t="s">
        <v>390</v>
      </c>
      <c r="CH834" t="s">
        <v>3096</v>
      </c>
      <c r="CI834" t="s">
        <v>2908</v>
      </c>
      <c r="CJ834" t="s">
        <v>2141</v>
      </c>
      <c r="CK834" t="s">
        <v>451</v>
      </c>
      <c r="CL834" t="s">
        <v>449</v>
      </c>
      <c r="CM834" t="s">
        <v>7739</v>
      </c>
      <c r="CN834">
        <v>2</v>
      </c>
      <c r="CO834">
        <v>2</v>
      </c>
      <c r="CP834" t="s">
        <v>437</v>
      </c>
      <c r="CQ834" t="s">
        <v>1152</v>
      </c>
      <c r="CU834" t="s">
        <v>15722</v>
      </c>
      <c r="CX834" t="s">
        <v>403</v>
      </c>
      <c r="CY834" t="s">
        <v>400</v>
      </c>
      <c r="CZ834">
        <v>0</v>
      </c>
      <c r="DD834">
        <v>15000</v>
      </c>
      <c r="DE834" t="s">
        <v>439</v>
      </c>
      <c r="DF834" t="s">
        <v>2640</v>
      </c>
      <c r="DG834" t="s">
        <v>407</v>
      </c>
      <c r="DH834">
        <v>2</v>
      </c>
      <c r="DI834">
        <v>5</v>
      </c>
      <c r="DK834" t="s">
        <v>15723</v>
      </c>
      <c r="DL834">
        <v>0</v>
      </c>
      <c r="DM834" t="s">
        <v>3739</v>
      </c>
      <c r="DN834" t="s">
        <v>432</v>
      </c>
      <c r="DO834" t="s">
        <v>2240</v>
      </c>
      <c r="DP834" t="s">
        <v>3023</v>
      </c>
      <c r="DQ834" t="s">
        <v>432</v>
      </c>
      <c r="DR834" t="s">
        <v>859</v>
      </c>
      <c r="DS834" t="s">
        <v>446</v>
      </c>
      <c r="DT834" t="s">
        <v>450</v>
      </c>
      <c r="DU834" t="s">
        <v>1037</v>
      </c>
      <c r="DV834" t="s">
        <v>443</v>
      </c>
      <c r="DW834" t="s">
        <v>1158</v>
      </c>
      <c r="DX834" t="s">
        <v>827</v>
      </c>
      <c r="DY834" t="s">
        <v>1853</v>
      </c>
      <c r="DZ834" t="s">
        <v>15724</v>
      </c>
      <c r="EA834" t="s">
        <v>958</v>
      </c>
      <c r="EB834" t="s">
        <v>454</v>
      </c>
      <c r="EC834" t="s">
        <v>402</v>
      </c>
      <c r="ED834" t="s">
        <v>2640</v>
      </c>
      <c r="EE834" t="s">
        <v>454</v>
      </c>
      <c r="EF834" t="s">
        <v>4808</v>
      </c>
      <c r="EG834" t="s">
        <v>4809</v>
      </c>
      <c r="EH834" t="s">
        <v>749</v>
      </c>
      <c r="EU834" t="s">
        <v>832</v>
      </c>
    </row>
    <row r="835" spans="1:311" x14ac:dyDescent="0.25">
      <c r="A835" t="s">
        <v>15725</v>
      </c>
      <c r="B835" t="str">
        <f>"801542347185"</f>
        <v>801542347185</v>
      </c>
      <c r="C835" t="s">
        <v>15726</v>
      </c>
      <c r="D835" t="s">
        <v>929</v>
      </c>
      <c r="E835" t="s">
        <v>964</v>
      </c>
      <c r="F835" t="s">
        <v>965</v>
      </c>
      <c r="G835" t="str">
        <f>"45"</f>
        <v>45</v>
      </c>
      <c r="H835" t="str">
        <f>"18"</f>
        <v>18</v>
      </c>
      <c r="I835" t="str">
        <f>"76.5"</f>
        <v>76.5</v>
      </c>
      <c r="J835" t="str">
        <f>"222.33"</f>
        <v>222.33</v>
      </c>
      <c r="K835" t="s">
        <v>15442</v>
      </c>
      <c r="N835" t="s">
        <v>372</v>
      </c>
      <c r="T835" t="s">
        <v>373</v>
      </c>
      <c r="U835" t="s">
        <v>373</v>
      </c>
      <c r="V835" t="s">
        <v>15727</v>
      </c>
      <c r="W835" t="s">
        <v>15728</v>
      </c>
      <c r="X835" t="s">
        <v>15729</v>
      </c>
      <c r="Y835" t="s">
        <v>15730</v>
      </c>
      <c r="Z835" t="s">
        <v>15731</v>
      </c>
      <c r="AA835" t="s">
        <v>15732</v>
      </c>
      <c r="AB835" t="s">
        <v>15733</v>
      </c>
      <c r="AC835" t="s">
        <v>15734</v>
      </c>
      <c r="AD835" t="s">
        <v>15735</v>
      </c>
      <c r="AE835" t="s">
        <v>15736</v>
      </c>
      <c r="AF835" t="s">
        <v>15737</v>
      </c>
      <c r="AG835" t="s">
        <v>15738</v>
      </c>
      <c r="AH835" t="s">
        <v>15739</v>
      </c>
      <c r="BA835" t="str">
        <f>"3199"</f>
        <v>3199</v>
      </c>
      <c r="BB835" t="str">
        <f>"1345"</f>
        <v>1345</v>
      </c>
      <c r="BC835" t="s">
        <v>949</v>
      </c>
      <c r="BD835" t="str">
        <f t="shared" si="180"/>
        <v>1</v>
      </c>
      <c r="BE835" t="s">
        <v>389</v>
      </c>
      <c r="BF835" t="str">
        <f>"81"</f>
        <v>81</v>
      </c>
      <c r="BG835" t="str">
        <f>"23.75"</f>
        <v>23.75</v>
      </c>
      <c r="BH835" t="str">
        <f>"49"</f>
        <v>49</v>
      </c>
      <c r="BI835" t="str">
        <f>"304.68"</f>
        <v>304.68</v>
      </c>
      <c r="BY835" t="str">
        <f>"54.56"</f>
        <v>54.56</v>
      </c>
      <c r="BZ835" t="str">
        <f>"1.545"</f>
        <v>1.545</v>
      </c>
      <c r="CA835" t="s">
        <v>495</v>
      </c>
      <c r="CE835" t="s">
        <v>474</v>
      </c>
      <c r="CF835" t="s">
        <v>14417</v>
      </c>
      <c r="CG835" t="s">
        <v>15031</v>
      </c>
      <c r="CR835" t="s">
        <v>400</v>
      </c>
      <c r="CS835">
        <v>0</v>
      </c>
      <c r="CT835" t="s">
        <v>400</v>
      </c>
      <c r="CV835">
        <v>0</v>
      </c>
      <c r="CX835" t="s">
        <v>667</v>
      </c>
      <c r="CY835" t="s">
        <v>954</v>
      </c>
      <c r="DA835">
        <v>18.14</v>
      </c>
      <c r="DB835">
        <v>40</v>
      </c>
      <c r="DC835">
        <v>2</v>
      </c>
      <c r="DJ835" t="s">
        <v>982</v>
      </c>
      <c r="DK835" t="s">
        <v>15439</v>
      </c>
      <c r="DX835" t="s">
        <v>1852</v>
      </c>
      <c r="EM835" t="s">
        <v>402</v>
      </c>
      <c r="EN835">
        <v>1</v>
      </c>
      <c r="EZ835" t="s">
        <v>14417</v>
      </c>
      <c r="FA835" t="s">
        <v>956</v>
      </c>
      <c r="FB835" t="s">
        <v>444</v>
      </c>
      <c r="FC835" t="s">
        <v>6161</v>
      </c>
      <c r="FD835" t="s">
        <v>1040</v>
      </c>
      <c r="FE835" t="s">
        <v>15031</v>
      </c>
      <c r="FF835">
        <v>0</v>
      </c>
      <c r="FH835" t="s">
        <v>1245</v>
      </c>
      <c r="FI835">
        <v>2</v>
      </c>
      <c r="FJ835" t="s">
        <v>960</v>
      </c>
      <c r="FK835" t="s">
        <v>1246</v>
      </c>
      <c r="FL835">
        <v>0</v>
      </c>
      <c r="FM835" t="s">
        <v>402</v>
      </c>
      <c r="FN835" t="s">
        <v>983</v>
      </c>
      <c r="FO835" t="s">
        <v>984</v>
      </c>
      <c r="FQ835">
        <v>0</v>
      </c>
    </row>
    <row r="836" spans="1:311" x14ac:dyDescent="0.25">
      <c r="A836" t="s">
        <v>15740</v>
      </c>
      <c r="B836" t="str">
        <f>"198394122863"</f>
        <v>198394122863</v>
      </c>
      <c r="C836" t="s">
        <v>15741</v>
      </c>
      <c r="D836" t="s">
        <v>3642</v>
      </c>
      <c r="E836" t="s">
        <v>413</v>
      </c>
      <c r="G836" t="str">
        <f>"85.5"</f>
        <v>85.5</v>
      </c>
      <c r="H836" t="str">
        <f>"36.5"</f>
        <v>36.5</v>
      </c>
      <c r="I836" t="str">
        <f>"28"</f>
        <v>28</v>
      </c>
      <c r="J836" t="str">
        <f>"240"</f>
        <v>240</v>
      </c>
      <c r="K836" t="s">
        <v>15742</v>
      </c>
      <c r="L836" t="s">
        <v>15743</v>
      </c>
      <c r="N836" t="s">
        <v>15744</v>
      </c>
      <c r="O836" t="s">
        <v>15745</v>
      </c>
      <c r="P836" t="s">
        <v>1535</v>
      </c>
      <c r="Q836" t="s">
        <v>519</v>
      </c>
      <c r="T836" t="s">
        <v>373</v>
      </c>
      <c r="U836" t="s">
        <v>373</v>
      </c>
      <c r="V836" t="s">
        <v>15746</v>
      </c>
      <c r="W836" t="s">
        <v>15747</v>
      </c>
      <c r="X836" t="s">
        <v>15748</v>
      </c>
      <c r="Y836" t="s">
        <v>15749</v>
      </c>
      <c r="Z836" t="s">
        <v>15750</v>
      </c>
      <c r="AA836" t="s">
        <v>15751</v>
      </c>
      <c r="AB836" t="s">
        <v>15752</v>
      </c>
      <c r="AC836" t="s">
        <v>15753</v>
      </c>
      <c r="AD836" t="s">
        <v>15754</v>
      </c>
      <c r="AE836" t="s">
        <v>15755</v>
      </c>
      <c r="AF836" t="s">
        <v>15756</v>
      </c>
      <c r="AG836" t="s">
        <v>15757</v>
      </c>
      <c r="AH836" t="s">
        <v>15758</v>
      </c>
      <c r="AI836" t="s">
        <v>15759</v>
      </c>
      <c r="AJ836" t="s">
        <v>15760</v>
      </c>
      <c r="AK836" t="s">
        <v>15761</v>
      </c>
      <c r="AL836" t="s">
        <v>15762</v>
      </c>
      <c r="AM836" t="s">
        <v>15763</v>
      </c>
      <c r="AN836" t="s">
        <v>15764</v>
      </c>
      <c r="BA836" t="str">
        <f>"3999"</f>
        <v>3999</v>
      </c>
      <c r="BB836" t="str">
        <f>"1680"</f>
        <v>1680</v>
      </c>
      <c r="BC836" t="s">
        <v>3670</v>
      </c>
      <c r="BD836" t="str">
        <f t="shared" si="180"/>
        <v>1</v>
      </c>
      <c r="BE836" t="s">
        <v>15765</v>
      </c>
      <c r="BF836" t="str">
        <f>"92"</f>
        <v>92</v>
      </c>
      <c r="BG836" t="str">
        <f>"38"</f>
        <v>38</v>
      </c>
      <c r="BH836" t="str">
        <f>"32"</f>
        <v>32</v>
      </c>
      <c r="BI836" t="str">
        <f>"252"</f>
        <v>252</v>
      </c>
      <c r="BY836" t="str">
        <f>"64.73"</f>
        <v>64.73</v>
      </c>
      <c r="BZ836" t="str">
        <f>"1.833"</f>
        <v>1.833</v>
      </c>
      <c r="CA836" t="s">
        <v>495</v>
      </c>
      <c r="CK836" t="s">
        <v>603</v>
      </c>
      <c r="CL836" t="s">
        <v>3982</v>
      </c>
      <c r="CM836" t="s">
        <v>6370</v>
      </c>
      <c r="CN836">
        <v>2</v>
      </c>
      <c r="CO836">
        <v>1</v>
      </c>
      <c r="CP836" t="s">
        <v>437</v>
      </c>
      <c r="CQ836" t="s">
        <v>631</v>
      </c>
      <c r="CU836" t="s">
        <v>401</v>
      </c>
      <c r="CX836" t="s">
        <v>667</v>
      </c>
      <c r="CY836" t="s">
        <v>3672</v>
      </c>
      <c r="CZ836">
        <v>0</v>
      </c>
      <c r="DD836">
        <v>27000</v>
      </c>
      <c r="DE836" t="s">
        <v>405</v>
      </c>
      <c r="DF836" t="s">
        <v>632</v>
      </c>
      <c r="DG836" t="s">
        <v>407</v>
      </c>
      <c r="DH836">
        <v>1</v>
      </c>
      <c r="DI836">
        <v>5</v>
      </c>
      <c r="DK836" t="s">
        <v>15766</v>
      </c>
      <c r="DL836">
        <v>0</v>
      </c>
      <c r="DM836" t="s">
        <v>3739</v>
      </c>
      <c r="DN836" t="s">
        <v>609</v>
      </c>
      <c r="DO836" t="s">
        <v>442</v>
      </c>
      <c r="DP836" t="s">
        <v>434</v>
      </c>
      <c r="DQ836" t="s">
        <v>2078</v>
      </c>
      <c r="DR836" t="s">
        <v>958</v>
      </c>
      <c r="DS836" t="s">
        <v>448</v>
      </c>
      <c r="DT836" t="s">
        <v>2080</v>
      </c>
      <c r="DU836" t="s">
        <v>448</v>
      </c>
      <c r="DV836" t="s">
        <v>6161</v>
      </c>
      <c r="DW836" t="s">
        <v>3712</v>
      </c>
      <c r="DX836" t="s">
        <v>3249</v>
      </c>
      <c r="DY836" t="s">
        <v>9483</v>
      </c>
      <c r="DZ836" t="s">
        <v>15767</v>
      </c>
      <c r="EA836" t="s">
        <v>442</v>
      </c>
      <c r="EB836" t="s">
        <v>407</v>
      </c>
      <c r="EC836" t="s">
        <v>402</v>
      </c>
      <c r="ED836" t="s">
        <v>406</v>
      </c>
      <c r="EE836" t="s">
        <v>407</v>
      </c>
      <c r="EF836" t="s">
        <v>401</v>
      </c>
      <c r="EG836" t="s">
        <v>401</v>
      </c>
      <c r="ET836" t="s">
        <v>832</v>
      </c>
      <c r="IG836" t="s">
        <v>2007</v>
      </c>
      <c r="JD836" t="s">
        <v>449</v>
      </c>
      <c r="JE836" t="s">
        <v>6354</v>
      </c>
      <c r="JF836" t="s">
        <v>3712</v>
      </c>
      <c r="KW836" t="s">
        <v>6354</v>
      </c>
      <c r="KX836" t="s">
        <v>797</v>
      </c>
      <c r="KY836" t="s">
        <v>2908</v>
      </c>
    </row>
    <row r="837" spans="1:311" x14ac:dyDescent="0.25">
      <c r="A837" t="s">
        <v>15768</v>
      </c>
      <c r="B837" t="str">
        <f>"801542932336"</f>
        <v>801542932336</v>
      </c>
      <c r="C837" t="s">
        <v>15769</v>
      </c>
      <c r="D837" t="s">
        <v>1592</v>
      </c>
      <c r="E837" t="s">
        <v>515</v>
      </c>
      <c r="F837" t="s">
        <v>516</v>
      </c>
      <c r="G837" t="str">
        <f>"29"</f>
        <v>29</v>
      </c>
      <c r="H837" t="str">
        <f>"33.75"</f>
        <v>33.75</v>
      </c>
      <c r="I837" t="str">
        <f>"27.25"</f>
        <v>27.25</v>
      </c>
      <c r="J837" t="str">
        <f>"66.14"</f>
        <v>66.14</v>
      </c>
      <c r="K837" t="s">
        <v>15770</v>
      </c>
      <c r="L837" t="s">
        <v>1518</v>
      </c>
      <c r="N837" t="s">
        <v>15771</v>
      </c>
      <c r="O837" t="s">
        <v>15772</v>
      </c>
      <c r="P837" t="s">
        <v>15773</v>
      </c>
      <c r="Q837" t="s">
        <v>15774</v>
      </c>
      <c r="R837" t="s">
        <v>775</v>
      </c>
      <c r="T837" t="s">
        <v>373</v>
      </c>
      <c r="U837" t="s">
        <v>373</v>
      </c>
      <c r="V837" t="s">
        <v>15775</v>
      </c>
      <c r="W837" t="s">
        <v>15776</v>
      </c>
      <c r="X837" t="s">
        <v>15777</v>
      </c>
      <c r="Y837" t="s">
        <v>15778</v>
      </c>
      <c r="Z837" t="s">
        <v>15779</v>
      </c>
      <c r="AA837" t="s">
        <v>15780</v>
      </c>
      <c r="AB837" t="s">
        <v>15781</v>
      </c>
      <c r="AC837" t="s">
        <v>15782</v>
      </c>
      <c r="AD837" t="s">
        <v>15783</v>
      </c>
      <c r="AE837" t="s">
        <v>15784</v>
      </c>
      <c r="AF837" t="s">
        <v>15785</v>
      </c>
      <c r="AG837" t="s">
        <v>15786</v>
      </c>
      <c r="AH837" t="s">
        <v>15787</v>
      </c>
      <c r="AI837" t="s">
        <v>15788</v>
      </c>
      <c r="AJ837" t="s">
        <v>15789</v>
      </c>
      <c r="BA837" t="str">
        <f>"2599"</f>
        <v>2599</v>
      </c>
      <c r="BB837" t="str">
        <f>"1095"</f>
        <v>1095</v>
      </c>
      <c r="BC837" t="s">
        <v>665</v>
      </c>
      <c r="BD837" t="str">
        <f t="shared" si="180"/>
        <v>1</v>
      </c>
      <c r="BE837" t="s">
        <v>9942</v>
      </c>
      <c r="BF837" t="str">
        <f>"35.04"</f>
        <v>35.04</v>
      </c>
      <c r="BG837" t="str">
        <f>"28.54"</f>
        <v>28.54</v>
      </c>
      <c r="BH837" t="str">
        <f>"31.1"</f>
        <v>31.1</v>
      </c>
      <c r="BI837" t="str">
        <f>"80.47"</f>
        <v>80.47</v>
      </c>
      <c r="BY837" t="str">
        <f>"18.01"</f>
        <v>18.01</v>
      </c>
      <c r="BZ837" t="str">
        <f>"0.51"</f>
        <v>0.51</v>
      </c>
      <c r="CA837" t="s">
        <v>495</v>
      </c>
      <c r="CK837" t="s">
        <v>9884</v>
      </c>
      <c r="CL837" t="s">
        <v>15790</v>
      </c>
      <c r="CN837">
        <v>0</v>
      </c>
      <c r="CO837">
        <v>0</v>
      </c>
      <c r="CP837" t="s">
        <v>437</v>
      </c>
      <c r="CQ837" t="s">
        <v>1152</v>
      </c>
      <c r="CX837" t="s">
        <v>4903</v>
      </c>
      <c r="CY837" t="s">
        <v>1753</v>
      </c>
      <c r="CZ837">
        <v>0</v>
      </c>
      <c r="DD837">
        <v>30000</v>
      </c>
      <c r="DE837" t="s">
        <v>439</v>
      </c>
      <c r="DF837" t="s">
        <v>632</v>
      </c>
      <c r="DH837">
        <v>1</v>
      </c>
      <c r="DI837">
        <v>1</v>
      </c>
      <c r="DK837" t="s">
        <v>15791</v>
      </c>
      <c r="DL837">
        <v>0</v>
      </c>
      <c r="DM837" t="s">
        <v>538</v>
      </c>
      <c r="DN837" t="s">
        <v>545</v>
      </c>
      <c r="DO837" t="s">
        <v>1641</v>
      </c>
      <c r="DP837" t="s">
        <v>3832</v>
      </c>
      <c r="DT837" t="s">
        <v>3856</v>
      </c>
      <c r="DX837" t="s">
        <v>15792</v>
      </c>
      <c r="EA837" t="s">
        <v>1641</v>
      </c>
      <c r="EF837" t="s">
        <v>1513</v>
      </c>
      <c r="EG837" t="s">
        <v>1513</v>
      </c>
      <c r="EP837" t="s">
        <v>2289</v>
      </c>
      <c r="EQ837" t="s">
        <v>15793</v>
      </c>
      <c r="ER837">
        <v>0</v>
      </c>
      <c r="ES837">
        <v>0</v>
      </c>
      <c r="EU837">
        <v>0</v>
      </c>
      <c r="HM837" t="s">
        <v>1754</v>
      </c>
    </row>
    <row r="838" spans="1:311" x14ac:dyDescent="0.25">
      <c r="A838" t="s">
        <v>15794</v>
      </c>
      <c r="B838" t="str">
        <f>"801542932343"</f>
        <v>801542932343</v>
      </c>
      <c r="C838" t="s">
        <v>15795</v>
      </c>
      <c r="D838" t="s">
        <v>1592</v>
      </c>
      <c r="E838" t="s">
        <v>515</v>
      </c>
      <c r="F838" t="s">
        <v>516</v>
      </c>
      <c r="G838" t="str">
        <f>"29"</f>
        <v>29</v>
      </c>
      <c r="H838" t="str">
        <f>"33.75"</f>
        <v>33.75</v>
      </c>
      <c r="I838" t="str">
        <f>"27.25"</f>
        <v>27.25</v>
      </c>
      <c r="J838" t="str">
        <f>"66.14"</f>
        <v>66.14</v>
      </c>
      <c r="K838" t="s">
        <v>14255</v>
      </c>
      <c r="L838" t="s">
        <v>1518</v>
      </c>
      <c r="N838" t="s">
        <v>14256</v>
      </c>
      <c r="O838" t="s">
        <v>14257</v>
      </c>
      <c r="P838" t="s">
        <v>775</v>
      </c>
      <c r="T838" t="s">
        <v>373</v>
      </c>
      <c r="U838" t="s">
        <v>373</v>
      </c>
      <c r="V838" t="s">
        <v>15796</v>
      </c>
      <c r="W838" t="s">
        <v>15797</v>
      </c>
      <c r="X838" t="s">
        <v>15798</v>
      </c>
      <c r="Y838" t="s">
        <v>15799</v>
      </c>
      <c r="Z838" t="s">
        <v>15800</v>
      </c>
      <c r="AA838" t="s">
        <v>15801</v>
      </c>
      <c r="AB838" t="s">
        <v>15802</v>
      </c>
      <c r="AC838" t="s">
        <v>15803</v>
      </c>
      <c r="AD838" t="s">
        <v>15804</v>
      </c>
      <c r="AE838" t="s">
        <v>15805</v>
      </c>
      <c r="AF838" t="s">
        <v>15806</v>
      </c>
      <c r="AG838" t="s">
        <v>15807</v>
      </c>
      <c r="AH838" t="s">
        <v>15808</v>
      </c>
      <c r="AI838" t="s">
        <v>15809</v>
      </c>
      <c r="AJ838" t="s">
        <v>15810</v>
      </c>
      <c r="BA838" t="str">
        <f>"1399"</f>
        <v>1399</v>
      </c>
      <c r="BB838" t="str">
        <f>"590"</f>
        <v>590</v>
      </c>
      <c r="BC838" t="s">
        <v>665</v>
      </c>
      <c r="BD838" t="str">
        <f t="shared" si="180"/>
        <v>1</v>
      </c>
      <c r="BE838" t="s">
        <v>9942</v>
      </c>
      <c r="BF838" t="str">
        <f>"35.04"</f>
        <v>35.04</v>
      </c>
      <c r="BG838" t="str">
        <f>"28.54"</f>
        <v>28.54</v>
      </c>
      <c r="BH838" t="str">
        <f>"31.1"</f>
        <v>31.1</v>
      </c>
      <c r="BI838" t="str">
        <f>"80.47"</f>
        <v>80.47</v>
      </c>
      <c r="BY838" t="str">
        <f>"18.01"</f>
        <v>18.01</v>
      </c>
      <c r="BZ838" t="str">
        <f>"0.51"</f>
        <v>0.51</v>
      </c>
      <c r="CA838" t="s">
        <v>495</v>
      </c>
      <c r="CK838" t="s">
        <v>9884</v>
      </c>
      <c r="CL838" t="s">
        <v>15790</v>
      </c>
      <c r="CN838">
        <v>0</v>
      </c>
      <c r="CO838">
        <v>0</v>
      </c>
      <c r="CP838" t="s">
        <v>437</v>
      </c>
      <c r="CQ838" t="s">
        <v>631</v>
      </c>
      <c r="CX838" t="s">
        <v>4903</v>
      </c>
      <c r="CY838" t="s">
        <v>1753</v>
      </c>
      <c r="CZ838">
        <v>0</v>
      </c>
      <c r="DD838">
        <v>25000</v>
      </c>
      <c r="DE838" t="s">
        <v>439</v>
      </c>
      <c r="DF838" t="s">
        <v>632</v>
      </c>
      <c r="DH838">
        <v>1</v>
      </c>
      <c r="DI838">
        <v>1</v>
      </c>
      <c r="DK838" t="s">
        <v>15791</v>
      </c>
      <c r="DL838">
        <v>0</v>
      </c>
      <c r="DM838" t="s">
        <v>538</v>
      </c>
      <c r="DN838" t="s">
        <v>545</v>
      </c>
      <c r="DO838" t="s">
        <v>1641</v>
      </c>
      <c r="DP838" t="s">
        <v>3832</v>
      </c>
      <c r="DT838" t="s">
        <v>3856</v>
      </c>
      <c r="DX838" t="s">
        <v>15792</v>
      </c>
      <c r="EA838" t="s">
        <v>1641</v>
      </c>
      <c r="EF838" t="s">
        <v>1513</v>
      </c>
      <c r="EG838" t="s">
        <v>1513</v>
      </c>
      <c r="EP838" t="s">
        <v>2289</v>
      </c>
      <c r="EQ838" t="s">
        <v>15793</v>
      </c>
      <c r="ER838">
        <v>0</v>
      </c>
      <c r="ES838">
        <v>0</v>
      </c>
      <c r="EU838">
        <v>0</v>
      </c>
      <c r="HM838" t="s">
        <v>1754</v>
      </c>
    </row>
    <row r="839" spans="1:311" x14ac:dyDescent="0.25">
      <c r="A839" t="s">
        <v>15811</v>
      </c>
      <c r="B839" t="str">
        <f>"198394081603"</f>
        <v>198394081603</v>
      </c>
      <c r="C839" t="s">
        <v>15812</v>
      </c>
      <c r="D839" t="s">
        <v>1118</v>
      </c>
      <c r="E839" t="s">
        <v>1077</v>
      </c>
      <c r="G839" t="str">
        <f>"32"</f>
        <v>32</v>
      </c>
      <c r="H839" t="str">
        <f>"32"</f>
        <v>32</v>
      </c>
      <c r="I839" t="str">
        <f>"18.25"</f>
        <v>18.25</v>
      </c>
      <c r="J839" t="str">
        <f>"133.29"</f>
        <v>133.29</v>
      </c>
      <c r="K839" t="s">
        <v>15813</v>
      </c>
      <c r="L839" t="s">
        <v>1120</v>
      </c>
      <c r="N839" t="s">
        <v>15814</v>
      </c>
      <c r="O839" t="s">
        <v>555</v>
      </c>
      <c r="T839" t="s">
        <v>373</v>
      </c>
      <c r="U839" t="s">
        <v>373</v>
      </c>
      <c r="V839" t="s">
        <v>15815</v>
      </c>
      <c r="W839" t="s">
        <v>15816</v>
      </c>
      <c r="X839" t="s">
        <v>15817</v>
      </c>
      <c r="Y839" t="s">
        <v>15818</v>
      </c>
      <c r="BA839" t="str">
        <f>"1399"</f>
        <v>1399</v>
      </c>
      <c r="BB839" t="str">
        <f>"590"</f>
        <v>590</v>
      </c>
      <c r="BC839" t="s">
        <v>949</v>
      </c>
      <c r="BD839" t="str">
        <f>"4"</f>
        <v>4</v>
      </c>
      <c r="BE839" t="s">
        <v>15819</v>
      </c>
      <c r="BF839" t="str">
        <f>"23.5"</f>
        <v>23.5</v>
      </c>
      <c r="BG839" t="str">
        <f>"5"</f>
        <v>5</v>
      </c>
      <c r="BH839" t="str">
        <f>"24"</f>
        <v>24</v>
      </c>
      <c r="BI839" t="str">
        <f>"34.61"</f>
        <v>34.61</v>
      </c>
      <c r="BJ839" t="s">
        <v>15820</v>
      </c>
      <c r="BK839" t="str">
        <f>"37.25"</f>
        <v>37.25</v>
      </c>
      <c r="BL839" t="str">
        <f>"6"</f>
        <v>6</v>
      </c>
      <c r="BM839" t="str">
        <f>"38"</f>
        <v>38</v>
      </c>
      <c r="BN839" t="str">
        <f>"99.3"</f>
        <v>99.3</v>
      </c>
      <c r="BO839" t="s">
        <v>15821</v>
      </c>
      <c r="BP839" t="str">
        <f>"33.75"</f>
        <v>33.75</v>
      </c>
      <c r="BQ839" t="str">
        <f>"34.5"</f>
        <v>34.5</v>
      </c>
      <c r="BR839" t="str">
        <f>"19"</f>
        <v>19</v>
      </c>
      <c r="BS839" t="str">
        <f>"70.77"</f>
        <v>70.77</v>
      </c>
      <c r="BT839" t="s">
        <v>15822</v>
      </c>
      <c r="BU839" t="str">
        <f>"22.5"</f>
        <v>22.5</v>
      </c>
      <c r="BV839" t="str">
        <f>"22.75"</f>
        <v>22.75</v>
      </c>
      <c r="BW839" t="str">
        <f>"21"</f>
        <v>21</v>
      </c>
      <c r="BX839" t="str">
        <f>"22.27"</f>
        <v>22.27</v>
      </c>
      <c r="BY839" t="str">
        <f>"25.57"</f>
        <v>25.57</v>
      </c>
      <c r="BZ839" t="str">
        <f>"0.724"</f>
        <v>0.724</v>
      </c>
      <c r="CA839" t="s">
        <v>431</v>
      </c>
      <c r="CR839" t="s">
        <v>400</v>
      </c>
      <c r="CS839">
        <v>0</v>
      </c>
      <c r="CT839" t="s">
        <v>400</v>
      </c>
      <c r="CV839">
        <v>0</v>
      </c>
      <c r="CY839" t="s">
        <v>400</v>
      </c>
      <c r="DC839">
        <v>0</v>
      </c>
      <c r="DJ839" t="s">
        <v>471</v>
      </c>
      <c r="DK839" t="s">
        <v>15823</v>
      </c>
      <c r="DM839" t="s">
        <v>473</v>
      </c>
      <c r="EN839">
        <v>0</v>
      </c>
      <c r="EO839">
        <v>0</v>
      </c>
    </row>
    <row r="840" spans="1:311" x14ac:dyDescent="0.25">
      <c r="A840" t="s">
        <v>15824</v>
      </c>
      <c r="B840" t="str">
        <f>"198394060653"</f>
        <v>198394060653</v>
      </c>
      <c r="C840" t="s">
        <v>15825</v>
      </c>
      <c r="D840" t="s">
        <v>1420</v>
      </c>
      <c r="E840" t="s">
        <v>1077</v>
      </c>
      <c r="G840" t="str">
        <f>"65"</f>
        <v>65</v>
      </c>
      <c r="H840" t="str">
        <f>"35"</f>
        <v>35</v>
      </c>
      <c r="I840" t="str">
        <f>"16"</f>
        <v>16</v>
      </c>
      <c r="J840" t="str">
        <f>"85.98"</f>
        <v>85.98</v>
      </c>
      <c r="K840" t="s">
        <v>13730</v>
      </c>
      <c r="N840" t="s">
        <v>1463</v>
      </c>
      <c r="O840" t="s">
        <v>372</v>
      </c>
      <c r="T840" t="s">
        <v>373</v>
      </c>
      <c r="U840" t="s">
        <v>373</v>
      </c>
      <c r="W840" t="s">
        <v>15826</v>
      </c>
      <c r="X840" t="s">
        <v>15827</v>
      </c>
      <c r="Y840" t="s">
        <v>15828</v>
      </c>
      <c r="Z840" t="s">
        <v>15829</v>
      </c>
      <c r="AA840" t="s">
        <v>15830</v>
      </c>
      <c r="AB840" t="s">
        <v>15831</v>
      </c>
      <c r="AC840" t="s">
        <v>15832</v>
      </c>
      <c r="AD840" t="s">
        <v>15833</v>
      </c>
      <c r="AE840" t="s">
        <v>15834</v>
      </c>
      <c r="AF840" t="s">
        <v>15835</v>
      </c>
      <c r="BA840" t="str">
        <f>"1149"</f>
        <v>1149</v>
      </c>
      <c r="BB840" t="str">
        <f>"485"</f>
        <v>485</v>
      </c>
      <c r="BC840" t="s">
        <v>665</v>
      </c>
      <c r="BD840" t="str">
        <f>"2"</f>
        <v>2</v>
      </c>
      <c r="BE840" t="s">
        <v>15836</v>
      </c>
      <c r="BF840" t="str">
        <f>"69.69"</f>
        <v>69.69</v>
      </c>
      <c r="BG840" t="str">
        <f>"7.87"</f>
        <v>7.87</v>
      </c>
      <c r="BH840" t="str">
        <f>"39.76"</f>
        <v>39.76</v>
      </c>
      <c r="BI840" t="str">
        <f>"80.47"</f>
        <v>80.47</v>
      </c>
      <c r="BJ840" t="s">
        <v>1090</v>
      </c>
      <c r="BK840" t="str">
        <f>"25.39"</f>
        <v>25.39</v>
      </c>
      <c r="BL840" t="str">
        <f>"17.91"</f>
        <v>17.91</v>
      </c>
      <c r="BM840" t="str">
        <f>"20.08"</f>
        <v>20.08</v>
      </c>
      <c r="BN840" t="str">
        <f>"44.09"</f>
        <v>44.09</v>
      </c>
      <c r="BY840" t="str">
        <f>"17.94"</f>
        <v>17.94</v>
      </c>
      <c r="BZ840" t="str">
        <f>"0.508"</f>
        <v>0.508</v>
      </c>
      <c r="CA840" t="s">
        <v>390</v>
      </c>
      <c r="CR840" t="s">
        <v>400</v>
      </c>
      <c r="CS840">
        <v>0</v>
      </c>
      <c r="CT840" t="s">
        <v>400</v>
      </c>
      <c r="CV840">
        <v>0</v>
      </c>
      <c r="CX840" t="s">
        <v>1980</v>
      </c>
      <c r="CY840" t="s">
        <v>400</v>
      </c>
      <c r="DC840">
        <v>0</v>
      </c>
      <c r="DJ840" t="s">
        <v>408</v>
      </c>
      <c r="DK840" t="s">
        <v>15837</v>
      </c>
      <c r="DM840" t="s">
        <v>473</v>
      </c>
      <c r="DX840" t="s">
        <v>13445</v>
      </c>
      <c r="DZ840" t="s">
        <v>572</v>
      </c>
      <c r="EI840" t="s">
        <v>15838</v>
      </c>
      <c r="EJ840" t="s">
        <v>15839</v>
      </c>
      <c r="EK840" t="s">
        <v>15840</v>
      </c>
      <c r="EL840" t="s">
        <v>1350</v>
      </c>
      <c r="EM840" t="s">
        <v>402</v>
      </c>
      <c r="EN840">
        <v>0</v>
      </c>
      <c r="EO840">
        <v>0</v>
      </c>
      <c r="EX840" t="s">
        <v>7700</v>
      </c>
    </row>
    <row r="841" spans="1:311" x14ac:dyDescent="0.25">
      <c r="A841" t="s">
        <v>15841</v>
      </c>
      <c r="B841" t="str">
        <f>"801542347260"</f>
        <v>801542347260</v>
      </c>
      <c r="C841" t="s">
        <v>15842</v>
      </c>
      <c r="D841" t="s">
        <v>1420</v>
      </c>
      <c r="E841" t="s">
        <v>4074</v>
      </c>
      <c r="G841" t="str">
        <f>"78"</f>
        <v>78</v>
      </c>
      <c r="H841" t="str">
        <f>"18"</f>
        <v>18</v>
      </c>
      <c r="I841" t="str">
        <f>"30"</f>
        <v>30</v>
      </c>
      <c r="J841" t="str">
        <f>"142.2"</f>
        <v>142.2</v>
      </c>
      <c r="K841" t="s">
        <v>6507</v>
      </c>
      <c r="N841" t="s">
        <v>1970</v>
      </c>
      <c r="O841" t="s">
        <v>372</v>
      </c>
      <c r="T841" t="s">
        <v>373</v>
      </c>
      <c r="U841" t="s">
        <v>373</v>
      </c>
      <c r="V841" t="s">
        <v>15843</v>
      </c>
      <c r="W841" t="s">
        <v>15844</v>
      </c>
      <c r="X841" t="s">
        <v>15845</v>
      </c>
      <c r="Y841" t="s">
        <v>15846</v>
      </c>
      <c r="Z841" t="s">
        <v>15847</v>
      </c>
      <c r="AA841" t="s">
        <v>15848</v>
      </c>
      <c r="AB841" t="s">
        <v>15849</v>
      </c>
      <c r="AC841" t="s">
        <v>15850</v>
      </c>
      <c r="AD841" t="s">
        <v>15851</v>
      </c>
      <c r="AE841" t="s">
        <v>15852</v>
      </c>
      <c r="AF841" t="s">
        <v>15853</v>
      </c>
      <c r="AG841" t="s">
        <v>15854</v>
      </c>
      <c r="AH841" t="s">
        <v>15855</v>
      </c>
      <c r="AI841" t="s">
        <v>15856</v>
      </c>
      <c r="AJ841" t="s">
        <v>15857</v>
      </c>
      <c r="AK841" t="s">
        <v>15858</v>
      </c>
      <c r="BA841" t="str">
        <f>"1499"</f>
        <v>1499</v>
      </c>
      <c r="BB841" t="str">
        <f>"630"</f>
        <v>630</v>
      </c>
      <c r="BC841" t="s">
        <v>665</v>
      </c>
      <c r="BD841" t="str">
        <f t="shared" ref="BD841:BD857" si="181">"1"</f>
        <v>1</v>
      </c>
      <c r="BE841" t="s">
        <v>4093</v>
      </c>
      <c r="BF841" t="str">
        <f>"82.68"</f>
        <v>82.68</v>
      </c>
      <c r="BG841" t="str">
        <f>"22.83"</f>
        <v>22.83</v>
      </c>
      <c r="BH841" t="str">
        <f>"14.96"</f>
        <v>14.96</v>
      </c>
      <c r="BI841" t="str">
        <f>"185.19"</f>
        <v>185.19</v>
      </c>
      <c r="BY841" t="str">
        <f>"16.35"</f>
        <v>16.35</v>
      </c>
      <c r="BZ841" t="str">
        <f>"0.463"</f>
        <v>0.463</v>
      </c>
      <c r="CA841" t="s">
        <v>390</v>
      </c>
      <c r="CR841" t="s">
        <v>400</v>
      </c>
      <c r="CS841">
        <v>0</v>
      </c>
      <c r="CT841" t="s">
        <v>400</v>
      </c>
      <c r="CV841">
        <v>0</v>
      </c>
      <c r="CX841" t="s">
        <v>953</v>
      </c>
      <c r="CY841" t="s">
        <v>400</v>
      </c>
      <c r="DC841">
        <v>0</v>
      </c>
      <c r="DJ841" t="s">
        <v>408</v>
      </c>
      <c r="DK841" t="s">
        <v>15859</v>
      </c>
      <c r="DM841" t="s">
        <v>669</v>
      </c>
      <c r="DX841" t="s">
        <v>675</v>
      </c>
      <c r="DZ841" t="s">
        <v>15860</v>
      </c>
      <c r="EI841" t="s">
        <v>2595</v>
      </c>
      <c r="EJ841" t="s">
        <v>4209</v>
      </c>
      <c r="EK841" t="s">
        <v>15861</v>
      </c>
      <c r="EL841" t="s">
        <v>392</v>
      </c>
      <c r="EM841" t="s">
        <v>402</v>
      </c>
      <c r="EN841">
        <v>0</v>
      </c>
      <c r="EO841">
        <v>0</v>
      </c>
      <c r="EX841" t="s">
        <v>15862</v>
      </c>
      <c r="FI841">
        <v>0</v>
      </c>
      <c r="FJ841" t="s">
        <v>1012</v>
      </c>
    </row>
    <row r="842" spans="1:311" x14ac:dyDescent="0.25">
      <c r="A842" t="s">
        <v>15863</v>
      </c>
      <c r="B842" t="str">
        <f>"801542462178"</f>
        <v>801542462178</v>
      </c>
      <c r="C842" t="s">
        <v>15864</v>
      </c>
      <c r="D842" t="s">
        <v>1118</v>
      </c>
      <c r="E842" t="s">
        <v>459</v>
      </c>
      <c r="G842" t="str">
        <f>"17.75"</f>
        <v>17.75</v>
      </c>
      <c r="H842" t="str">
        <f>"17.75"</f>
        <v>17.75</v>
      </c>
      <c r="I842" t="str">
        <f>"20"</f>
        <v>20</v>
      </c>
      <c r="J842" t="str">
        <f>"24.16"</f>
        <v>24.16</v>
      </c>
      <c r="K842" t="s">
        <v>15865</v>
      </c>
      <c r="N842" t="s">
        <v>1121</v>
      </c>
      <c r="T842" t="s">
        <v>373</v>
      </c>
      <c r="U842" t="s">
        <v>373</v>
      </c>
      <c r="V842" t="s">
        <v>15866</v>
      </c>
      <c r="W842" t="s">
        <v>15867</v>
      </c>
      <c r="X842" t="s">
        <v>15868</v>
      </c>
      <c r="Y842" t="s">
        <v>15869</v>
      </c>
      <c r="Z842" t="s">
        <v>15870</v>
      </c>
      <c r="AA842" t="s">
        <v>15871</v>
      </c>
      <c r="AB842" t="s">
        <v>15872</v>
      </c>
      <c r="AC842" t="s">
        <v>15873</v>
      </c>
      <c r="AD842" t="s">
        <v>15874</v>
      </c>
      <c r="AE842" t="s">
        <v>15875</v>
      </c>
      <c r="AF842" t="s">
        <v>15876</v>
      </c>
      <c r="AG842" t="s">
        <v>15877</v>
      </c>
      <c r="AH842" t="s">
        <v>15878</v>
      </c>
      <c r="AI842" t="s">
        <v>15879</v>
      </c>
      <c r="AJ842" t="s">
        <v>15880</v>
      </c>
      <c r="BA842" t="str">
        <f>"399"</f>
        <v>399</v>
      </c>
      <c r="BB842" t="str">
        <f>"170"</f>
        <v>170</v>
      </c>
      <c r="BC842" t="s">
        <v>949</v>
      </c>
      <c r="BD842" t="str">
        <f t="shared" si="181"/>
        <v>1</v>
      </c>
      <c r="BE842" t="s">
        <v>389</v>
      </c>
      <c r="BF842" t="str">
        <f>"21"</f>
        <v>21</v>
      </c>
      <c r="BG842" t="str">
        <f>"21.5"</f>
        <v>21.5</v>
      </c>
      <c r="BH842" t="str">
        <f>"23"</f>
        <v>23</v>
      </c>
      <c r="BI842" t="str">
        <f>"31.88"</f>
        <v>31.88</v>
      </c>
      <c r="BY842" t="str">
        <f>"6"</f>
        <v>6</v>
      </c>
      <c r="BZ842" t="str">
        <f>"0.17"</f>
        <v>0.17</v>
      </c>
      <c r="CA842" t="s">
        <v>431</v>
      </c>
      <c r="CR842" t="s">
        <v>400</v>
      </c>
      <c r="CS842">
        <v>0</v>
      </c>
      <c r="CT842" t="s">
        <v>400</v>
      </c>
      <c r="CV842">
        <v>0</v>
      </c>
      <c r="CY842" t="s">
        <v>400</v>
      </c>
      <c r="DC842">
        <v>0</v>
      </c>
      <c r="DJ842" t="s">
        <v>471</v>
      </c>
      <c r="DK842" t="s">
        <v>15881</v>
      </c>
      <c r="DM842" t="s">
        <v>473</v>
      </c>
      <c r="DX842" t="s">
        <v>791</v>
      </c>
      <c r="EI842" t="s">
        <v>951</v>
      </c>
      <c r="EJ842" t="s">
        <v>474</v>
      </c>
      <c r="EK842" t="s">
        <v>951</v>
      </c>
      <c r="EL842" t="s">
        <v>1040</v>
      </c>
      <c r="EN842">
        <v>0</v>
      </c>
      <c r="EO842">
        <v>0</v>
      </c>
    </row>
    <row r="843" spans="1:311" x14ac:dyDescent="0.25">
      <c r="A843" t="s">
        <v>15882</v>
      </c>
      <c r="B843" t="str">
        <f>"801542920944"</f>
        <v>801542920944</v>
      </c>
      <c r="C843" t="s">
        <v>15883</v>
      </c>
      <c r="D843" t="s">
        <v>1098</v>
      </c>
      <c r="E843" t="s">
        <v>459</v>
      </c>
      <c r="G843" t="str">
        <f>"22"</f>
        <v>22</v>
      </c>
      <c r="H843" t="str">
        <f>"22"</f>
        <v>22</v>
      </c>
      <c r="I843" t="str">
        <f>"24"</f>
        <v>24</v>
      </c>
      <c r="J843" t="str">
        <f>"25.794"</f>
        <v>25.794</v>
      </c>
      <c r="K843" t="s">
        <v>15884</v>
      </c>
      <c r="N843" t="s">
        <v>1101</v>
      </c>
      <c r="T843" t="s">
        <v>373</v>
      </c>
      <c r="U843" t="s">
        <v>373</v>
      </c>
      <c r="V843" t="s">
        <v>15885</v>
      </c>
      <c r="W843" t="s">
        <v>15886</v>
      </c>
      <c r="X843" t="s">
        <v>15887</v>
      </c>
      <c r="Y843" t="s">
        <v>15888</v>
      </c>
      <c r="Z843" t="s">
        <v>15889</v>
      </c>
      <c r="AA843" t="s">
        <v>15890</v>
      </c>
      <c r="AB843" t="s">
        <v>15891</v>
      </c>
      <c r="AC843" t="s">
        <v>15892</v>
      </c>
      <c r="AD843" t="s">
        <v>15893</v>
      </c>
      <c r="AE843" t="s">
        <v>15894</v>
      </c>
      <c r="AF843" t="s">
        <v>15895</v>
      </c>
      <c r="AG843" t="s">
        <v>15896</v>
      </c>
      <c r="AH843" t="s">
        <v>15897</v>
      </c>
      <c r="BA843" t="str">
        <f>"549"</f>
        <v>549</v>
      </c>
      <c r="BB843" t="str">
        <f>"235"</f>
        <v>235</v>
      </c>
      <c r="BC843" t="s">
        <v>949</v>
      </c>
      <c r="BD843" t="str">
        <f t="shared" si="181"/>
        <v>1</v>
      </c>
      <c r="BE843" t="s">
        <v>389</v>
      </c>
      <c r="BF843" t="str">
        <f>"26"</f>
        <v>26</v>
      </c>
      <c r="BG843" t="str">
        <f>"26"</f>
        <v>26</v>
      </c>
      <c r="BH843" t="str">
        <f>"28.5"</f>
        <v>28.5</v>
      </c>
      <c r="BI843" t="str">
        <f>"45.19"</f>
        <v>45.19</v>
      </c>
      <c r="BY843" t="str">
        <f>"11.16"</f>
        <v>11.16</v>
      </c>
      <c r="BZ843" t="str">
        <f>"0.316"</f>
        <v>0.316</v>
      </c>
      <c r="CA843" t="s">
        <v>495</v>
      </c>
      <c r="CR843" t="s">
        <v>400</v>
      </c>
      <c r="CS843">
        <v>0</v>
      </c>
      <c r="CT843" t="s">
        <v>400</v>
      </c>
      <c r="CV843">
        <v>0</v>
      </c>
      <c r="CX843" t="s">
        <v>667</v>
      </c>
      <c r="CY843" t="s">
        <v>400</v>
      </c>
      <c r="DC843">
        <v>0</v>
      </c>
      <c r="DJ843" t="s">
        <v>471</v>
      </c>
      <c r="DK843" t="s">
        <v>15898</v>
      </c>
      <c r="DM843" t="s">
        <v>473</v>
      </c>
      <c r="DX843" t="s">
        <v>6662</v>
      </c>
      <c r="EI843" t="s">
        <v>448</v>
      </c>
      <c r="EJ843" t="s">
        <v>2074</v>
      </c>
      <c r="EK843" t="s">
        <v>475</v>
      </c>
      <c r="EL843" t="s">
        <v>6662</v>
      </c>
      <c r="EN843">
        <v>0</v>
      </c>
      <c r="EO843">
        <v>0</v>
      </c>
      <c r="EX843" t="s">
        <v>1852</v>
      </c>
    </row>
    <row r="844" spans="1:311" x14ac:dyDescent="0.25">
      <c r="A844" t="s">
        <v>15899</v>
      </c>
      <c r="B844" t="str">
        <f>"801542979775"</f>
        <v>801542979775</v>
      </c>
      <c r="C844" t="s">
        <v>15900</v>
      </c>
      <c r="D844" t="s">
        <v>1098</v>
      </c>
      <c r="E844" t="s">
        <v>459</v>
      </c>
      <c r="G844" t="str">
        <f>"22"</f>
        <v>22</v>
      </c>
      <c r="H844" t="str">
        <f>"22"</f>
        <v>22</v>
      </c>
      <c r="I844" t="str">
        <f>"24"</f>
        <v>24</v>
      </c>
      <c r="J844" t="str">
        <f>"25.794"</f>
        <v>25.794</v>
      </c>
      <c r="K844" t="s">
        <v>15901</v>
      </c>
      <c r="N844" t="s">
        <v>1101</v>
      </c>
      <c r="T844" t="s">
        <v>373</v>
      </c>
      <c r="U844" t="s">
        <v>373</v>
      </c>
      <c r="V844" t="s">
        <v>15902</v>
      </c>
      <c r="W844" t="s">
        <v>15903</v>
      </c>
      <c r="X844" t="s">
        <v>15904</v>
      </c>
      <c r="Y844" t="s">
        <v>15905</v>
      </c>
      <c r="Z844" t="s">
        <v>15906</v>
      </c>
      <c r="AA844" t="s">
        <v>15907</v>
      </c>
      <c r="AB844" t="s">
        <v>15908</v>
      </c>
      <c r="AC844" t="s">
        <v>15909</v>
      </c>
      <c r="AD844" t="s">
        <v>15910</v>
      </c>
      <c r="AE844" t="s">
        <v>15911</v>
      </c>
      <c r="AF844" t="s">
        <v>15912</v>
      </c>
      <c r="AG844" t="s">
        <v>15913</v>
      </c>
      <c r="AH844" t="s">
        <v>15914</v>
      </c>
      <c r="BA844" t="str">
        <f>"549"</f>
        <v>549</v>
      </c>
      <c r="BB844" t="str">
        <f>"235"</f>
        <v>235</v>
      </c>
      <c r="BC844" t="s">
        <v>949</v>
      </c>
      <c r="BD844" t="str">
        <f t="shared" si="181"/>
        <v>1</v>
      </c>
      <c r="BE844" t="s">
        <v>389</v>
      </c>
      <c r="BF844" t="str">
        <f>"26"</f>
        <v>26</v>
      </c>
      <c r="BG844" t="str">
        <f>"26"</f>
        <v>26</v>
      </c>
      <c r="BH844" t="str">
        <f>"28.5"</f>
        <v>28.5</v>
      </c>
      <c r="BI844" t="str">
        <f>"45.19"</f>
        <v>45.19</v>
      </c>
      <c r="BY844" t="str">
        <f>"11.16"</f>
        <v>11.16</v>
      </c>
      <c r="BZ844" t="str">
        <f>"0.316"</f>
        <v>0.316</v>
      </c>
      <c r="CA844" t="s">
        <v>495</v>
      </c>
      <c r="CR844" t="s">
        <v>400</v>
      </c>
      <c r="CS844">
        <v>0</v>
      </c>
      <c r="CT844" t="s">
        <v>400</v>
      </c>
      <c r="CV844">
        <v>0</v>
      </c>
      <c r="CX844" t="s">
        <v>667</v>
      </c>
      <c r="CY844" t="s">
        <v>400</v>
      </c>
      <c r="DC844">
        <v>0</v>
      </c>
      <c r="DJ844" t="s">
        <v>471</v>
      </c>
      <c r="DK844" t="s">
        <v>15898</v>
      </c>
      <c r="DM844" t="s">
        <v>473</v>
      </c>
      <c r="DX844" t="s">
        <v>6662</v>
      </c>
      <c r="EI844" t="s">
        <v>448</v>
      </c>
      <c r="EJ844" t="s">
        <v>2074</v>
      </c>
      <c r="EK844" t="s">
        <v>475</v>
      </c>
      <c r="EL844" t="s">
        <v>6662</v>
      </c>
      <c r="EN844">
        <v>0</v>
      </c>
      <c r="EO844">
        <v>0</v>
      </c>
      <c r="EX844" t="s">
        <v>1852</v>
      </c>
    </row>
    <row r="845" spans="1:311" x14ac:dyDescent="0.25">
      <c r="A845" t="s">
        <v>15915</v>
      </c>
      <c r="B845" t="str">
        <f>"801542919535"</f>
        <v>801542919535</v>
      </c>
      <c r="C845" t="s">
        <v>15916</v>
      </c>
      <c r="D845" t="s">
        <v>929</v>
      </c>
      <c r="E845" t="s">
        <v>988</v>
      </c>
      <c r="G845" t="str">
        <f>"70"</f>
        <v>70</v>
      </c>
      <c r="H845" t="str">
        <f>"22"</f>
        <v>22</v>
      </c>
      <c r="I845" t="str">
        <f>"33.75"</f>
        <v>33.75</v>
      </c>
      <c r="J845" t="str">
        <f>"271.39"</f>
        <v>271.39</v>
      </c>
      <c r="K845" t="s">
        <v>15422</v>
      </c>
      <c r="N845" t="s">
        <v>372</v>
      </c>
      <c r="T845" t="s">
        <v>373</v>
      </c>
      <c r="U845" t="s">
        <v>373</v>
      </c>
      <c r="V845" t="s">
        <v>15917</v>
      </c>
      <c r="W845" t="s">
        <v>15918</v>
      </c>
      <c r="X845" t="s">
        <v>15919</v>
      </c>
      <c r="Y845" t="s">
        <v>15920</v>
      </c>
      <c r="Z845" t="s">
        <v>15921</v>
      </c>
      <c r="AA845" t="s">
        <v>15922</v>
      </c>
      <c r="AB845" t="s">
        <v>15923</v>
      </c>
      <c r="AC845" t="s">
        <v>15924</v>
      </c>
      <c r="AD845" t="s">
        <v>15925</v>
      </c>
      <c r="AE845" t="s">
        <v>15926</v>
      </c>
      <c r="AF845" t="s">
        <v>15927</v>
      </c>
      <c r="AG845" t="s">
        <v>15928</v>
      </c>
      <c r="AH845" t="s">
        <v>15929</v>
      </c>
      <c r="AI845" t="s">
        <v>15930</v>
      </c>
      <c r="AJ845" t="s">
        <v>15931</v>
      </c>
      <c r="AK845" t="s">
        <v>15932</v>
      </c>
      <c r="AL845" t="s">
        <v>15933</v>
      </c>
      <c r="BA845" t="str">
        <f>"2999"</f>
        <v>2999</v>
      </c>
      <c r="BB845" t="str">
        <f>"1260"</f>
        <v>1260</v>
      </c>
      <c r="BC845" t="s">
        <v>949</v>
      </c>
      <c r="BD845" t="str">
        <f t="shared" si="181"/>
        <v>1</v>
      </c>
      <c r="BE845" t="s">
        <v>389</v>
      </c>
      <c r="BF845" t="str">
        <f>"75.5"</f>
        <v>75.5</v>
      </c>
      <c r="BG845" t="str">
        <f>"26.5"</f>
        <v>26.5</v>
      </c>
      <c r="BH845" t="str">
        <f>"38"</f>
        <v>38</v>
      </c>
      <c r="BI845" t="str">
        <f>"323.3"</f>
        <v>323.3</v>
      </c>
      <c r="BY845" t="str">
        <f>"44"</f>
        <v>44</v>
      </c>
      <c r="BZ845" t="str">
        <f>"1.246"</f>
        <v>1.246</v>
      </c>
      <c r="CA845" t="s">
        <v>390</v>
      </c>
      <c r="CR845" t="s">
        <v>1007</v>
      </c>
      <c r="CS845">
        <v>6</v>
      </c>
      <c r="CT845" t="s">
        <v>1344</v>
      </c>
      <c r="CV845">
        <v>0</v>
      </c>
      <c r="CX845" t="s">
        <v>667</v>
      </c>
      <c r="CY845" t="s">
        <v>1009</v>
      </c>
      <c r="DC845">
        <v>0</v>
      </c>
      <c r="DJ845" t="s">
        <v>1010</v>
      </c>
      <c r="DK845" t="s">
        <v>15439</v>
      </c>
      <c r="DM845" t="s">
        <v>473</v>
      </c>
      <c r="DX845" t="s">
        <v>446</v>
      </c>
      <c r="EM845" t="s">
        <v>402</v>
      </c>
      <c r="EN845">
        <v>0</v>
      </c>
      <c r="FG845" t="s">
        <v>402</v>
      </c>
      <c r="FI845">
        <v>0</v>
      </c>
      <c r="FJ845" t="s">
        <v>1012</v>
      </c>
      <c r="FP845" t="s">
        <v>402</v>
      </c>
      <c r="FR845" t="s">
        <v>474</v>
      </c>
      <c r="FT845" t="s">
        <v>797</v>
      </c>
      <c r="FV845" t="s">
        <v>2792</v>
      </c>
      <c r="FX845" t="s">
        <v>4210</v>
      </c>
      <c r="FZ845" t="s">
        <v>1018</v>
      </c>
      <c r="GA845" t="s">
        <v>402</v>
      </c>
    </row>
    <row r="846" spans="1:311" x14ac:dyDescent="0.25">
      <c r="A846" t="s">
        <v>15934</v>
      </c>
      <c r="B846" t="str">
        <f>"801542978952"</f>
        <v>801542978952</v>
      </c>
      <c r="C846" t="s">
        <v>15935</v>
      </c>
      <c r="D846" t="s">
        <v>929</v>
      </c>
      <c r="E846" t="s">
        <v>988</v>
      </c>
      <c r="G846" t="str">
        <f>"70"</f>
        <v>70</v>
      </c>
      <c r="H846" t="str">
        <f>"22"</f>
        <v>22</v>
      </c>
      <c r="I846" t="str">
        <f>"33.75"</f>
        <v>33.75</v>
      </c>
      <c r="J846" t="str">
        <f>"271.39"</f>
        <v>271.39</v>
      </c>
      <c r="K846" t="s">
        <v>15443</v>
      </c>
      <c r="N846" t="s">
        <v>372</v>
      </c>
      <c r="T846" t="s">
        <v>373</v>
      </c>
      <c r="U846" t="s">
        <v>373</v>
      </c>
      <c r="V846" t="s">
        <v>15936</v>
      </c>
      <c r="W846" t="s">
        <v>15937</v>
      </c>
      <c r="X846" t="s">
        <v>15938</v>
      </c>
      <c r="Y846" t="s">
        <v>15939</v>
      </c>
      <c r="Z846" t="s">
        <v>15940</v>
      </c>
      <c r="AA846" t="s">
        <v>15941</v>
      </c>
      <c r="AB846" t="s">
        <v>15942</v>
      </c>
      <c r="AC846" t="s">
        <v>15943</v>
      </c>
      <c r="AD846" t="s">
        <v>15944</v>
      </c>
      <c r="AE846" t="s">
        <v>15945</v>
      </c>
      <c r="AF846" t="s">
        <v>15946</v>
      </c>
      <c r="AG846" t="s">
        <v>15947</v>
      </c>
      <c r="AH846" t="s">
        <v>15948</v>
      </c>
      <c r="AI846" t="s">
        <v>15949</v>
      </c>
      <c r="AJ846" t="s">
        <v>15950</v>
      </c>
      <c r="BA846" t="str">
        <f>"2999"</f>
        <v>2999</v>
      </c>
      <c r="BB846" t="str">
        <f>"1260"</f>
        <v>1260</v>
      </c>
      <c r="BC846" t="s">
        <v>949</v>
      </c>
      <c r="BD846" t="str">
        <f t="shared" si="181"/>
        <v>1</v>
      </c>
      <c r="BE846" t="s">
        <v>389</v>
      </c>
      <c r="BF846" t="str">
        <f>"75.5"</f>
        <v>75.5</v>
      </c>
      <c r="BG846" t="str">
        <f>"26.5"</f>
        <v>26.5</v>
      </c>
      <c r="BH846" t="str">
        <f>"38"</f>
        <v>38</v>
      </c>
      <c r="BI846" t="str">
        <f>"323.3"</f>
        <v>323.3</v>
      </c>
      <c r="BY846" t="str">
        <f>"44"</f>
        <v>44</v>
      </c>
      <c r="BZ846" t="str">
        <f>"1.246"</f>
        <v>1.246</v>
      </c>
      <c r="CA846" t="s">
        <v>431</v>
      </c>
      <c r="CR846" t="s">
        <v>1007</v>
      </c>
      <c r="CS846">
        <v>6</v>
      </c>
      <c r="CT846" t="s">
        <v>1344</v>
      </c>
      <c r="CV846">
        <v>0</v>
      </c>
      <c r="CX846" t="s">
        <v>667</v>
      </c>
      <c r="CY846" t="s">
        <v>1009</v>
      </c>
      <c r="DC846">
        <v>0</v>
      </c>
      <c r="DJ846" t="s">
        <v>1010</v>
      </c>
      <c r="DK846" t="s">
        <v>15439</v>
      </c>
      <c r="DM846" t="s">
        <v>473</v>
      </c>
      <c r="DX846" t="s">
        <v>446</v>
      </c>
      <c r="EM846" t="s">
        <v>402</v>
      </c>
      <c r="EN846">
        <v>0</v>
      </c>
      <c r="FG846" t="s">
        <v>402</v>
      </c>
      <c r="FI846">
        <v>0</v>
      </c>
      <c r="FJ846" t="s">
        <v>1012</v>
      </c>
      <c r="FP846" t="s">
        <v>402</v>
      </c>
      <c r="FR846" t="s">
        <v>474</v>
      </c>
      <c r="FT846" t="s">
        <v>797</v>
      </c>
      <c r="FV846" t="s">
        <v>2792</v>
      </c>
      <c r="FX846" t="s">
        <v>4210</v>
      </c>
      <c r="FZ846" t="s">
        <v>1018</v>
      </c>
      <c r="GA846" t="s">
        <v>402</v>
      </c>
    </row>
    <row r="847" spans="1:311" x14ac:dyDescent="0.25">
      <c r="A847" t="s">
        <v>15951</v>
      </c>
      <c r="B847" t="str">
        <f>"801542330156"</f>
        <v>801542330156</v>
      </c>
      <c r="C847" t="s">
        <v>15952</v>
      </c>
      <c r="D847" t="s">
        <v>929</v>
      </c>
      <c r="E847" t="s">
        <v>1043</v>
      </c>
      <c r="G847" t="str">
        <f>"32"</f>
        <v>32</v>
      </c>
      <c r="H847" t="str">
        <f>"20"</f>
        <v>20</v>
      </c>
      <c r="I847" t="str">
        <f>"25"</f>
        <v>25</v>
      </c>
      <c r="J847" t="str">
        <f>"90.83"</f>
        <v>90.83</v>
      </c>
      <c r="K847" t="s">
        <v>15421</v>
      </c>
      <c r="L847" t="s">
        <v>15422</v>
      </c>
      <c r="N847" t="s">
        <v>372</v>
      </c>
      <c r="T847" t="s">
        <v>373</v>
      </c>
      <c r="U847" t="s">
        <v>373</v>
      </c>
      <c r="V847" t="s">
        <v>15953</v>
      </c>
      <c r="W847" t="s">
        <v>15954</v>
      </c>
      <c r="X847" t="s">
        <v>15955</v>
      </c>
      <c r="Y847" t="s">
        <v>15956</v>
      </c>
      <c r="Z847" t="s">
        <v>15957</v>
      </c>
      <c r="AA847" t="s">
        <v>15958</v>
      </c>
      <c r="AB847" t="s">
        <v>15959</v>
      </c>
      <c r="AC847" t="s">
        <v>15960</v>
      </c>
      <c r="AD847" t="s">
        <v>15961</v>
      </c>
      <c r="AE847" t="s">
        <v>15962</v>
      </c>
      <c r="AF847" t="s">
        <v>15963</v>
      </c>
      <c r="AG847" t="s">
        <v>15964</v>
      </c>
      <c r="AH847" t="s">
        <v>15965</v>
      </c>
      <c r="AI847" t="s">
        <v>15966</v>
      </c>
      <c r="AJ847" t="s">
        <v>15967</v>
      </c>
      <c r="AK847" t="s">
        <v>15968</v>
      </c>
      <c r="AL847" t="s">
        <v>15969</v>
      </c>
      <c r="AM847" t="s">
        <v>15970</v>
      </c>
      <c r="AN847" t="s">
        <v>15971</v>
      </c>
      <c r="BA847" t="str">
        <f>"1299"</f>
        <v>1299</v>
      </c>
      <c r="BB847" t="str">
        <f>"550"</f>
        <v>550</v>
      </c>
      <c r="BC847" t="s">
        <v>949</v>
      </c>
      <c r="BD847" t="str">
        <f t="shared" si="181"/>
        <v>1</v>
      </c>
      <c r="BE847" t="s">
        <v>389</v>
      </c>
      <c r="BF847" t="str">
        <f>"35.5"</f>
        <v>35.5</v>
      </c>
      <c r="BG847" t="str">
        <f>"24"</f>
        <v>24</v>
      </c>
      <c r="BH847" t="str">
        <f>"29"</f>
        <v>29</v>
      </c>
      <c r="BI847" t="str">
        <f>"109.67"</f>
        <v>109.67</v>
      </c>
      <c r="BY847" t="str">
        <f>"14.3"</f>
        <v>14.3</v>
      </c>
      <c r="BZ847" t="str">
        <f>"0.405"</f>
        <v>0.405</v>
      </c>
      <c r="CA847" t="s">
        <v>495</v>
      </c>
      <c r="CR847" t="s">
        <v>1007</v>
      </c>
      <c r="CS847">
        <v>2</v>
      </c>
      <c r="CT847" t="s">
        <v>1344</v>
      </c>
      <c r="CV847">
        <v>0</v>
      </c>
      <c r="CX847" t="s">
        <v>953</v>
      </c>
      <c r="CY847" t="s">
        <v>1009</v>
      </c>
      <c r="DC847">
        <v>0</v>
      </c>
      <c r="DJ847" t="s">
        <v>408</v>
      </c>
      <c r="DK847" t="s">
        <v>15439</v>
      </c>
      <c r="DM847" t="s">
        <v>473</v>
      </c>
      <c r="DX847" t="s">
        <v>446</v>
      </c>
      <c r="EM847" t="s">
        <v>402</v>
      </c>
      <c r="EN847">
        <v>0</v>
      </c>
      <c r="FI847">
        <v>0</v>
      </c>
      <c r="FJ847" t="s">
        <v>1012</v>
      </c>
      <c r="FP847" t="s">
        <v>402</v>
      </c>
      <c r="FR847" t="s">
        <v>510</v>
      </c>
      <c r="FT847" t="s">
        <v>797</v>
      </c>
      <c r="FV847" t="s">
        <v>638</v>
      </c>
      <c r="FX847" t="s">
        <v>4210</v>
      </c>
      <c r="FZ847" t="s">
        <v>953</v>
      </c>
      <c r="GA847" t="s">
        <v>402</v>
      </c>
    </row>
    <row r="848" spans="1:311" x14ac:dyDescent="0.25">
      <c r="A848" t="s">
        <v>15972</v>
      </c>
      <c r="B848" t="str">
        <f>"801542978969"</f>
        <v>801542978969</v>
      </c>
      <c r="C848" t="s">
        <v>15973</v>
      </c>
      <c r="D848" t="s">
        <v>929</v>
      </c>
      <c r="E848" t="s">
        <v>1043</v>
      </c>
      <c r="G848" t="str">
        <f>"32"</f>
        <v>32</v>
      </c>
      <c r="H848" t="str">
        <f>"20"</f>
        <v>20</v>
      </c>
      <c r="I848" t="str">
        <f>"25"</f>
        <v>25</v>
      </c>
      <c r="J848" t="str">
        <f>"90.83"</f>
        <v>90.83</v>
      </c>
      <c r="K848" t="s">
        <v>15442</v>
      </c>
      <c r="L848" t="s">
        <v>15443</v>
      </c>
      <c r="N848" t="s">
        <v>372</v>
      </c>
      <c r="T848" t="s">
        <v>373</v>
      </c>
      <c r="U848" t="s">
        <v>373</v>
      </c>
      <c r="V848" t="s">
        <v>15974</v>
      </c>
      <c r="W848" t="s">
        <v>15975</v>
      </c>
      <c r="X848" t="s">
        <v>15976</v>
      </c>
      <c r="Y848" t="s">
        <v>15977</v>
      </c>
      <c r="Z848" t="s">
        <v>15978</v>
      </c>
      <c r="AA848" t="s">
        <v>15979</v>
      </c>
      <c r="AB848" t="s">
        <v>15980</v>
      </c>
      <c r="AC848" t="s">
        <v>15981</v>
      </c>
      <c r="AD848" t="s">
        <v>15982</v>
      </c>
      <c r="AE848" t="s">
        <v>15983</v>
      </c>
      <c r="AF848" t="s">
        <v>15984</v>
      </c>
      <c r="AG848" t="s">
        <v>15985</v>
      </c>
      <c r="AH848" t="s">
        <v>15986</v>
      </c>
      <c r="AI848" t="s">
        <v>15987</v>
      </c>
      <c r="BA848" t="str">
        <f>"1299"</f>
        <v>1299</v>
      </c>
      <c r="BB848" t="str">
        <f>"550"</f>
        <v>550</v>
      </c>
      <c r="BC848" t="s">
        <v>949</v>
      </c>
      <c r="BD848" t="str">
        <f t="shared" si="181"/>
        <v>1</v>
      </c>
      <c r="BE848" t="s">
        <v>389</v>
      </c>
      <c r="BF848" t="str">
        <f>"35.5"</f>
        <v>35.5</v>
      </c>
      <c r="BG848" t="str">
        <f>"24"</f>
        <v>24</v>
      </c>
      <c r="BH848" t="str">
        <f>"29"</f>
        <v>29</v>
      </c>
      <c r="BI848" t="str">
        <f>"109.67"</f>
        <v>109.67</v>
      </c>
      <c r="BY848" t="str">
        <f>"14.3"</f>
        <v>14.3</v>
      </c>
      <c r="BZ848" t="str">
        <f>"0.405"</f>
        <v>0.405</v>
      </c>
      <c r="CA848" t="s">
        <v>431</v>
      </c>
      <c r="CR848" t="s">
        <v>1007</v>
      </c>
      <c r="CS848">
        <v>2</v>
      </c>
      <c r="CT848" t="s">
        <v>1344</v>
      </c>
      <c r="CV848">
        <v>0</v>
      </c>
      <c r="CX848" t="s">
        <v>953</v>
      </c>
      <c r="CY848" t="s">
        <v>1009</v>
      </c>
      <c r="DC848">
        <v>0</v>
      </c>
      <c r="DJ848" t="s">
        <v>408</v>
      </c>
      <c r="DK848" t="s">
        <v>15439</v>
      </c>
      <c r="DM848" t="s">
        <v>473</v>
      </c>
      <c r="DX848" t="s">
        <v>446</v>
      </c>
      <c r="EM848" t="s">
        <v>402</v>
      </c>
      <c r="EN848">
        <v>0</v>
      </c>
      <c r="FI848">
        <v>0</v>
      </c>
      <c r="FJ848" t="s">
        <v>1012</v>
      </c>
      <c r="FP848" t="s">
        <v>402</v>
      </c>
      <c r="FR848" t="s">
        <v>510</v>
      </c>
      <c r="FT848" t="s">
        <v>797</v>
      </c>
      <c r="FV848" t="s">
        <v>638</v>
      </c>
      <c r="FX848" t="s">
        <v>4210</v>
      </c>
      <c r="FZ848" t="s">
        <v>953</v>
      </c>
      <c r="GA848" t="s">
        <v>402</v>
      </c>
    </row>
    <row r="849" spans="1:326" x14ac:dyDescent="0.25">
      <c r="A849" t="s">
        <v>15988</v>
      </c>
      <c r="B849" t="str">
        <f>"801542318482"</f>
        <v>801542318482</v>
      </c>
      <c r="C849" t="s">
        <v>15989</v>
      </c>
      <c r="D849" t="s">
        <v>15054</v>
      </c>
      <c r="E849" t="s">
        <v>1043</v>
      </c>
      <c r="G849" t="str">
        <f>"32"</f>
        <v>32</v>
      </c>
      <c r="H849" t="str">
        <f>"22"</f>
        <v>22</v>
      </c>
      <c r="I849" t="str">
        <f>"26"</f>
        <v>26</v>
      </c>
      <c r="J849" t="str">
        <f>"77.16"</f>
        <v>77.16</v>
      </c>
      <c r="K849" t="s">
        <v>15055</v>
      </c>
      <c r="L849" t="s">
        <v>5580</v>
      </c>
      <c r="N849" t="s">
        <v>933</v>
      </c>
      <c r="O849" t="s">
        <v>555</v>
      </c>
      <c r="T849" t="s">
        <v>373</v>
      </c>
      <c r="U849" t="s">
        <v>373</v>
      </c>
      <c r="V849" t="s">
        <v>15990</v>
      </c>
      <c r="W849" t="s">
        <v>15991</v>
      </c>
      <c r="X849" t="s">
        <v>15992</v>
      </c>
      <c r="Y849" t="s">
        <v>15993</v>
      </c>
      <c r="Z849" t="s">
        <v>15994</v>
      </c>
      <c r="AA849" t="s">
        <v>15995</v>
      </c>
      <c r="AB849" t="s">
        <v>15996</v>
      </c>
      <c r="AC849" t="s">
        <v>15997</v>
      </c>
      <c r="AD849" t="s">
        <v>15998</v>
      </c>
      <c r="AE849" t="s">
        <v>15999</v>
      </c>
      <c r="AF849" t="s">
        <v>16000</v>
      </c>
      <c r="AG849" t="s">
        <v>16001</v>
      </c>
      <c r="AH849" t="s">
        <v>16002</v>
      </c>
      <c r="AI849" t="s">
        <v>16003</v>
      </c>
      <c r="AJ849" t="s">
        <v>16004</v>
      </c>
      <c r="AK849" t="s">
        <v>16005</v>
      </c>
      <c r="BA849" t="str">
        <f>"799"</f>
        <v>799</v>
      </c>
      <c r="BB849" t="str">
        <f>"340"</f>
        <v>340</v>
      </c>
      <c r="BC849" t="s">
        <v>949</v>
      </c>
      <c r="BD849" t="str">
        <f t="shared" si="181"/>
        <v>1</v>
      </c>
      <c r="BE849" t="s">
        <v>389</v>
      </c>
      <c r="BF849" t="str">
        <f>"35.5"</f>
        <v>35.5</v>
      </c>
      <c r="BG849" t="str">
        <f>"25"</f>
        <v>25</v>
      </c>
      <c r="BH849" t="str">
        <f>"30"</f>
        <v>30</v>
      </c>
      <c r="BI849" t="str">
        <f>"106.15"</f>
        <v>106.15</v>
      </c>
      <c r="BY849" t="str">
        <f>"15.4"</f>
        <v>15.4</v>
      </c>
      <c r="BZ849" t="str">
        <f>"0.436"</f>
        <v>0.436</v>
      </c>
      <c r="CA849" t="s">
        <v>495</v>
      </c>
      <c r="CR849" t="s">
        <v>5068</v>
      </c>
      <c r="CS849">
        <v>2</v>
      </c>
      <c r="CT849" t="s">
        <v>400</v>
      </c>
      <c r="CV849">
        <v>0</v>
      </c>
      <c r="CX849" t="s">
        <v>667</v>
      </c>
      <c r="CY849" t="s">
        <v>1009</v>
      </c>
      <c r="DC849">
        <v>0</v>
      </c>
      <c r="DJ849" t="s">
        <v>408</v>
      </c>
      <c r="DK849" t="s">
        <v>16006</v>
      </c>
      <c r="DM849" t="s">
        <v>473</v>
      </c>
      <c r="DX849" t="s">
        <v>2263</v>
      </c>
      <c r="EM849" t="s">
        <v>402</v>
      </c>
      <c r="EN849">
        <v>0</v>
      </c>
      <c r="FI849">
        <v>0</v>
      </c>
      <c r="FJ849" t="s">
        <v>1012</v>
      </c>
      <c r="FP849" t="s">
        <v>402</v>
      </c>
      <c r="FR849" t="s">
        <v>979</v>
      </c>
      <c r="FT849" t="s">
        <v>799</v>
      </c>
      <c r="FV849" t="s">
        <v>1493</v>
      </c>
      <c r="FX849" t="s">
        <v>4210</v>
      </c>
      <c r="FZ849" t="s">
        <v>953</v>
      </c>
    </row>
    <row r="850" spans="1:326" x14ac:dyDescent="0.25">
      <c r="A850" t="s">
        <v>16007</v>
      </c>
      <c r="B850" t="str">
        <f>"198394142724"</f>
        <v>198394142724</v>
      </c>
      <c r="C850" t="s">
        <v>16008</v>
      </c>
      <c r="D850" t="s">
        <v>15054</v>
      </c>
      <c r="E850" t="s">
        <v>1043</v>
      </c>
      <c r="G850" t="str">
        <f>"32"</f>
        <v>32</v>
      </c>
      <c r="H850" t="str">
        <f>"22"</f>
        <v>22</v>
      </c>
      <c r="I850" t="str">
        <f>"26"</f>
        <v>26</v>
      </c>
      <c r="J850" t="str">
        <f>"77.16"</f>
        <v>77.16</v>
      </c>
      <c r="K850" t="s">
        <v>16009</v>
      </c>
      <c r="L850" t="s">
        <v>5580</v>
      </c>
      <c r="N850" t="s">
        <v>933</v>
      </c>
      <c r="O850" t="s">
        <v>555</v>
      </c>
      <c r="T850" t="s">
        <v>373</v>
      </c>
      <c r="U850" t="s">
        <v>373</v>
      </c>
      <c r="V850" t="s">
        <v>15990</v>
      </c>
      <c r="W850" t="s">
        <v>16010</v>
      </c>
      <c r="X850" t="s">
        <v>16011</v>
      </c>
      <c r="Y850" t="s">
        <v>16012</v>
      </c>
      <c r="Z850" t="s">
        <v>16013</v>
      </c>
      <c r="AA850" t="s">
        <v>16014</v>
      </c>
      <c r="AB850" t="s">
        <v>16015</v>
      </c>
      <c r="AC850" t="s">
        <v>16016</v>
      </c>
      <c r="AD850" t="s">
        <v>16017</v>
      </c>
      <c r="AE850" t="s">
        <v>16018</v>
      </c>
      <c r="AF850" t="s">
        <v>16019</v>
      </c>
      <c r="AG850" t="s">
        <v>16020</v>
      </c>
      <c r="AH850" t="s">
        <v>16021</v>
      </c>
      <c r="AI850" t="s">
        <v>16022</v>
      </c>
      <c r="BA850" t="str">
        <f>"849"</f>
        <v>849</v>
      </c>
      <c r="BB850" t="str">
        <f>"360"</f>
        <v>360</v>
      </c>
      <c r="BC850" t="s">
        <v>949</v>
      </c>
      <c r="BD850" t="str">
        <f t="shared" si="181"/>
        <v>1</v>
      </c>
      <c r="BE850" t="s">
        <v>389</v>
      </c>
      <c r="BF850" t="str">
        <f>"35.5"</f>
        <v>35.5</v>
      </c>
      <c r="BG850" t="str">
        <f>"25"</f>
        <v>25</v>
      </c>
      <c r="BH850" t="str">
        <f>"30"</f>
        <v>30</v>
      </c>
      <c r="BI850" t="str">
        <f>"106.15"</f>
        <v>106.15</v>
      </c>
      <c r="BY850" t="str">
        <f>"15.4"</f>
        <v>15.4</v>
      </c>
      <c r="BZ850" t="str">
        <f>"0.436"</f>
        <v>0.436</v>
      </c>
      <c r="CA850" t="s">
        <v>431</v>
      </c>
      <c r="CR850" t="s">
        <v>5068</v>
      </c>
      <c r="CS850">
        <v>2</v>
      </c>
      <c r="CT850" t="s">
        <v>400</v>
      </c>
      <c r="CV850">
        <v>0</v>
      </c>
      <c r="CX850" t="s">
        <v>667</v>
      </c>
      <c r="CY850" t="s">
        <v>1009</v>
      </c>
      <c r="DC850">
        <v>0</v>
      </c>
      <c r="DJ850" t="s">
        <v>408</v>
      </c>
      <c r="DK850" t="s">
        <v>16006</v>
      </c>
      <c r="DM850" t="s">
        <v>473</v>
      </c>
      <c r="DX850" t="s">
        <v>2263</v>
      </c>
      <c r="EM850" t="s">
        <v>402</v>
      </c>
      <c r="EN850">
        <v>0</v>
      </c>
      <c r="FI850">
        <v>0</v>
      </c>
      <c r="FJ850" t="s">
        <v>1012</v>
      </c>
      <c r="FP850" t="s">
        <v>402</v>
      </c>
      <c r="FR850" t="s">
        <v>979</v>
      </c>
      <c r="FT850" t="s">
        <v>799</v>
      </c>
      <c r="FV850" t="s">
        <v>1493</v>
      </c>
      <c r="FX850" t="s">
        <v>4210</v>
      </c>
      <c r="FZ850" t="s">
        <v>953</v>
      </c>
    </row>
    <row r="851" spans="1:326" x14ac:dyDescent="0.25">
      <c r="A851" t="s">
        <v>16023</v>
      </c>
      <c r="B851" t="str">
        <f>"801542312725"</f>
        <v>801542312725</v>
      </c>
      <c r="C851" t="s">
        <v>10955</v>
      </c>
      <c r="D851" t="s">
        <v>1224</v>
      </c>
      <c r="E851" t="s">
        <v>647</v>
      </c>
      <c r="F851" t="s">
        <v>648</v>
      </c>
      <c r="G851" t="str">
        <f>"86"</f>
        <v>86</v>
      </c>
      <c r="H851" t="str">
        <f>"43"</f>
        <v>43</v>
      </c>
      <c r="I851" t="str">
        <f>"30"</f>
        <v>30</v>
      </c>
      <c r="J851" t="str">
        <f>"188.27"</f>
        <v>188.27</v>
      </c>
      <c r="K851" t="s">
        <v>8690</v>
      </c>
      <c r="N851" t="s">
        <v>1463</v>
      </c>
      <c r="T851" t="s">
        <v>402</v>
      </c>
      <c r="U851" t="s">
        <v>373</v>
      </c>
      <c r="V851" t="s">
        <v>16024</v>
      </c>
      <c r="W851" t="s">
        <v>16025</v>
      </c>
      <c r="X851" t="s">
        <v>16026</v>
      </c>
      <c r="Y851" t="s">
        <v>16027</v>
      </c>
      <c r="Z851" t="s">
        <v>16028</v>
      </c>
      <c r="AA851" t="s">
        <v>16029</v>
      </c>
      <c r="AB851" t="s">
        <v>16030</v>
      </c>
      <c r="AC851" t="s">
        <v>16031</v>
      </c>
      <c r="AD851" t="s">
        <v>16032</v>
      </c>
      <c r="AE851" t="s">
        <v>16033</v>
      </c>
      <c r="AF851" t="s">
        <v>16034</v>
      </c>
      <c r="AG851" t="s">
        <v>16035</v>
      </c>
      <c r="AH851" t="s">
        <v>16036</v>
      </c>
      <c r="AI851" t="s">
        <v>16037</v>
      </c>
      <c r="BA851" t="str">
        <f>"3999"</f>
        <v>3999</v>
      </c>
      <c r="BB851" t="str">
        <f>"1680"</f>
        <v>1680</v>
      </c>
      <c r="BC851" t="s">
        <v>1149</v>
      </c>
      <c r="BD851" t="str">
        <f t="shared" si="181"/>
        <v>1</v>
      </c>
      <c r="BE851" t="s">
        <v>389</v>
      </c>
      <c r="BF851" t="str">
        <f>"78.7"</f>
        <v>78.7</v>
      </c>
      <c r="BG851" t="str">
        <f>"19.29"</f>
        <v>19.29</v>
      </c>
      <c r="BH851" t="str">
        <f>"51.57"</f>
        <v>51.57</v>
      </c>
      <c r="BI851" t="str">
        <f>"233.69"</f>
        <v>233.69</v>
      </c>
      <c r="BY851" t="str">
        <f>"45.31"</f>
        <v>45.31</v>
      </c>
      <c r="BZ851" t="str">
        <f>"1.283"</f>
        <v>1.283</v>
      </c>
      <c r="CA851" t="s">
        <v>495</v>
      </c>
      <c r="CR851" t="s">
        <v>400</v>
      </c>
      <c r="CS851">
        <v>0</v>
      </c>
      <c r="CT851" t="s">
        <v>400</v>
      </c>
      <c r="CV851">
        <v>0</v>
      </c>
      <c r="CX851" t="s">
        <v>953</v>
      </c>
      <c r="CY851" t="s">
        <v>400</v>
      </c>
      <c r="DA851">
        <v>0</v>
      </c>
      <c r="DB851">
        <v>0</v>
      </c>
      <c r="DC851">
        <v>0</v>
      </c>
      <c r="DI851">
        <v>8</v>
      </c>
      <c r="DJ851" t="s">
        <v>408</v>
      </c>
      <c r="DK851" t="s">
        <v>8337</v>
      </c>
      <c r="DM851" t="s">
        <v>669</v>
      </c>
      <c r="DX851" t="s">
        <v>638</v>
      </c>
      <c r="DY851" t="s">
        <v>10967</v>
      </c>
      <c r="DZ851" t="s">
        <v>8704</v>
      </c>
      <c r="EI851" t="s">
        <v>8705</v>
      </c>
      <c r="EJ851" t="s">
        <v>1853</v>
      </c>
      <c r="EK851" t="s">
        <v>8706</v>
      </c>
      <c r="EL851" t="s">
        <v>446</v>
      </c>
      <c r="EM851" t="s">
        <v>402</v>
      </c>
      <c r="EN851">
        <v>0</v>
      </c>
      <c r="EO851">
        <v>0</v>
      </c>
      <c r="EW851" t="s">
        <v>638</v>
      </c>
      <c r="EY851" t="s">
        <v>5485</v>
      </c>
    </row>
    <row r="852" spans="1:326" x14ac:dyDescent="0.25">
      <c r="A852" t="s">
        <v>16038</v>
      </c>
      <c r="B852" t="str">
        <f>"801542957896"</f>
        <v>801542957896</v>
      </c>
      <c r="C852" t="s">
        <v>10970</v>
      </c>
      <c r="D852" t="s">
        <v>1224</v>
      </c>
      <c r="E852" t="s">
        <v>647</v>
      </c>
      <c r="F852" t="s">
        <v>648</v>
      </c>
      <c r="G852" t="str">
        <f>"86"</f>
        <v>86</v>
      </c>
      <c r="H852" t="str">
        <f>"43"</f>
        <v>43</v>
      </c>
      <c r="I852" t="str">
        <f>"30"</f>
        <v>30</v>
      </c>
      <c r="J852" t="str">
        <f>"188.27"</f>
        <v>188.27</v>
      </c>
      <c r="K852" t="s">
        <v>8322</v>
      </c>
      <c r="N852" t="s">
        <v>1463</v>
      </c>
      <c r="T852" t="s">
        <v>402</v>
      </c>
      <c r="U852" t="s">
        <v>373</v>
      </c>
      <c r="V852" t="s">
        <v>16039</v>
      </c>
      <c r="W852" t="s">
        <v>16040</v>
      </c>
      <c r="X852" t="s">
        <v>16041</v>
      </c>
      <c r="Y852" t="s">
        <v>16042</v>
      </c>
      <c r="Z852" t="s">
        <v>16043</v>
      </c>
      <c r="AA852" t="s">
        <v>16044</v>
      </c>
      <c r="AB852" t="s">
        <v>16045</v>
      </c>
      <c r="AC852" t="s">
        <v>16046</v>
      </c>
      <c r="AD852" t="s">
        <v>8330</v>
      </c>
      <c r="AE852" t="s">
        <v>16047</v>
      </c>
      <c r="AF852" t="s">
        <v>16048</v>
      </c>
      <c r="AG852" t="s">
        <v>16049</v>
      </c>
      <c r="AH852" t="s">
        <v>16050</v>
      </c>
      <c r="BA852" t="str">
        <f>"3999"</f>
        <v>3999</v>
      </c>
      <c r="BB852" t="str">
        <f>"1680"</f>
        <v>1680</v>
      </c>
      <c r="BC852" t="s">
        <v>1149</v>
      </c>
      <c r="BD852" t="str">
        <f t="shared" si="181"/>
        <v>1</v>
      </c>
      <c r="BE852" t="s">
        <v>389</v>
      </c>
      <c r="BF852" t="str">
        <f>"78.7"</f>
        <v>78.7</v>
      </c>
      <c r="BG852" t="str">
        <f>"19.29"</f>
        <v>19.29</v>
      </c>
      <c r="BH852" t="str">
        <f>"51.57"</f>
        <v>51.57</v>
      </c>
      <c r="BI852" t="str">
        <f>"233.69"</f>
        <v>233.69</v>
      </c>
      <c r="BY852" t="str">
        <f>"45.31"</f>
        <v>45.31</v>
      </c>
      <c r="BZ852" t="str">
        <f>"1.283"</f>
        <v>1.283</v>
      </c>
      <c r="CA852" t="s">
        <v>495</v>
      </c>
      <c r="CR852" t="s">
        <v>400</v>
      </c>
      <c r="CS852">
        <v>0</v>
      </c>
      <c r="CT852" t="s">
        <v>400</v>
      </c>
      <c r="CV852">
        <v>0</v>
      </c>
      <c r="CX852" t="s">
        <v>953</v>
      </c>
      <c r="CY852" t="s">
        <v>400</v>
      </c>
      <c r="DA852">
        <v>0</v>
      </c>
      <c r="DB852">
        <v>0</v>
      </c>
      <c r="DC852">
        <v>0</v>
      </c>
      <c r="DI852">
        <v>8</v>
      </c>
      <c r="DJ852" t="s">
        <v>408</v>
      </c>
      <c r="DK852" t="s">
        <v>8337</v>
      </c>
      <c r="DM852" t="s">
        <v>669</v>
      </c>
      <c r="DX852" t="s">
        <v>638</v>
      </c>
      <c r="DY852" t="s">
        <v>10967</v>
      </c>
      <c r="DZ852" t="s">
        <v>8704</v>
      </c>
      <c r="EI852" t="s">
        <v>8705</v>
      </c>
      <c r="EJ852" t="s">
        <v>1853</v>
      </c>
      <c r="EK852" t="s">
        <v>8706</v>
      </c>
      <c r="EL852" t="s">
        <v>446</v>
      </c>
      <c r="EM852" t="s">
        <v>402</v>
      </c>
      <c r="EN852">
        <v>0</v>
      </c>
      <c r="EO852">
        <v>0</v>
      </c>
      <c r="EW852" t="s">
        <v>638</v>
      </c>
      <c r="EY852" t="s">
        <v>5485</v>
      </c>
    </row>
    <row r="853" spans="1:326" x14ac:dyDescent="0.25">
      <c r="A853" t="s">
        <v>16051</v>
      </c>
      <c r="B853" t="str">
        <f>"801542318413"</f>
        <v>801542318413</v>
      </c>
      <c r="C853" t="s">
        <v>16052</v>
      </c>
      <c r="D853" t="s">
        <v>15054</v>
      </c>
      <c r="E853" t="s">
        <v>988</v>
      </c>
      <c r="G853" t="str">
        <f>"40"</f>
        <v>40</v>
      </c>
      <c r="H853" t="str">
        <f>"20"</f>
        <v>20</v>
      </c>
      <c r="I853" t="str">
        <f>"34"</f>
        <v>34</v>
      </c>
      <c r="J853" t="str">
        <f>"108.03"</f>
        <v>108.03</v>
      </c>
      <c r="K853" t="s">
        <v>15055</v>
      </c>
      <c r="L853" t="s">
        <v>5580</v>
      </c>
      <c r="N853" t="s">
        <v>933</v>
      </c>
      <c r="O853" t="s">
        <v>555</v>
      </c>
      <c r="T853" t="s">
        <v>373</v>
      </c>
      <c r="U853" t="s">
        <v>373</v>
      </c>
      <c r="V853" t="s">
        <v>16053</v>
      </c>
      <c r="W853" t="s">
        <v>16054</v>
      </c>
      <c r="X853" t="s">
        <v>16055</v>
      </c>
      <c r="Y853" t="s">
        <v>16056</v>
      </c>
      <c r="Z853" t="s">
        <v>16057</v>
      </c>
      <c r="AA853" t="s">
        <v>16058</v>
      </c>
      <c r="AB853" t="s">
        <v>16059</v>
      </c>
      <c r="AC853" t="s">
        <v>16060</v>
      </c>
      <c r="AD853" t="s">
        <v>16061</v>
      </c>
      <c r="AE853" t="s">
        <v>16062</v>
      </c>
      <c r="AF853" t="s">
        <v>16063</v>
      </c>
      <c r="AG853" t="s">
        <v>16064</v>
      </c>
      <c r="AH853" t="s">
        <v>16065</v>
      </c>
      <c r="AI853" t="s">
        <v>16066</v>
      </c>
      <c r="AJ853" t="s">
        <v>16067</v>
      </c>
      <c r="AK853" t="s">
        <v>16068</v>
      </c>
      <c r="AL853" t="s">
        <v>16069</v>
      </c>
      <c r="BA853" t="str">
        <f>"1149"</f>
        <v>1149</v>
      </c>
      <c r="BB853" t="str">
        <f>"485"</f>
        <v>485</v>
      </c>
      <c r="BC853" t="s">
        <v>949</v>
      </c>
      <c r="BD853" t="str">
        <f t="shared" si="181"/>
        <v>1</v>
      </c>
      <c r="BE853" t="s">
        <v>389</v>
      </c>
      <c r="BF853" t="str">
        <f>"43"</f>
        <v>43</v>
      </c>
      <c r="BG853" t="str">
        <f>"23.5"</f>
        <v>23.5</v>
      </c>
      <c r="BH853" t="str">
        <f>"38"</f>
        <v>38</v>
      </c>
      <c r="BI853" t="str">
        <f>"130.95"</f>
        <v>130.95</v>
      </c>
      <c r="BY853" t="str">
        <f>"22.21"</f>
        <v>22.21</v>
      </c>
      <c r="BZ853" t="str">
        <f>"0.629"</f>
        <v>0.629</v>
      </c>
      <c r="CA853" t="s">
        <v>390</v>
      </c>
      <c r="CR853" t="s">
        <v>5068</v>
      </c>
      <c r="CS853">
        <v>3</v>
      </c>
      <c r="CT853" t="s">
        <v>400</v>
      </c>
      <c r="CV853">
        <v>0</v>
      </c>
      <c r="CX853" t="s">
        <v>667</v>
      </c>
      <c r="CY853" t="s">
        <v>1009</v>
      </c>
      <c r="DC853">
        <v>0</v>
      </c>
      <c r="DJ853" t="s">
        <v>4145</v>
      </c>
      <c r="DK853" t="s">
        <v>16006</v>
      </c>
      <c r="DM853" t="s">
        <v>473</v>
      </c>
      <c r="DX853" t="s">
        <v>2263</v>
      </c>
      <c r="EM853" t="s">
        <v>402</v>
      </c>
      <c r="EN853">
        <v>0</v>
      </c>
      <c r="FI853">
        <v>0</v>
      </c>
      <c r="FJ853" t="s">
        <v>1012</v>
      </c>
      <c r="FP853" t="s">
        <v>402</v>
      </c>
      <c r="FR853" t="s">
        <v>613</v>
      </c>
      <c r="FT853" t="s">
        <v>799</v>
      </c>
      <c r="FV853" t="s">
        <v>860</v>
      </c>
      <c r="FX853" t="s">
        <v>4210</v>
      </c>
      <c r="FZ853" t="s">
        <v>953</v>
      </c>
    </row>
    <row r="854" spans="1:326" x14ac:dyDescent="0.25">
      <c r="A854" t="s">
        <v>16070</v>
      </c>
      <c r="B854" t="str">
        <f>"198394142717"</f>
        <v>198394142717</v>
      </c>
      <c r="C854" t="s">
        <v>16071</v>
      </c>
      <c r="D854" t="s">
        <v>15054</v>
      </c>
      <c r="E854" t="s">
        <v>988</v>
      </c>
      <c r="G854" t="str">
        <f>"40"</f>
        <v>40</v>
      </c>
      <c r="H854" t="str">
        <f>"20"</f>
        <v>20</v>
      </c>
      <c r="I854" t="str">
        <f>"34"</f>
        <v>34</v>
      </c>
      <c r="J854" t="str">
        <f>"108.03"</f>
        <v>108.03</v>
      </c>
      <c r="K854" t="s">
        <v>16009</v>
      </c>
      <c r="L854" t="s">
        <v>5580</v>
      </c>
      <c r="N854" t="s">
        <v>933</v>
      </c>
      <c r="O854" t="s">
        <v>555</v>
      </c>
      <c r="T854" t="s">
        <v>373</v>
      </c>
      <c r="U854" t="s">
        <v>373</v>
      </c>
      <c r="V854" t="s">
        <v>16053</v>
      </c>
      <c r="W854" t="s">
        <v>16072</v>
      </c>
      <c r="X854" t="s">
        <v>16073</v>
      </c>
      <c r="Y854" t="s">
        <v>16074</v>
      </c>
      <c r="Z854" t="s">
        <v>16075</v>
      </c>
      <c r="AA854" t="s">
        <v>16076</v>
      </c>
      <c r="AB854" t="s">
        <v>16077</v>
      </c>
      <c r="AC854" t="s">
        <v>16078</v>
      </c>
      <c r="AD854" t="s">
        <v>16079</v>
      </c>
      <c r="AE854" t="s">
        <v>16080</v>
      </c>
      <c r="AF854" t="s">
        <v>16081</v>
      </c>
      <c r="AG854" t="s">
        <v>16082</v>
      </c>
      <c r="BA854" t="str">
        <f>"1199"</f>
        <v>1199</v>
      </c>
      <c r="BB854" t="str">
        <f>"505"</f>
        <v>505</v>
      </c>
      <c r="BC854" t="s">
        <v>949</v>
      </c>
      <c r="BD854" t="str">
        <f t="shared" si="181"/>
        <v>1</v>
      </c>
      <c r="BE854" t="s">
        <v>389</v>
      </c>
      <c r="BF854" t="str">
        <f>"43"</f>
        <v>43</v>
      </c>
      <c r="BG854" t="str">
        <f>"23.5"</f>
        <v>23.5</v>
      </c>
      <c r="BH854" t="str">
        <f>"38"</f>
        <v>38</v>
      </c>
      <c r="BI854" t="str">
        <f>"130.95"</f>
        <v>130.95</v>
      </c>
      <c r="BY854" t="str">
        <f>"22.21"</f>
        <v>22.21</v>
      </c>
      <c r="BZ854" t="str">
        <f>"0.629"</f>
        <v>0.629</v>
      </c>
      <c r="CA854" t="s">
        <v>431</v>
      </c>
      <c r="CR854" t="s">
        <v>5068</v>
      </c>
      <c r="CS854">
        <v>3</v>
      </c>
      <c r="CT854" t="s">
        <v>400</v>
      </c>
      <c r="CV854">
        <v>0</v>
      </c>
      <c r="CX854" t="s">
        <v>667</v>
      </c>
      <c r="CY854" t="s">
        <v>1009</v>
      </c>
      <c r="DC854">
        <v>0</v>
      </c>
      <c r="DJ854" t="s">
        <v>4145</v>
      </c>
      <c r="DK854" t="s">
        <v>16006</v>
      </c>
      <c r="DM854" t="s">
        <v>473</v>
      </c>
      <c r="DX854" t="s">
        <v>2263</v>
      </c>
      <c r="EM854" t="s">
        <v>402</v>
      </c>
      <c r="EN854">
        <v>0</v>
      </c>
      <c r="FI854">
        <v>0</v>
      </c>
      <c r="FJ854" t="s">
        <v>1012</v>
      </c>
      <c r="FP854" t="s">
        <v>402</v>
      </c>
      <c r="FR854" t="s">
        <v>613</v>
      </c>
      <c r="FT854" t="s">
        <v>799</v>
      </c>
      <c r="FV854" t="s">
        <v>860</v>
      </c>
      <c r="FX854" t="s">
        <v>4210</v>
      </c>
      <c r="FZ854" t="s">
        <v>953</v>
      </c>
    </row>
    <row r="855" spans="1:326" x14ac:dyDescent="0.25">
      <c r="A855" t="s">
        <v>16083</v>
      </c>
      <c r="B855" t="str">
        <f>"198394005548"</f>
        <v>198394005548</v>
      </c>
      <c r="C855" t="s">
        <v>16084</v>
      </c>
      <c r="D855" t="s">
        <v>769</v>
      </c>
      <c r="E855" t="s">
        <v>2388</v>
      </c>
      <c r="G855" t="str">
        <f>"18"</f>
        <v>18</v>
      </c>
      <c r="H855" t="str">
        <f>"18"</f>
        <v>18</v>
      </c>
      <c r="I855" t="str">
        <f>"19.5"</f>
        <v>19.5</v>
      </c>
      <c r="J855" t="str">
        <f>"13.89"</f>
        <v>13.89</v>
      </c>
      <c r="K855" t="s">
        <v>15388</v>
      </c>
      <c r="L855" t="s">
        <v>9213</v>
      </c>
      <c r="N855" t="s">
        <v>371</v>
      </c>
      <c r="O855" t="s">
        <v>775</v>
      </c>
      <c r="T855" t="s">
        <v>373</v>
      </c>
      <c r="U855" t="s">
        <v>373</v>
      </c>
      <c r="V855" t="s">
        <v>16085</v>
      </c>
      <c r="W855" t="s">
        <v>16086</v>
      </c>
      <c r="X855" t="s">
        <v>16087</v>
      </c>
      <c r="Y855" t="s">
        <v>16088</v>
      </c>
      <c r="Z855" t="s">
        <v>16089</v>
      </c>
      <c r="AA855" t="s">
        <v>16090</v>
      </c>
      <c r="AB855" t="s">
        <v>16091</v>
      </c>
      <c r="AC855" t="s">
        <v>16092</v>
      </c>
      <c r="AD855" t="s">
        <v>16093</v>
      </c>
      <c r="BA855" t="str">
        <f>"299"</f>
        <v>299</v>
      </c>
      <c r="BB855" t="str">
        <f>"130"</f>
        <v>130</v>
      </c>
      <c r="BC855" t="s">
        <v>388</v>
      </c>
      <c r="BD855" t="str">
        <f t="shared" si="181"/>
        <v>1</v>
      </c>
      <c r="BE855" t="s">
        <v>389</v>
      </c>
      <c r="BF855" t="str">
        <f>"20.47"</f>
        <v>20.47</v>
      </c>
      <c r="BG855" t="str">
        <f>"20.47"</f>
        <v>20.47</v>
      </c>
      <c r="BH855" t="str">
        <f>"15.75"</f>
        <v>15.75</v>
      </c>
      <c r="BI855" t="str">
        <f>"18.08"</f>
        <v>18.08</v>
      </c>
      <c r="BY855" t="str">
        <f>"3.81"</f>
        <v>3.81</v>
      </c>
      <c r="BZ855" t="str">
        <f>"0.108"</f>
        <v>0.108</v>
      </c>
      <c r="CA855" t="s">
        <v>431</v>
      </c>
      <c r="CK855" t="s">
        <v>449</v>
      </c>
      <c r="CL855" t="s">
        <v>1554</v>
      </c>
      <c r="CM855" t="s">
        <v>449</v>
      </c>
      <c r="CO855">
        <v>0</v>
      </c>
      <c r="CQ855" t="s">
        <v>1152</v>
      </c>
      <c r="CX855" t="s">
        <v>403</v>
      </c>
      <c r="CY855" t="s">
        <v>400</v>
      </c>
      <c r="CZ855">
        <v>0</v>
      </c>
      <c r="DD855">
        <v>50000</v>
      </c>
      <c r="DE855" t="s">
        <v>570</v>
      </c>
      <c r="DF855" t="s">
        <v>632</v>
      </c>
      <c r="DH855">
        <v>1</v>
      </c>
      <c r="DI855">
        <v>1</v>
      </c>
      <c r="DJ855" t="s">
        <v>471</v>
      </c>
      <c r="DK855" t="s">
        <v>16094</v>
      </c>
      <c r="DL855">
        <v>0</v>
      </c>
      <c r="DM855" t="s">
        <v>538</v>
      </c>
      <c r="DX855" t="s">
        <v>3025</v>
      </c>
      <c r="DY855" t="s">
        <v>2599</v>
      </c>
      <c r="DZ855" t="s">
        <v>2599</v>
      </c>
      <c r="EG855" t="s">
        <v>2029</v>
      </c>
    </row>
    <row r="856" spans="1:326" x14ac:dyDescent="0.25">
      <c r="A856" t="s">
        <v>16095</v>
      </c>
      <c r="B856" t="str">
        <f>"801542331610"</f>
        <v>801542331610</v>
      </c>
      <c r="C856" t="s">
        <v>16096</v>
      </c>
      <c r="D856" t="s">
        <v>1139</v>
      </c>
      <c r="E856" t="s">
        <v>2244</v>
      </c>
      <c r="G856" t="str">
        <f>"58"</f>
        <v>58</v>
      </c>
      <c r="H856" t="str">
        <f>"56"</f>
        <v>56</v>
      </c>
      <c r="I856" t="str">
        <f>"36.5"</f>
        <v>36.5</v>
      </c>
      <c r="J856" t="str">
        <f>"72.75"</f>
        <v>72.75</v>
      </c>
      <c r="K856" t="s">
        <v>16097</v>
      </c>
      <c r="N856" t="s">
        <v>16098</v>
      </c>
      <c r="T856" t="s">
        <v>373</v>
      </c>
      <c r="U856" t="s">
        <v>402</v>
      </c>
      <c r="V856" t="s">
        <v>16099</v>
      </c>
      <c r="W856" t="s">
        <v>16100</v>
      </c>
      <c r="X856" t="s">
        <v>16101</v>
      </c>
      <c r="Y856" t="s">
        <v>16102</v>
      </c>
      <c r="Z856" t="s">
        <v>16103</v>
      </c>
      <c r="AA856" t="s">
        <v>16104</v>
      </c>
      <c r="AB856" t="s">
        <v>16105</v>
      </c>
      <c r="AC856" t="s">
        <v>16106</v>
      </c>
      <c r="AD856" t="s">
        <v>16107</v>
      </c>
      <c r="AE856" t="s">
        <v>16108</v>
      </c>
      <c r="AF856" t="s">
        <v>16109</v>
      </c>
      <c r="AG856" t="s">
        <v>16110</v>
      </c>
      <c r="AH856" t="s">
        <v>16111</v>
      </c>
      <c r="AI856" t="s">
        <v>16112</v>
      </c>
      <c r="BA856" t="str">
        <f>"2399"</f>
        <v>2399</v>
      </c>
      <c r="BB856" t="str">
        <f>"1010"</f>
        <v>1010</v>
      </c>
      <c r="BC856" t="s">
        <v>1149</v>
      </c>
      <c r="BD856" t="str">
        <f t="shared" si="181"/>
        <v>1</v>
      </c>
      <c r="BE856" t="s">
        <v>389</v>
      </c>
      <c r="BF856" t="str">
        <f>"57.5"</f>
        <v>57.5</v>
      </c>
      <c r="BG856" t="str">
        <f>"60"</f>
        <v>60</v>
      </c>
      <c r="BH856" t="str">
        <f>"30"</f>
        <v>30</v>
      </c>
      <c r="BI856" t="str">
        <f>"84.88"</f>
        <v>84.88</v>
      </c>
      <c r="BY856" t="str">
        <f>"59.89"</f>
        <v>59.89</v>
      </c>
      <c r="BZ856" t="str">
        <f>"1.696"</f>
        <v>1.696</v>
      </c>
      <c r="CA856" t="s">
        <v>495</v>
      </c>
      <c r="CK856" t="s">
        <v>3096</v>
      </c>
      <c r="CL856" t="s">
        <v>396</v>
      </c>
      <c r="CM856" t="s">
        <v>2264</v>
      </c>
      <c r="CN856">
        <v>0</v>
      </c>
      <c r="CO856">
        <v>3</v>
      </c>
      <c r="CP856" t="s">
        <v>398</v>
      </c>
      <c r="CQ856" t="s">
        <v>1152</v>
      </c>
      <c r="CU856" t="s">
        <v>1153</v>
      </c>
      <c r="CX856" t="s">
        <v>4903</v>
      </c>
      <c r="CZ856">
        <v>0</v>
      </c>
      <c r="DD856">
        <v>51000</v>
      </c>
      <c r="DE856" t="s">
        <v>439</v>
      </c>
      <c r="DH856">
        <v>0</v>
      </c>
      <c r="DI856">
        <v>3</v>
      </c>
      <c r="DK856" t="s">
        <v>16113</v>
      </c>
      <c r="DL856">
        <v>0</v>
      </c>
      <c r="DM856" t="s">
        <v>410</v>
      </c>
      <c r="DU856" t="s">
        <v>610</v>
      </c>
      <c r="DV856" t="s">
        <v>1491</v>
      </c>
      <c r="DW856" t="s">
        <v>1491</v>
      </c>
      <c r="DY856" t="s">
        <v>636</v>
      </c>
      <c r="DZ856" t="s">
        <v>16114</v>
      </c>
      <c r="EA856" t="s">
        <v>640</v>
      </c>
      <c r="ED856" t="s">
        <v>406</v>
      </c>
      <c r="EE856" t="s">
        <v>454</v>
      </c>
      <c r="EF856" t="s">
        <v>831</v>
      </c>
      <c r="EG856" t="s">
        <v>2596</v>
      </c>
      <c r="ET856" t="s">
        <v>832</v>
      </c>
    </row>
    <row r="857" spans="1:326" x14ac:dyDescent="0.25">
      <c r="A857" t="s">
        <v>16115</v>
      </c>
      <c r="B857" t="str">
        <f>"801542350741"</f>
        <v>801542350741</v>
      </c>
      <c r="C857" t="s">
        <v>16116</v>
      </c>
      <c r="D857" t="s">
        <v>987</v>
      </c>
      <c r="E857" t="s">
        <v>1021</v>
      </c>
      <c r="G857" t="str">
        <f>"92"</f>
        <v>92</v>
      </c>
      <c r="H857" t="str">
        <f>"19"</f>
        <v>19</v>
      </c>
      <c r="I857" t="str">
        <f>"27"</f>
        <v>27</v>
      </c>
      <c r="J857" t="str">
        <f>"212.52"</f>
        <v>212.52</v>
      </c>
      <c r="K857" t="s">
        <v>9712</v>
      </c>
      <c r="L857" t="s">
        <v>8065</v>
      </c>
      <c r="N857" t="s">
        <v>372</v>
      </c>
      <c r="O857" t="s">
        <v>1970</v>
      </c>
      <c r="T857" t="s">
        <v>373</v>
      </c>
      <c r="U857" t="s">
        <v>373</v>
      </c>
      <c r="V857" t="s">
        <v>16117</v>
      </c>
      <c r="W857" t="s">
        <v>16118</v>
      </c>
      <c r="X857" t="s">
        <v>16119</v>
      </c>
      <c r="Y857" t="s">
        <v>16120</v>
      </c>
      <c r="Z857" t="s">
        <v>16121</v>
      </c>
      <c r="AA857" t="s">
        <v>16122</v>
      </c>
      <c r="AB857" t="s">
        <v>16123</v>
      </c>
      <c r="AC857" t="s">
        <v>16124</v>
      </c>
      <c r="AD857" t="s">
        <v>16125</v>
      </c>
      <c r="AE857" t="s">
        <v>16126</v>
      </c>
      <c r="AF857" t="s">
        <v>16127</v>
      </c>
      <c r="AG857" t="s">
        <v>16128</v>
      </c>
      <c r="AH857" t="s">
        <v>16129</v>
      </c>
      <c r="AI857" t="s">
        <v>16130</v>
      </c>
      <c r="AJ857" t="s">
        <v>16131</v>
      </c>
      <c r="AK857" t="s">
        <v>16132</v>
      </c>
      <c r="AL857" t="s">
        <v>16133</v>
      </c>
      <c r="AM857" t="s">
        <v>16134</v>
      </c>
      <c r="AN857" t="s">
        <v>2620</v>
      </c>
      <c r="BA857" t="str">
        <f>"2499"</f>
        <v>2499</v>
      </c>
      <c r="BB857" t="str">
        <f>"1050"</f>
        <v>1050</v>
      </c>
      <c r="BC857" t="s">
        <v>949</v>
      </c>
      <c r="BD857" t="str">
        <f t="shared" si="181"/>
        <v>1</v>
      </c>
      <c r="BE857" t="s">
        <v>389</v>
      </c>
      <c r="BF857" t="str">
        <f>"95.25"</f>
        <v>95.25</v>
      </c>
      <c r="BG857" t="str">
        <f>"23"</f>
        <v>23</v>
      </c>
      <c r="BH857" t="str">
        <f>"30.5"</f>
        <v>30.5</v>
      </c>
      <c r="BI857" t="str">
        <f>"258.38"</f>
        <v>258.38</v>
      </c>
      <c r="BY857" t="str">
        <f>"38.67"</f>
        <v>38.67</v>
      </c>
      <c r="BZ857" t="str">
        <f>"1.095"</f>
        <v>1.095</v>
      </c>
      <c r="CA857" t="s">
        <v>431</v>
      </c>
      <c r="CE857" t="s">
        <v>510</v>
      </c>
      <c r="CF857" t="s">
        <v>2261</v>
      </c>
      <c r="CG857" t="s">
        <v>2696</v>
      </c>
      <c r="CR857" t="s">
        <v>400</v>
      </c>
      <c r="CS857">
        <v>0</v>
      </c>
      <c r="CT857" t="s">
        <v>400</v>
      </c>
      <c r="CV857">
        <v>0</v>
      </c>
      <c r="CX857" t="s">
        <v>953</v>
      </c>
      <c r="CY857" t="s">
        <v>954</v>
      </c>
      <c r="DA857">
        <v>18.14</v>
      </c>
      <c r="DB857">
        <v>40</v>
      </c>
      <c r="DC857">
        <v>4</v>
      </c>
      <c r="DK857" t="s">
        <v>16135</v>
      </c>
      <c r="DX857" t="s">
        <v>12242</v>
      </c>
      <c r="EM857" t="s">
        <v>402</v>
      </c>
      <c r="EN857">
        <v>4</v>
      </c>
      <c r="EZ857" t="s">
        <v>449</v>
      </c>
      <c r="FA857" t="s">
        <v>956</v>
      </c>
      <c r="FB857" t="s">
        <v>950</v>
      </c>
      <c r="FC857" t="s">
        <v>979</v>
      </c>
      <c r="FD857" t="s">
        <v>956</v>
      </c>
      <c r="FE857" t="s">
        <v>612</v>
      </c>
      <c r="FG857" t="s">
        <v>402</v>
      </c>
      <c r="FI857">
        <v>6</v>
      </c>
      <c r="FJ857" t="s">
        <v>960</v>
      </c>
      <c r="FK857" t="s">
        <v>1246</v>
      </c>
      <c r="FM857" t="s">
        <v>402</v>
      </c>
      <c r="FO857" t="s">
        <v>984</v>
      </c>
      <c r="GB857" t="s">
        <v>979</v>
      </c>
      <c r="GC857" t="s">
        <v>2261</v>
      </c>
      <c r="GD857" t="s">
        <v>612</v>
      </c>
      <c r="GE857">
        <v>0</v>
      </c>
      <c r="GR857" t="s">
        <v>979</v>
      </c>
      <c r="GS857" t="s">
        <v>510</v>
      </c>
      <c r="GT857" t="s">
        <v>2261</v>
      </c>
      <c r="GU857" t="s">
        <v>2261</v>
      </c>
      <c r="GV857" t="s">
        <v>612</v>
      </c>
      <c r="GW857" t="s">
        <v>2696</v>
      </c>
      <c r="GX857" t="s">
        <v>827</v>
      </c>
      <c r="HE857" t="s">
        <v>510</v>
      </c>
      <c r="HF857" t="s">
        <v>956</v>
      </c>
      <c r="HG857" t="s">
        <v>2696</v>
      </c>
      <c r="HI857" t="s">
        <v>402</v>
      </c>
    </row>
    <row r="858" spans="1:326" x14ac:dyDescent="0.25">
      <c r="A858" t="s">
        <v>16136</v>
      </c>
      <c r="B858" t="str">
        <f>"801542323882"</f>
        <v>801542323882</v>
      </c>
      <c r="C858" t="s">
        <v>16137</v>
      </c>
      <c r="D858" t="s">
        <v>1420</v>
      </c>
      <c r="E858" t="s">
        <v>1319</v>
      </c>
      <c r="F858" t="s">
        <v>3836</v>
      </c>
      <c r="G858" t="str">
        <f>"75"</f>
        <v>75</v>
      </c>
      <c r="H858" t="str">
        <f>"30"</f>
        <v>30</v>
      </c>
      <c r="I858" t="str">
        <f>"30"</f>
        <v>30</v>
      </c>
      <c r="J858" t="str">
        <f>"151.02"</f>
        <v>151.02</v>
      </c>
      <c r="K858" t="s">
        <v>4075</v>
      </c>
      <c r="N858" t="s">
        <v>1463</v>
      </c>
      <c r="O858" t="s">
        <v>372</v>
      </c>
      <c r="T858" t="s">
        <v>373</v>
      </c>
      <c r="U858" t="s">
        <v>373</v>
      </c>
      <c r="V858" t="s">
        <v>16138</v>
      </c>
      <c r="W858" t="s">
        <v>16139</v>
      </c>
      <c r="X858" t="s">
        <v>16140</v>
      </c>
      <c r="Y858" t="s">
        <v>16141</v>
      </c>
      <c r="Z858" t="s">
        <v>16142</v>
      </c>
      <c r="AA858" t="s">
        <v>16143</v>
      </c>
      <c r="AB858" t="s">
        <v>16144</v>
      </c>
      <c r="AC858" t="s">
        <v>16145</v>
      </c>
      <c r="AD858" t="s">
        <v>16146</v>
      </c>
      <c r="AE858" t="s">
        <v>16147</v>
      </c>
      <c r="AF858" t="s">
        <v>16148</v>
      </c>
      <c r="AG858" t="s">
        <v>16149</v>
      </c>
      <c r="AH858" t="s">
        <v>16150</v>
      </c>
      <c r="AI858" t="s">
        <v>16151</v>
      </c>
      <c r="AJ858" t="s">
        <v>16152</v>
      </c>
      <c r="AK858" t="s">
        <v>16153</v>
      </c>
      <c r="AL858" t="s">
        <v>16154</v>
      </c>
      <c r="BA858" t="str">
        <f>"1699"</f>
        <v>1699</v>
      </c>
      <c r="BB858" t="str">
        <f>"715"</f>
        <v>715</v>
      </c>
      <c r="BC858" t="s">
        <v>665</v>
      </c>
      <c r="BD858" t="str">
        <f>"2"</f>
        <v>2</v>
      </c>
      <c r="BE858" t="s">
        <v>1089</v>
      </c>
      <c r="BF858" t="str">
        <f>"79.53"</f>
        <v>79.53</v>
      </c>
      <c r="BG858" t="str">
        <f>"34.65"</f>
        <v>34.65</v>
      </c>
      <c r="BH858" t="str">
        <f>"6.1"</f>
        <v>6.1</v>
      </c>
      <c r="BI858" t="str">
        <f>"101.41"</f>
        <v>101.41</v>
      </c>
      <c r="BJ858" t="s">
        <v>6351</v>
      </c>
      <c r="BK858" t="str">
        <f>"32.68"</f>
        <v>32.68</v>
      </c>
      <c r="BL858" t="str">
        <f>"29.33"</f>
        <v>29.33</v>
      </c>
      <c r="BM858" t="str">
        <f>"23.43"</f>
        <v>23.43</v>
      </c>
      <c r="BN858" t="str">
        <f>"99.21"</f>
        <v>99.21</v>
      </c>
      <c r="BY858" t="str">
        <f>"22.74"</f>
        <v>22.74</v>
      </c>
      <c r="BZ858" t="str">
        <f>"0.644"</f>
        <v>0.644</v>
      </c>
      <c r="CA858" t="s">
        <v>390</v>
      </c>
      <c r="CR858" t="s">
        <v>400</v>
      </c>
      <c r="CS858">
        <v>0</v>
      </c>
      <c r="CT858" t="s">
        <v>400</v>
      </c>
      <c r="CV858">
        <v>0</v>
      </c>
      <c r="CX858" t="s">
        <v>953</v>
      </c>
      <c r="CY858" t="s">
        <v>400</v>
      </c>
      <c r="DC858">
        <v>0</v>
      </c>
      <c r="DJ858" t="s">
        <v>3853</v>
      </c>
      <c r="DK858" t="s">
        <v>16155</v>
      </c>
      <c r="DM858" t="s">
        <v>669</v>
      </c>
      <c r="DX858" t="s">
        <v>16156</v>
      </c>
      <c r="DZ858" t="s">
        <v>5801</v>
      </c>
      <c r="EL858" t="s">
        <v>1552</v>
      </c>
      <c r="EM858" t="s">
        <v>402</v>
      </c>
      <c r="EN858">
        <v>0</v>
      </c>
      <c r="EW858" t="s">
        <v>16156</v>
      </c>
      <c r="FI858">
        <v>0</v>
      </c>
      <c r="FJ858" t="s">
        <v>1012</v>
      </c>
      <c r="GE858">
        <v>0</v>
      </c>
      <c r="HH858" t="s">
        <v>402</v>
      </c>
    </row>
    <row r="859" spans="1:326" x14ac:dyDescent="0.25">
      <c r="A859" t="s">
        <v>16157</v>
      </c>
      <c r="B859" t="str">
        <f>"801542535681"</f>
        <v>801542535681</v>
      </c>
      <c r="C859" t="s">
        <v>16158</v>
      </c>
      <c r="D859" t="s">
        <v>9267</v>
      </c>
      <c r="E859" t="s">
        <v>515</v>
      </c>
      <c r="F859" t="s">
        <v>516</v>
      </c>
      <c r="G859" t="str">
        <f>"34.75"</f>
        <v>34.75</v>
      </c>
      <c r="H859" t="str">
        <f>"34.25"</f>
        <v>34.25</v>
      </c>
      <c r="I859" t="str">
        <f>"29.75"</f>
        <v>29.75</v>
      </c>
      <c r="J859" t="str">
        <f>"52.91"</f>
        <v>52.91</v>
      </c>
      <c r="K859" t="s">
        <v>14385</v>
      </c>
      <c r="L859" t="s">
        <v>16159</v>
      </c>
      <c r="N859" t="s">
        <v>416</v>
      </c>
      <c r="O859" t="s">
        <v>6389</v>
      </c>
      <c r="T859" t="s">
        <v>373</v>
      </c>
      <c r="U859" t="s">
        <v>373</v>
      </c>
      <c r="V859" t="s">
        <v>16160</v>
      </c>
      <c r="W859" t="s">
        <v>16161</v>
      </c>
      <c r="X859" t="s">
        <v>16162</v>
      </c>
      <c r="Y859" t="s">
        <v>16163</v>
      </c>
      <c r="Z859" t="s">
        <v>16164</v>
      </c>
      <c r="AA859" t="s">
        <v>16165</v>
      </c>
      <c r="AB859" t="s">
        <v>16166</v>
      </c>
      <c r="AC859" t="s">
        <v>16167</v>
      </c>
      <c r="AD859" t="s">
        <v>16168</v>
      </c>
      <c r="AE859" t="s">
        <v>16169</v>
      </c>
      <c r="AF859" t="s">
        <v>16170</v>
      </c>
      <c r="AG859" t="s">
        <v>16171</v>
      </c>
      <c r="AH859" t="s">
        <v>15880</v>
      </c>
      <c r="BA859" t="str">
        <f>"1699"</f>
        <v>1699</v>
      </c>
      <c r="BB859" t="str">
        <f>"715"</f>
        <v>715</v>
      </c>
      <c r="BC859" t="s">
        <v>388</v>
      </c>
      <c r="BD859" t="str">
        <f>"1"</f>
        <v>1</v>
      </c>
      <c r="BE859" t="s">
        <v>1662</v>
      </c>
      <c r="BF859" t="str">
        <f>"36.22"</f>
        <v>36.22</v>
      </c>
      <c r="BG859" t="str">
        <f>"35.83"</f>
        <v>35.83</v>
      </c>
      <c r="BH859" t="str">
        <f>"33.86"</f>
        <v>33.86</v>
      </c>
      <c r="BI859" t="str">
        <f>"73.85"</f>
        <v>73.85</v>
      </c>
      <c r="BY859" t="str">
        <f>"22.6"</f>
        <v>22.6</v>
      </c>
      <c r="BZ859" t="str">
        <f>"0.64"</f>
        <v>0.64</v>
      </c>
      <c r="CA859" t="s">
        <v>390</v>
      </c>
      <c r="CK859" t="s">
        <v>1510</v>
      </c>
      <c r="CL859" t="s">
        <v>511</v>
      </c>
      <c r="CN859">
        <v>0</v>
      </c>
      <c r="CO859">
        <v>1</v>
      </c>
      <c r="CP859" t="s">
        <v>437</v>
      </c>
      <c r="CQ859" t="s">
        <v>438</v>
      </c>
      <c r="CX859" t="s">
        <v>667</v>
      </c>
      <c r="CY859" t="s">
        <v>400</v>
      </c>
      <c r="CZ859">
        <v>0</v>
      </c>
      <c r="DD859">
        <v>0</v>
      </c>
      <c r="DE859" t="s">
        <v>570</v>
      </c>
      <c r="DH859">
        <v>0</v>
      </c>
      <c r="DI859">
        <v>1</v>
      </c>
      <c r="DK859" t="s">
        <v>16172</v>
      </c>
      <c r="DL859">
        <v>0</v>
      </c>
      <c r="DM859" t="s">
        <v>538</v>
      </c>
      <c r="DN859" t="s">
        <v>2074</v>
      </c>
      <c r="DO859" t="s">
        <v>800</v>
      </c>
      <c r="DP859" t="s">
        <v>1510</v>
      </c>
      <c r="DT859" t="s">
        <v>450</v>
      </c>
      <c r="DX859" t="s">
        <v>610</v>
      </c>
      <c r="DY859" t="s">
        <v>609</v>
      </c>
      <c r="DZ859" t="s">
        <v>638</v>
      </c>
      <c r="EA859" t="s">
        <v>4034</v>
      </c>
      <c r="ED859" t="s">
        <v>632</v>
      </c>
      <c r="EG859" t="s">
        <v>1556</v>
      </c>
      <c r="EP859" t="s">
        <v>602</v>
      </c>
      <c r="EQ859" t="s">
        <v>1151</v>
      </c>
      <c r="ER859">
        <v>0</v>
      </c>
      <c r="ES859">
        <v>0</v>
      </c>
      <c r="EU859">
        <v>0</v>
      </c>
    </row>
    <row r="860" spans="1:326" x14ac:dyDescent="0.25">
      <c r="A860" t="s">
        <v>16173</v>
      </c>
      <c r="B860" t="str">
        <f>"198394078412"</f>
        <v>198394078412</v>
      </c>
      <c r="C860" t="s">
        <v>16174</v>
      </c>
      <c r="D860" t="s">
        <v>1420</v>
      </c>
      <c r="E860" t="s">
        <v>647</v>
      </c>
      <c r="F860" t="s">
        <v>648</v>
      </c>
      <c r="G860" t="str">
        <f>"84"</f>
        <v>84</v>
      </c>
      <c r="H860" t="str">
        <f>"42"</f>
        <v>42</v>
      </c>
      <c r="I860" t="str">
        <f>"30"</f>
        <v>30</v>
      </c>
      <c r="J860" t="str">
        <f>"199.52"</f>
        <v>199.52</v>
      </c>
      <c r="K860" t="s">
        <v>13730</v>
      </c>
      <c r="N860" t="s">
        <v>1463</v>
      </c>
      <c r="O860" t="s">
        <v>372</v>
      </c>
      <c r="T860" t="s">
        <v>373</v>
      </c>
      <c r="U860" t="s">
        <v>373</v>
      </c>
      <c r="W860" t="s">
        <v>16175</v>
      </c>
      <c r="X860" t="s">
        <v>16176</v>
      </c>
      <c r="Y860" t="s">
        <v>16177</v>
      </c>
      <c r="Z860" t="s">
        <v>16178</v>
      </c>
      <c r="AA860" t="s">
        <v>16179</v>
      </c>
      <c r="AB860" t="s">
        <v>16180</v>
      </c>
      <c r="AC860" t="s">
        <v>16181</v>
      </c>
      <c r="AD860" t="s">
        <v>16182</v>
      </c>
      <c r="AE860" t="s">
        <v>16183</v>
      </c>
      <c r="AF860" t="s">
        <v>16184</v>
      </c>
      <c r="BA860" t="str">
        <f>"2599"</f>
        <v>2599</v>
      </c>
      <c r="BB860" t="str">
        <f>"1095"</f>
        <v>1095</v>
      </c>
      <c r="BC860" t="s">
        <v>665</v>
      </c>
      <c r="BD860" t="str">
        <f>"2"</f>
        <v>2</v>
      </c>
      <c r="BE860" t="s">
        <v>16185</v>
      </c>
      <c r="BF860" t="str">
        <f>"31.5"</f>
        <v>31.5</v>
      </c>
      <c r="BG860" t="str">
        <f>"24.8"</f>
        <v>24.8</v>
      </c>
      <c r="BH860" t="str">
        <f>"33.86"</f>
        <v>33.86</v>
      </c>
      <c r="BI860" t="str">
        <f>"119.05"</f>
        <v>119.05</v>
      </c>
      <c r="BJ860" t="s">
        <v>16186</v>
      </c>
      <c r="BK860" t="str">
        <f>"88.58"</f>
        <v>88.58</v>
      </c>
      <c r="BL860" t="str">
        <f>"9.84"</f>
        <v>9.84</v>
      </c>
      <c r="BM860" t="str">
        <f>"46.46"</f>
        <v>46.46</v>
      </c>
      <c r="BN860" t="str">
        <f>"132.28"</f>
        <v>132.28</v>
      </c>
      <c r="BY860" t="str">
        <f>"38.74"</f>
        <v>38.74</v>
      </c>
      <c r="BZ860" t="str">
        <f>"1.097"</f>
        <v>1.097</v>
      </c>
      <c r="CA860" t="s">
        <v>431</v>
      </c>
      <c r="CR860" t="s">
        <v>400</v>
      </c>
      <c r="CS860">
        <v>0</v>
      </c>
      <c r="CT860" t="s">
        <v>400</v>
      </c>
      <c r="CV860">
        <v>0</v>
      </c>
      <c r="CX860" t="s">
        <v>1980</v>
      </c>
      <c r="CY860" t="s">
        <v>400</v>
      </c>
      <c r="DA860">
        <v>0</v>
      </c>
      <c r="DB860">
        <v>0</v>
      </c>
      <c r="DC860">
        <v>0</v>
      </c>
      <c r="DI860">
        <v>6</v>
      </c>
      <c r="DJ860" t="s">
        <v>408</v>
      </c>
      <c r="DK860" t="s">
        <v>15837</v>
      </c>
      <c r="DM860" t="s">
        <v>669</v>
      </c>
      <c r="DX860" t="s">
        <v>6563</v>
      </c>
      <c r="DZ860" t="s">
        <v>16187</v>
      </c>
      <c r="EI860" t="s">
        <v>572</v>
      </c>
      <c r="EJ860" t="s">
        <v>16188</v>
      </c>
      <c r="EK860" t="s">
        <v>5878</v>
      </c>
      <c r="EL860" t="s">
        <v>1350</v>
      </c>
      <c r="EM860" t="s">
        <v>402</v>
      </c>
      <c r="EN860">
        <v>0</v>
      </c>
      <c r="EO860">
        <v>0</v>
      </c>
      <c r="EV860" t="s">
        <v>3948</v>
      </c>
      <c r="EW860" t="s">
        <v>5483</v>
      </c>
      <c r="EX860" t="s">
        <v>4673</v>
      </c>
      <c r="EY860" t="s">
        <v>1443</v>
      </c>
    </row>
    <row r="861" spans="1:326" x14ac:dyDescent="0.25">
      <c r="A861" t="s">
        <v>16189</v>
      </c>
      <c r="B861" t="str">
        <f>"801542375072"</f>
        <v>801542375072</v>
      </c>
      <c r="C861" t="s">
        <v>16190</v>
      </c>
      <c r="D861" t="s">
        <v>13752</v>
      </c>
      <c r="E861" t="s">
        <v>964</v>
      </c>
      <c r="F861" t="s">
        <v>6640</v>
      </c>
      <c r="G861" t="str">
        <f>"48"</f>
        <v>48</v>
      </c>
      <c r="H861" t="str">
        <f>"12"</f>
        <v>12</v>
      </c>
      <c r="I861" t="str">
        <f>"40"</f>
        <v>40</v>
      </c>
      <c r="J861" t="str">
        <f>"98.1"</f>
        <v>98.1</v>
      </c>
      <c r="K861" t="s">
        <v>8340</v>
      </c>
      <c r="L861" t="s">
        <v>13753</v>
      </c>
      <c r="M861" t="s">
        <v>16191</v>
      </c>
      <c r="N861" t="s">
        <v>461</v>
      </c>
      <c r="O861" t="s">
        <v>13754</v>
      </c>
      <c r="T861" t="s">
        <v>373</v>
      </c>
      <c r="U861" t="s">
        <v>373</v>
      </c>
      <c r="V861" t="s">
        <v>16192</v>
      </c>
      <c r="W861" t="s">
        <v>16193</v>
      </c>
      <c r="X861" t="s">
        <v>16194</v>
      </c>
      <c r="Y861" t="s">
        <v>16195</v>
      </c>
      <c r="Z861" t="s">
        <v>16196</v>
      </c>
      <c r="AA861" t="s">
        <v>16197</v>
      </c>
      <c r="AB861" t="s">
        <v>16198</v>
      </c>
      <c r="AC861" t="s">
        <v>16199</v>
      </c>
      <c r="AD861" t="s">
        <v>16200</v>
      </c>
      <c r="AE861" t="s">
        <v>16201</v>
      </c>
      <c r="AF861" t="s">
        <v>16202</v>
      </c>
      <c r="AG861" t="s">
        <v>16203</v>
      </c>
      <c r="AH861" t="s">
        <v>16204</v>
      </c>
      <c r="AI861" t="s">
        <v>16205</v>
      </c>
      <c r="AJ861" t="s">
        <v>16206</v>
      </c>
      <c r="BA861" t="str">
        <f>"1699"</f>
        <v>1699</v>
      </c>
      <c r="BB861" t="str">
        <f>"715"</f>
        <v>715</v>
      </c>
      <c r="BC861" t="s">
        <v>665</v>
      </c>
      <c r="BD861" t="str">
        <f>"1"</f>
        <v>1</v>
      </c>
      <c r="BE861" t="s">
        <v>389</v>
      </c>
      <c r="BF861" t="str">
        <f>"52"</f>
        <v>52</v>
      </c>
      <c r="BG861" t="str">
        <f>"15.75"</f>
        <v>15.75</v>
      </c>
      <c r="BH861" t="str">
        <f>"45"</f>
        <v>45</v>
      </c>
      <c r="BI861" t="str">
        <f>"126.77"</f>
        <v>126.77</v>
      </c>
      <c r="BY861" t="str">
        <f>"21.33"</f>
        <v>21.33</v>
      </c>
      <c r="BZ861" t="str">
        <f>"0.604"</f>
        <v>0.604</v>
      </c>
      <c r="CA861" t="s">
        <v>495</v>
      </c>
      <c r="CB861" t="s">
        <v>676</v>
      </c>
      <c r="CC861" t="s">
        <v>3599</v>
      </c>
      <c r="CD861" t="s">
        <v>7470</v>
      </c>
      <c r="CE861" t="s">
        <v>676</v>
      </c>
      <c r="CF861" t="s">
        <v>13496</v>
      </c>
      <c r="CG861" t="s">
        <v>7470</v>
      </c>
      <c r="CR861" t="s">
        <v>400</v>
      </c>
      <c r="CS861">
        <v>0</v>
      </c>
      <c r="CT861" t="s">
        <v>400</v>
      </c>
      <c r="CV861">
        <v>2</v>
      </c>
      <c r="CW861" t="s">
        <v>402</v>
      </c>
      <c r="CX861" t="s">
        <v>953</v>
      </c>
      <c r="CY861" t="s">
        <v>404</v>
      </c>
      <c r="DA861">
        <v>18.14</v>
      </c>
      <c r="DB861">
        <v>40</v>
      </c>
      <c r="DC861">
        <v>0</v>
      </c>
      <c r="DJ861" t="s">
        <v>982</v>
      </c>
      <c r="DK861" t="s">
        <v>16207</v>
      </c>
      <c r="DX861" t="s">
        <v>3984</v>
      </c>
      <c r="EM861" t="s">
        <v>402</v>
      </c>
      <c r="EN861">
        <v>12</v>
      </c>
      <c r="FF861">
        <v>0</v>
      </c>
      <c r="FI861">
        <v>0</v>
      </c>
      <c r="FJ861" t="s">
        <v>1012</v>
      </c>
      <c r="FL861">
        <v>0</v>
      </c>
      <c r="FN861" t="s">
        <v>6664</v>
      </c>
      <c r="FQ861">
        <v>0</v>
      </c>
      <c r="GB861" t="s">
        <v>676</v>
      </c>
      <c r="GC861" t="s">
        <v>13496</v>
      </c>
      <c r="GD861" t="s">
        <v>7470</v>
      </c>
      <c r="GR861" t="s">
        <v>676</v>
      </c>
      <c r="GS861" t="s">
        <v>676</v>
      </c>
      <c r="GT861" t="s">
        <v>13496</v>
      </c>
      <c r="GU861" t="s">
        <v>13496</v>
      </c>
      <c r="GV861" t="s">
        <v>7470</v>
      </c>
      <c r="GW861" t="s">
        <v>7470</v>
      </c>
      <c r="JY861" t="s">
        <v>676</v>
      </c>
      <c r="JZ861" t="s">
        <v>394</v>
      </c>
      <c r="KA861" t="s">
        <v>7470</v>
      </c>
      <c r="KL861" t="s">
        <v>676</v>
      </c>
      <c r="KM861" t="s">
        <v>676</v>
      </c>
      <c r="KN861" t="s">
        <v>394</v>
      </c>
      <c r="KO861" t="s">
        <v>394</v>
      </c>
      <c r="KP861" t="s">
        <v>7470</v>
      </c>
      <c r="KQ861" t="s">
        <v>7470</v>
      </c>
      <c r="KZ861" t="s">
        <v>676</v>
      </c>
      <c r="LA861" t="s">
        <v>676</v>
      </c>
      <c r="LB861" t="s">
        <v>676</v>
      </c>
      <c r="LC861" t="s">
        <v>676</v>
      </c>
      <c r="LD861" t="s">
        <v>676</v>
      </c>
      <c r="LE861" t="s">
        <v>16208</v>
      </c>
      <c r="LF861" t="s">
        <v>16208</v>
      </c>
      <c r="LG861" t="s">
        <v>16208</v>
      </c>
      <c r="LH861" t="s">
        <v>394</v>
      </c>
      <c r="LI861" t="s">
        <v>16208</v>
      </c>
      <c r="LJ861" t="s">
        <v>7470</v>
      </c>
      <c r="LK861" t="s">
        <v>7470</v>
      </c>
      <c r="LL861" t="s">
        <v>7470</v>
      </c>
      <c r="LM861" t="s">
        <v>7470</v>
      </c>
      <c r="LN861" t="s">
        <v>7470</v>
      </c>
    </row>
    <row r="862" spans="1:326" x14ac:dyDescent="0.25">
      <c r="A862" t="s">
        <v>16209</v>
      </c>
      <c r="B862" t="str">
        <f>"801542805548"</f>
        <v>801542805548</v>
      </c>
      <c r="C862" t="s">
        <v>16210</v>
      </c>
      <c r="D862" t="s">
        <v>1318</v>
      </c>
      <c r="E862" t="s">
        <v>647</v>
      </c>
      <c r="F862" t="s">
        <v>648</v>
      </c>
      <c r="G862" t="str">
        <f>"120"</f>
        <v>120</v>
      </c>
      <c r="H862" t="str">
        <f>"43.25"</f>
        <v>43.25</v>
      </c>
      <c r="I862" t="str">
        <f>"30.5"</f>
        <v>30.5</v>
      </c>
      <c r="J862" t="str">
        <f>"304.46"</f>
        <v>304.46</v>
      </c>
      <c r="K862" t="s">
        <v>16211</v>
      </c>
      <c r="N862" t="s">
        <v>9602</v>
      </c>
      <c r="T862" t="s">
        <v>373</v>
      </c>
      <c r="U862" t="s">
        <v>373</v>
      </c>
      <c r="V862" t="s">
        <v>16212</v>
      </c>
      <c r="W862" t="s">
        <v>16213</v>
      </c>
      <c r="X862" t="s">
        <v>16214</v>
      </c>
      <c r="Y862" t="s">
        <v>16215</v>
      </c>
      <c r="Z862" t="s">
        <v>16216</v>
      </c>
      <c r="AA862" t="s">
        <v>16217</v>
      </c>
      <c r="AB862" t="s">
        <v>16218</v>
      </c>
      <c r="AC862" t="s">
        <v>16219</v>
      </c>
      <c r="AD862" t="s">
        <v>16220</v>
      </c>
      <c r="AE862" t="s">
        <v>16221</v>
      </c>
      <c r="AF862" t="s">
        <v>16222</v>
      </c>
      <c r="AG862" t="s">
        <v>16223</v>
      </c>
      <c r="AH862" t="s">
        <v>16224</v>
      </c>
      <c r="AI862" t="s">
        <v>16225</v>
      </c>
      <c r="AJ862" t="s">
        <v>16226</v>
      </c>
      <c r="AK862" t="s">
        <v>16227</v>
      </c>
      <c r="AL862" t="s">
        <v>16228</v>
      </c>
      <c r="AM862" t="s">
        <v>16229</v>
      </c>
      <c r="AN862" t="s">
        <v>16230</v>
      </c>
      <c r="BA862" t="str">
        <f>"4899"</f>
        <v>4899</v>
      </c>
      <c r="BB862" t="str">
        <f>"2060"</f>
        <v>2060</v>
      </c>
      <c r="BC862" t="s">
        <v>665</v>
      </c>
      <c r="BD862" t="str">
        <f>"2"</f>
        <v>2</v>
      </c>
      <c r="BE862" t="s">
        <v>1089</v>
      </c>
      <c r="BF862" t="str">
        <f>"124.21"</f>
        <v>124.21</v>
      </c>
      <c r="BG862" t="str">
        <f>"6.69"</f>
        <v>6.69</v>
      </c>
      <c r="BH862" t="str">
        <f>"47.83"</f>
        <v>47.83</v>
      </c>
      <c r="BI862" t="str">
        <f>"246.48"</f>
        <v>246.48</v>
      </c>
      <c r="BJ862" t="s">
        <v>6351</v>
      </c>
      <c r="BK862" t="str">
        <f>"67.32"</f>
        <v>67.32</v>
      </c>
      <c r="BL862" t="str">
        <f>"10.63"</f>
        <v>10.63</v>
      </c>
      <c r="BM862" t="str">
        <f>"49.8"</f>
        <v>49.8</v>
      </c>
      <c r="BN862" t="str">
        <f>"111.77"</f>
        <v>111.77</v>
      </c>
      <c r="BY862" t="str">
        <f>"43.65"</f>
        <v>43.65</v>
      </c>
      <c r="BZ862" t="str">
        <f>"1.236"</f>
        <v>1.236</v>
      </c>
      <c r="CA862" t="s">
        <v>431</v>
      </c>
      <c r="CR862" t="s">
        <v>400</v>
      </c>
      <c r="CS862">
        <v>0</v>
      </c>
      <c r="CT862" t="s">
        <v>400</v>
      </c>
      <c r="CV862">
        <v>0</v>
      </c>
      <c r="CX862" t="s">
        <v>403</v>
      </c>
      <c r="CY862" t="s">
        <v>400</v>
      </c>
      <c r="DA862">
        <v>0</v>
      </c>
      <c r="DB862">
        <v>0</v>
      </c>
      <c r="DC862">
        <v>0</v>
      </c>
      <c r="DI862">
        <v>12</v>
      </c>
      <c r="DJ862" t="s">
        <v>408</v>
      </c>
      <c r="DK862" t="s">
        <v>16231</v>
      </c>
      <c r="DM862" t="s">
        <v>669</v>
      </c>
      <c r="DX862" t="s">
        <v>16232</v>
      </c>
      <c r="DY862" t="s">
        <v>16233</v>
      </c>
      <c r="DZ862" t="s">
        <v>16234</v>
      </c>
      <c r="EI862" t="s">
        <v>2000</v>
      </c>
      <c r="EJ862" t="s">
        <v>16235</v>
      </c>
      <c r="EK862" t="s">
        <v>16236</v>
      </c>
      <c r="EL862" t="s">
        <v>16237</v>
      </c>
      <c r="EM862" t="s">
        <v>402</v>
      </c>
      <c r="EN862">
        <v>0</v>
      </c>
      <c r="EO862">
        <v>0</v>
      </c>
      <c r="EV862" t="s">
        <v>2030</v>
      </c>
      <c r="EW862" t="s">
        <v>16238</v>
      </c>
      <c r="EY862" t="s">
        <v>5485</v>
      </c>
    </row>
    <row r="863" spans="1:326" x14ac:dyDescent="0.25">
      <c r="A863" t="s">
        <v>16239</v>
      </c>
      <c r="B863" t="str">
        <f>"801542806026"</f>
        <v>801542806026</v>
      </c>
      <c r="C863" t="s">
        <v>16240</v>
      </c>
      <c r="D863" t="s">
        <v>1318</v>
      </c>
      <c r="E863" t="s">
        <v>515</v>
      </c>
      <c r="F863" t="s">
        <v>516</v>
      </c>
      <c r="G863" t="str">
        <f>"45"</f>
        <v>45</v>
      </c>
      <c r="H863" t="str">
        <f>"39"</f>
        <v>39</v>
      </c>
      <c r="I863" t="str">
        <f>"29.5"</f>
        <v>29.5</v>
      </c>
      <c r="J863" t="str">
        <f>"111.99"</f>
        <v>111.99</v>
      </c>
      <c r="K863" t="s">
        <v>16241</v>
      </c>
      <c r="L863" t="s">
        <v>16242</v>
      </c>
      <c r="M863" t="s">
        <v>16243</v>
      </c>
      <c r="N863" t="s">
        <v>416</v>
      </c>
      <c r="O863" t="s">
        <v>372</v>
      </c>
      <c r="T863" t="s">
        <v>373</v>
      </c>
      <c r="U863" t="s">
        <v>373</v>
      </c>
      <c r="V863" t="s">
        <v>16244</v>
      </c>
      <c r="W863" t="s">
        <v>16245</v>
      </c>
      <c r="X863" t="s">
        <v>16246</v>
      </c>
      <c r="Y863" t="s">
        <v>16247</v>
      </c>
      <c r="Z863" t="s">
        <v>16248</v>
      </c>
      <c r="AA863" t="s">
        <v>16249</v>
      </c>
      <c r="AB863" t="s">
        <v>16250</v>
      </c>
      <c r="AC863" t="s">
        <v>16251</v>
      </c>
      <c r="AD863" t="s">
        <v>16252</v>
      </c>
      <c r="AE863" t="s">
        <v>16253</v>
      </c>
      <c r="AF863" t="s">
        <v>16254</v>
      </c>
      <c r="AG863" t="s">
        <v>16255</v>
      </c>
      <c r="AH863" t="s">
        <v>16256</v>
      </c>
      <c r="AI863" t="s">
        <v>16257</v>
      </c>
      <c r="AJ863" t="s">
        <v>16258</v>
      </c>
      <c r="BA863" t="str">
        <f>"3599"</f>
        <v>3599</v>
      </c>
      <c r="BB863" t="str">
        <f>"1515"</f>
        <v>1515</v>
      </c>
      <c r="BC863" t="s">
        <v>665</v>
      </c>
      <c r="BD863" t="str">
        <f t="shared" ref="BD863:BD872" si="182">"1"</f>
        <v>1</v>
      </c>
      <c r="BE863" t="s">
        <v>389</v>
      </c>
      <c r="BF863" t="str">
        <f>"45.87"</f>
        <v>45.87</v>
      </c>
      <c r="BG863" t="str">
        <f>"43.31"</f>
        <v>43.31</v>
      </c>
      <c r="BH863" t="str">
        <f>"36.22"</f>
        <v>36.22</v>
      </c>
      <c r="BI863" t="str">
        <f>"154.98"</f>
        <v>154.98</v>
      </c>
      <c r="BY863" t="str">
        <f>"41.64"</f>
        <v>41.64</v>
      </c>
      <c r="BZ863" t="str">
        <f>"1.179"</f>
        <v>1.179</v>
      </c>
      <c r="CA863" t="s">
        <v>390</v>
      </c>
      <c r="CK863" t="s">
        <v>3832</v>
      </c>
      <c r="CL863" t="s">
        <v>535</v>
      </c>
      <c r="CM863" t="s">
        <v>750</v>
      </c>
      <c r="CN863">
        <v>0</v>
      </c>
      <c r="CO863">
        <v>0</v>
      </c>
      <c r="CP863" t="s">
        <v>437</v>
      </c>
      <c r="CQ863" t="s">
        <v>438</v>
      </c>
      <c r="CY863" t="s">
        <v>400</v>
      </c>
      <c r="CZ863">
        <v>0</v>
      </c>
      <c r="DD863">
        <v>0</v>
      </c>
      <c r="DE863" t="s">
        <v>1892</v>
      </c>
      <c r="DH863">
        <v>0</v>
      </c>
      <c r="DI863">
        <v>1</v>
      </c>
      <c r="DK863" t="s">
        <v>16259</v>
      </c>
      <c r="DL863">
        <v>0</v>
      </c>
      <c r="DM863" t="s">
        <v>538</v>
      </c>
      <c r="DN863" t="s">
        <v>2127</v>
      </c>
      <c r="DO863" t="s">
        <v>2383</v>
      </c>
      <c r="DP863" t="s">
        <v>544</v>
      </c>
      <c r="DT863" t="s">
        <v>7470</v>
      </c>
      <c r="DX863" t="s">
        <v>4299</v>
      </c>
      <c r="DY863" t="s">
        <v>1732</v>
      </c>
      <c r="DZ863" t="s">
        <v>16260</v>
      </c>
      <c r="EA863" t="s">
        <v>6954</v>
      </c>
      <c r="EM863" t="s">
        <v>402</v>
      </c>
      <c r="EP863" t="s">
        <v>1643</v>
      </c>
      <c r="EQ863" t="s">
        <v>16261</v>
      </c>
      <c r="ER863">
        <v>0</v>
      </c>
      <c r="ES863">
        <v>0</v>
      </c>
      <c r="EU863">
        <v>0</v>
      </c>
    </row>
    <row r="864" spans="1:326" x14ac:dyDescent="0.25">
      <c r="A864" t="s">
        <v>16262</v>
      </c>
      <c r="B864" t="str">
        <f>"801542909048"</f>
        <v>801542909048</v>
      </c>
      <c r="C864" t="s">
        <v>16263</v>
      </c>
      <c r="D864" t="s">
        <v>1318</v>
      </c>
      <c r="E864" t="s">
        <v>1077</v>
      </c>
      <c r="G864" t="str">
        <f>"55"</f>
        <v>55</v>
      </c>
      <c r="H864" t="str">
        <f>"55"</f>
        <v>55</v>
      </c>
      <c r="I864" t="str">
        <f>"14"</f>
        <v>14</v>
      </c>
      <c r="J864" t="str">
        <f>"228.4"</f>
        <v>228.4</v>
      </c>
      <c r="K864" t="s">
        <v>16211</v>
      </c>
      <c r="L864" t="s">
        <v>16264</v>
      </c>
      <c r="N864" t="s">
        <v>9602</v>
      </c>
      <c r="O864" t="s">
        <v>372</v>
      </c>
      <c r="T864" t="s">
        <v>373</v>
      </c>
      <c r="U864" t="s">
        <v>373</v>
      </c>
      <c r="V864" t="s">
        <v>16265</v>
      </c>
      <c r="W864" t="s">
        <v>16266</v>
      </c>
      <c r="X864" t="s">
        <v>16267</v>
      </c>
      <c r="Y864" t="s">
        <v>16268</v>
      </c>
      <c r="Z864" t="s">
        <v>16269</v>
      </c>
      <c r="AA864" t="s">
        <v>16270</v>
      </c>
      <c r="AB864" t="s">
        <v>16271</v>
      </c>
      <c r="AC864" t="s">
        <v>16272</v>
      </c>
      <c r="AD864" t="s">
        <v>16273</v>
      </c>
      <c r="AE864" t="s">
        <v>16274</v>
      </c>
      <c r="AF864" t="s">
        <v>16275</v>
      </c>
      <c r="AG864" t="s">
        <v>16276</v>
      </c>
      <c r="AH864" t="s">
        <v>16277</v>
      </c>
      <c r="AI864" t="s">
        <v>16278</v>
      </c>
      <c r="BA864" t="str">
        <f>"3999"</f>
        <v>3999</v>
      </c>
      <c r="BB864" t="str">
        <f>"1680"</f>
        <v>1680</v>
      </c>
      <c r="BC864" t="s">
        <v>665</v>
      </c>
      <c r="BD864" t="str">
        <f t="shared" si="182"/>
        <v>1</v>
      </c>
      <c r="BE864" t="s">
        <v>389</v>
      </c>
      <c r="BF864" t="str">
        <f>"58.66"</f>
        <v>58.66</v>
      </c>
      <c r="BG864" t="str">
        <f>"58.46"</f>
        <v>58.46</v>
      </c>
      <c r="BH864" t="str">
        <f>"22.64"</f>
        <v>22.64</v>
      </c>
      <c r="BI864" t="str">
        <f>"295.42"</f>
        <v>295.42</v>
      </c>
      <c r="BY864" t="str">
        <f>"44.92"</f>
        <v>44.92</v>
      </c>
      <c r="BZ864" t="str">
        <f>"1.272"</f>
        <v>1.272</v>
      </c>
      <c r="CA864" t="s">
        <v>431</v>
      </c>
      <c r="CR864" t="s">
        <v>400</v>
      </c>
      <c r="CS864">
        <v>0</v>
      </c>
      <c r="CT864" t="s">
        <v>400</v>
      </c>
      <c r="CV864">
        <v>0</v>
      </c>
      <c r="CX864" t="s">
        <v>16279</v>
      </c>
      <c r="CY864" t="s">
        <v>400</v>
      </c>
      <c r="DC864">
        <v>0</v>
      </c>
      <c r="DJ864" t="s">
        <v>1132</v>
      </c>
      <c r="DK864" t="s">
        <v>16280</v>
      </c>
      <c r="DM864" t="s">
        <v>473</v>
      </c>
      <c r="DX864" t="s">
        <v>1292</v>
      </c>
      <c r="EI864" t="s">
        <v>16281</v>
      </c>
      <c r="EJ864" t="s">
        <v>1292</v>
      </c>
      <c r="EK864" t="s">
        <v>16281</v>
      </c>
      <c r="EL864" t="s">
        <v>1350</v>
      </c>
      <c r="EM864" t="s">
        <v>402</v>
      </c>
      <c r="EN864">
        <v>0</v>
      </c>
      <c r="EO864">
        <v>0</v>
      </c>
      <c r="EX864" t="s">
        <v>3599</v>
      </c>
    </row>
    <row r="865" spans="1:255" x14ac:dyDescent="0.25">
      <c r="A865" t="s">
        <v>16282</v>
      </c>
      <c r="B865" t="str">
        <f>"801542805708"</f>
        <v>801542805708</v>
      </c>
      <c r="C865" t="s">
        <v>16283</v>
      </c>
      <c r="D865" t="s">
        <v>1318</v>
      </c>
      <c r="E865" t="s">
        <v>1077</v>
      </c>
      <c r="G865" t="str">
        <f>"55"</f>
        <v>55</v>
      </c>
      <c r="H865" t="str">
        <f>"55"</f>
        <v>55</v>
      </c>
      <c r="I865" t="str">
        <f>"13.75"</f>
        <v>13.75</v>
      </c>
      <c r="J865" t="str">
        <f>"189.38"</f>
        <v>189.38</v>
      </c>
      <c r="K865" t="s">
        <v>16211</v>
      </c>
      <c r="N865" t="s">
        <v>9602</v>
      </c>
      <c r="T865" t="s">
        <v>373</v>
      </c>
      <c r="U865" t="s">
        <v>373</v>
      </c>
      <c r="V865" t="s">
        <v>16284</v>
      </c>
      <c r="W865" t="s">
        <v>16285</v>
      </c>
      <c r="X865" t="s">
        <v>16286</v>
      </c>
      <c r="Y865" t="s">
        <v>16287</v>
      </c>
      <c r="Z865" t="s">
        <v>16288</v>
      </c>
      <c r="AA865" t="s">
        <v>16289</v>
      </c>
      <c r="AB865" t="s">
        <v>16290</v>
      </c>
      <c r="AC865" t="s">
        <v>16291</v>
      </c>
      <c r="AD865" t="s">
        <v>16292</v>
      </c>
      <c r="AE865" t="s">
        <v>16293</v>
      </c>
      <c r="AF865" t="s">
        <v>16294</v>
      </c>
      <c r="AG865" t="s">
        <v>16295</v>
      </c>
      <c r="AH865" t="s">
        <v>16296</v>
      </c>
      <c r="BA865" t="str">
        <f>"3599"</f>
        <v>3599</v>
      </c>
      <c r="BB865" t="str">
        <f>"1515"</f>
        <v>1515</v>
      </c>
      <c r="BC865" t="s">
        <v>665</v>
      </c>
      <c r="BD865" t="str">
        <f t="shared" si="182"/>
        <v>1</v>
      </c>
      <c r="BE865" t="s">
        <v>389</v>
      </c>
      <c r="BF865" t="str">
        <f>"58.27"</f>
        <v>58.27</v>
      </c>
      <c r="BG865" t="str">
        <f>"57.68"</f>
        <v>57.68</v>
      </c>
      <c r="BH865" t="str">
        <f>"17.72"</f>
        <v>17.72</v>
      </c>
      <c r="BI865" t="str">
        <f>"238.98"</f>
        <v>238.98</v>
      </c>
      <c r="BY865" t="str">
        <f>"34.47"</f>
        <v>34.47</v>
      </c>
      <c r="BZ865" t="str">
        <f>"0.976"</f>
        <v>0.976</v>
      </c>
      <c r="CA865" t="s">
        <v>431</v>
      </c>
      <c r="CE865" t="s">
        <v>5528</v>
      </c>
      <c r="CF865" t="s">
        <v>2170</v>
      </c>
      <c r="CG865" t="s">
        <v>8150</v>
      </c>
      <c r="CR865" t="s">
        <v>400</v>
      </c>
      <c r="CS865">
        <v>0</v>
      </c>
      <c r="CT865" t="s">
        <v>400</v>
      </c>
      <c r="CV865">
        <v>0</v>
      </c>
      <c r="CX865" t="s">
        <v>953</v>
      </c>
      <c r="CY865" t="s">
        <v>404</v>
      </c>
      <c r="DC865">
        <v>0</v>
      </c>
      <c r="DJ865" t="s">
        <v>471</v>
      </c>
      <c r="DK865" t="s">
        <v>16297</v>
      </c>
      <c r="DM865" t="s">
        <v>473</v>
      </c>
      <c r="DX865" t="s">
        <v>3518</v>
      </c>
      <c r="EI865" t="s">
        <v>16298</v>
      </c>
      <c r="EJ865" t="s">
        <v>3518</v>
      </c>
      <c r="EK865" t="s">
        <v>16299</v>
      </c>
      <c r="EL865" t="s">
        <v>5144</v>
      </c>
      <c r="EM865" t="s">
        <v>402</v>
      </c>
      <c r="EN865">
        <v>1</v>
      </c>
      <c r="EO865">
        <v>0</v>
      </c>
      <c r="EX865" t="s">
        <v>8088</v>
      </c>
    </row>
    <row r="866" spans="1:255" x14ac:dyDescent="0.25">
      <c r="A866" t="s">
        <v>16300</v>
      </c>
      <c r="B866" t="str">
        <f>"801542909116"</f>
        <v>801542909116</v>
      </c>
      <c r="C866" t="s">
        <v>16301</v>
      </c>
      <c r="D866" t="s">
        <v>1318</v>
      </c>
      <c r="E866" t="s">
        <v>459</v>
      </c>
      <c r="G866" t="str">
        <f>"26"</f>
        <v>26</v>
      </c>
      <c r="H866" t="str">
        <f>"26"</f>
        <v>26</v>
      </c>
      <c r="I866" t="str">
        <f>"21.75"</f>
        <v>21.75</v>
      </c>
      <c r="J866" t="str">
        <f>"56.44"</f>
        <v>56.44</v>
      </c>
      <c r="K866" t="s">
        <v>16211</v>
      </c>
      <c r="N866" t="s">
        <v>9602</v>
      </c>
      <c r="T866" t="s">
        <v>373</v>
      </c>
      <c r="U866" t="s">
        <v>373</v>
      </c>
      <c r="V866" t="s">
        <v>16302</v>
      </c>
      <c r="W866" t="s">
        <v>16303</v>
      </c>
      <c r="X866" t="s">
        <v>16304</v>
      </c>
      <c r="Y866" t="s">
        <v>16305</v>
      </c>
      <c r="Z866" t="s">
        <v>16306</v>
      </c>
      <c r="AA866" t="s">
        <v>16307</v>
      </c>
      <c r="AB866" t="s">
        <v>16308</v>
      </c>
      <c r="AC866" t="s">
        <v>16309</v>
      </c>
      <c r="AD866" t="s">
        <v>16310</v>
      </c>
      <c r="AE866" t="s">
        <v>16311</v>
      </c>
      <c r="AF866" t="s">
        <v>16312</v>
      </c>
      <c r="AG866" t="s">
        <v>16313</v>
      </c>
      <c r="AH866" t="s">
        <v>16314</v>
      </c>
      <c r="BA866" t="str">
        <f>"1449"</f>
        <v>1449</v>
      </c>
      <c r="BB866" t="str">
        <f>"610"</f>
        <v>610</v>
      </c>
      <c r="BC866" t="s">
        <v>665</v>
      </c>
      <c r="BD866" t="str">
        <f t="shared" si="182"/>
        <v>1</v>
      </c>
      <c r="BE866" t="s">
        <v>389</v>
      </c>
      <c r="BF866" t="str">
        <f>"28.74"</f>
        <v>28.74</v>
      </c>
      <c r="BG866" t="str">
        <f>"28.35"</f>
        <v>28.35</v>
      </c>
      <c r="BH866" t="str">
        <f>"27.56"</f>
        <v>27.56</v>
      </c>
      <c r="BI866" t="str">
        <f>"81.79"</f>
        <v>81.79</v>
      </c>
      <c r="BY866" t="str">
        <f>"13"</f>
        <v>13</v>
      </c>
      <c r="BZ866" t="str">
        <f>"0.368"</f>
        <v>0.368</v>
      </c>
      <c r="CA866" t="s">
        <v>431</v>
      </c>
      <c r="CE866" t="s">
        <v>1342</v>
      </c>
      <c r="CF866" t="s">
        <v>15651</v>
      </c>
      <c r="CG866" t="s">
        <v>2124</v>
      </c>
      <c r="CR866" t="s">
        <v>400</v>
      </c>
      <c r="CS866">
        <v>0</v>
      </c>
      <c r="CT866" t="s">
        <v>400</v>
      </c>
      <c r="CV866">
        <v>0</v>
      </c>
      <c r="CX866" t="s">
        <v>16279</v>
      </c>
      <c r="CY866" t="s">
        <v>404</v>
      </c>
      <c r="DC866">
        <v>0</v>
      </c>
      <c r="DJ866" t="s">
        <v>471</v>
      </c>
      <c r="DK866" t="s">
        <v>16297</v>
      </c>
      <c r="DM866" t="s">
        <v>473</v>
      </c>
      <c r="DX866" t="s">
        <v>3518</v>
      </c>
      <c r="EI866" t="s">
        <v>16315</v>
      </c>
      <c r="EJ866" t="s">
        <v>3518</v>
      </c>
      <c r="EK866" t="s">
        <v>10140</v>
      </c>
      <c r="EL866" t="s">
        <v>16316</v>
      </c>
      <c r="EM866" t="s">
        <v>402</v>
      </c>
      <c r="EN866">
        <v>1</v>
      </c>
      <c r="EO866">
        <v>0</v>
      </c>
      <c r="EX866" t="s">
        <v>16317</v>
      </c>
    </row>
    <row r="867" spans="1:255" x14ac:dyDescent="0.25">
      <c r="A867" t="s">
        <v>16318</v>
      </c>
      <c r="B867" t="str">
        <f>"801542805913"</f>
        <v>801542805913</v>
      </c>
      <c r="C867" t="s">
        <v>16319</v>
      </c>
      <c r="D867" t="s">
        <v>1318</v>
      </c>
      <c r="E867" t="s">
        <v>1077</v>
      </c>
      <c r="G867" t="str">
        <f>"54.25"</f>
        <v>54.25</v>
      </c>
      <c r="H867" t="str">
        <f>"54.25"</f>
        <v>54.25</v>
      </c>
      <c r="I867" t="str">
        <f>"13.5"</f>
        <v>13.5</v>
      </c>
      <c r="J867" t="str">
        <f>"141.76"</f>
        <v>141.76</v>
      </c>
      <c r="K867" t="s">
        <v>16320</v>
      </c>
      <c r="N867" t="s">
        <v>9602</v>
      </c>
      <c r="T867" t="s">
        <v>373</v>
      </c>
      <c r="U867" t="s">
        <v>373</v>
      </c>
      <c r="V867" t="s">
        <v>16321</v>
      </c>
      <c r="W867" t="s">
        <v>16322</v>
      </c>
      <c r="X867" t="s">
        <v>16323</v>
      </c>
      <c r="Y867" t="s">
        <v>16324</v>
      </c>
      <c r="Z867" t="s">
        <v>16325</v>
      </c>
      <c r="AA867" t="s">
        <v>16326</v>
      </c>
      <c r="AB867" t="s">
        <v>16327</v>
      </c>
      <c r="AC867" t="s">
        <v>16328</v>
      </c>
      <c r="AD867" t="s">
        <v>16329</v>
      </c>
      <c r="AE867" t="s">
        <v>16330</v>
      </c>
      <c r="AF867" t="s">
        <v>16331</v>
      </c>
      <c r="AG867" t="s">
        <v>16332</v>
      </c>
      <c r="AH867" t="s">
        <v>16333</v>
      </c>
      <c r="BA867" t="str">
        <f>"2199"</f>
        <v>2199</v>
      </c>
      <c r="BB867" t="str">
        <f>"925"</f>
        <v>925</v>
      </c>
      <c r="BC867" t="s">
        <v>665</v>
      </c>
      <c r="BD867" t="str">
        <f t="shared" si="182"/>
        <v>1</v>
      </c>
      <c r="BE867" t="s">
        <v>389</v>
      </c>
      <c r="BF867" t="str">
        <f>"57.76"</f>
        <v>57.76</v>
      </c>
      <c r="BG867" t="str">
        <f>"57.2"</f>
        <v>57.2</v>
      </c>
      <c r="BH867" t="str">
        <f>"17.91"</f>
        <v>17.91</v>
      </c>
      <c r="BI867" t="str">
        <f>"184.75"</f>
        <v>184.75</v>
      </c>
      <c r="BY867" t="str">
        <f>"34.26"</f>
        <v>34.26</v>
      </c>
      <c r="BZ867" t="str">
        <f>"0.97"</f>
        <v>0.97</v>
      </c>
      <c r="CA867" t="s">
        <v>431</v>
      </c>
      <c r="CR867" t="s">
        <v>400</v>
      </c>
      <c r="CS867">
        <v>0</v>
      </c>
      <c r="CT867" t="s">
        <v>400</v>
      </c>
      <c r="CV867">
        <v>0</v>
      </c>
      <c r="CX867" t="s">
        <v>953</v>
      </c>
      <c r="CY867" t="s">
        <v>400</v>
      </c>
      <c r="DC867">
        <v>0</v>
      </c>
      <c r="DJ867" t="s">
        <v>471</v>
      </c>
      <c r="DK867" t="s">
        <v>16334</v>
      </c>
      <c r="DM867" t="s">
        <v>473</v>
      </c>
      <c r="DX867" t="s">
        <v>675</v>
      </c>
      <c r="EI867" t="s">
        <v>16335</v>
      </c>
      <c r="EJ867" t="s">
        <v>675</v>
      </c>
      <c r="EK867" t="s">
        <v>16335</v>
      </c>
      <c r="EL867" t="s">
        <v>16336</v>
      </c>
      <c r="EM867" t="s">
        <v>402</v>
      </c>
      <c r="EN867">
        <v>0</v>
      </c>
      <c r="EO867">
        <v>0</v>
      </c>
      <c r="EX867" t="s">
        <v>16317</v>
      </c>
    </row>
    <row r="868" spans="1:255" x14ac:dyDescent="0.25">
      <c r="A868" t="s">
        <v>16337</v>
      </c>
      <c r="B868" t="str">
        <f>"801542805937"</f>
        <v>801542805937</v>
      </c>
      <c r="C868" t="s">
        <v>16338</v>
      </c>
      <c r="D868" t="s">
        <v>1318</v>
      </c>
      <c r="E868" t="s">
        <v>459</v>
      </c>
      <c r="G868" t="str">
        <f>"26"</f>
        <v>26</v>
      </c>
      <c r="H868" t="str">
        <f>"26"</f>
        <v>26</v>
      </c>
      <c r="I868" t="str">
        <f>"20.5"</f>
        <v>20.5</v>
      </c>
      <c r="J868" t="str">
        <f>"69.22"</f>
        <v>69.22</v>
      </c>
      <c r="K868" t="s">
        <v>16211</v>
      </c>
      <c r="L868" t="s">
        <v>16339</v>
      </c>
      <c r="N868" t="s">
        <v>9602</v>
      </c>
      <c r="O868" t="s">
        <v>1970</v>
      </c>
      <c r="T868" t="s">
        <v>373</v>
      </c>
      <c r="U868" t="s">
        <v>373</v>
      </c>
      <c r="V868" t="s">
        <v>16340</v>
      </c>
      <c r="W868" t="s">
        <v>16341</v>
      </c>
      <c r="X868" t="s">
        <v>16342</v>
      </c>
      <c r="Y868" t="s">
        <v>16343</v>
      </c>
      <c r="Z868" t="s">
        <v>16344</v>
      </c>
      <c r="AA868" t="s">
        <v>16345</v>
      </c>
      <c r="AB868" t="s">
        <v>16346</v>
      </c>
      <c r="AC868" t="s">
        <v>16347</v>
      </c>
      <c r="AD868" t="s">
        <v>16348</v>
      </c>
      <c r="AE868" t="s">
        <v>16349</v>
      </c>
      <c r="AF868" t="s">
        <v>16350</v>
      </c>
      <c r="AG868" t="s">
        <v>16351</v>
      </c>
      <c r="AH868" t="s">
        <v>16352</v>
      </c>
      <c r="AI868" t="s">
        <v>16353</v>
      </c>
      <c r="BA868" t="str">
        <f>"1049"</f>
        <v>1049</v>
      </c>
      <c r="BB868" t="str">
        <f>"445"</f>
        <v>445</v>
      </c>
      <c r="BC868" t="s">
        <v>665</v>
      </c>
      <c r="BD868" t="str">
        <f t="shared" si="182"/>
        <v>1</v>
      </c>
      <c r="BE868" t="s">
        <v>389</v>
      </c>
      <c r="BF868" t="str">
        <f>"28.15"</f>
        <v>28.15</v>
      </c>
      <c r="BG868" t="str">
        <f>"28.15"</f>
        <v>28.15</v>
      </c>
      <c r="BH868" t="str">
        <f>"25.98"</f>
        <v>25.98</v>
      </c>
      <c r="BI868" t="str">
        <f>"91.05"</f>
        <v>91.05</v>
      </c>
      <c r="BY868" t="str">
        <f>"11.9"</f>
        <v>11.9</v>
      </c>
      <c r="BZ868" t="str">
        <f>"0.337"</f>
        <v>0.337</v>
      </c>
      <c r="CA868" t="s">
        <v>495</v>
      </c>
      <c r="CR868" t="s">
        <v>400</v>
      </c>
      <c r="CS868">
        <v>0</v>
      </c>
      <c r="CT868" t="s">
        <v>400</v>
      </c>
      <c r="CV868">
        <v>0</v>
      </c>
      <c r="CX868" t="s">
        <v>953</v>
      </c>
      <c r="CY868" t="s">
        <v>400</v>
      </c>
      <c r="DC868">
        <v>0</v>
      </c>
      <c r="DJ868" t="s">
        <v>471</v>
      </c>
      <c r="DK868" t="s">
        <v>16334</v>
      </c>
      <c r="DM868" t="s">
        <v>473</v>
      </c>
      <c r="DX868" t="s">
        <v>744</v>
      </c>
      <c r="EI868" t="s">
        <v>9626</v>
      </c>
      <c r="EJ868" t="s">
        <v>744</v>
      </c>
      <c r="EK868" t="s">
        <v>9626</v>
      </c>
      <c r="EL868" t="s">
        <v>16354</v>
      </c>
      <c r="EM868" t="s">
        <v>402</v>
      </c>
      <c r="EN868">
        <v>0</v>
      </c>
      <c r="EO868">
        <v>0</v>
      </c>
      <c r="EX868" t="s">
        <v>7187</v>
      </c>
    </row>
    <row r="869" spans="1:255" x14ac:dyDescent="0.25">
      <c r="A869" t="s">
        <v>16355</v>
      </c>
      <c r="B869" t="str">
        <f>"801542805920"</f>
        <v>801542805920</v>
      </c>
      <c r="C869" t="s">
        <v>16356</v>
      </c>
      <c r="D869" t="s">
        <v>1318</v>
      </c>
      <c r="E869" t="s">
        <v>459</v>
      </c>
      <c r="G869" t="str">
        <f>"26"</f>
        <v>26</v>
      </c>
      <c r="H869" t="str">
        <f>"26"</f>
        <v>26</v>
      </c>
      <c r="I869" t="str">
        <f>"20.5"</f>
        <v>20.5</v>
      </c>
      <c r="J869" t="str">
        <f>"69.22"</f>
        <v>69.22</v>
      </c>
      <c r="K869" t="s">
        <v>16357</v>
      </c>
      <c r="N869" t="s">
        <v>16358</v>
      </c>
      <c r="T869" t="s">
        <v>373</v>
      </c>
      <c r="U869" t="s">
        <v>373</v>
      </c>
      <c r="V869" t="s">
        <v>16359</v>
      </c>
      <c r="W869" t="s">
        <v>16360</v>
      </c>
      <c r="X869" t="s">
        <v>16361</v>
      </c>
      <c r="Y869" t="s">
        <v>16362</v>
      </c>
      <c r="Z869" t="s">
        <v>16363</v>
      </c>
      <c r="AA869" t="s">
        <v>16364</v>
      </c>
      <c r="AB869" t="s">
        <v>16365</v>
      </c>
      <c r="AC869" t="s">
        <v>16366</v>
      </c>
      <c r="AD869" t="s">
        <v>16367</v>
      </c>
      <c r="AE869" t="s">
        <v>16368</v>
      </c>
      <c r="AF869" t="s">
        <v>16369</v>
      </c>
      <c r="AG869" t="s">
        <v>16370</v>
      </c>
      <c r="BA869" t="str">
        <f>"1149"</f>
        <v>1149</v>
      </c>
      <c r="BB869" t="str">
        <f>"485"</f>
        <v>485</v>
      </c>
      <c r="BC869" t="s">
        <v>665</v>
      </c>
      <c r="BD869" t="str">
        <f t="shared" si="182"/>
        <v>1</v>
      </c>
      <c r="BE869" t="s">
        <v>389</v>
      </c>
      <c r="BF869" t="str">
        <f>"28.15"</f>
        <v>28.15</v>
      </c>
      <c r="BG869" t="str">
        <f>"28.15"</f>
        <v>28.15</v>
      </c>
      <c r="BH869" t="str">
        <f>"25.98"</f>
        <v>25.98</v>
      </c>
      <c r="BI869" t="str">
        <f>"91.05"</f>
        <v>91.05</v>
      </c>
      <c r="BY869" t="str">
        <f>"11.9"</f>
        <v>11.9</v>
      </c>
      <c r="BZ869" t="str">
        <f>"0.337"</f>
        <v>0.337</v>
      </c>
      <c r="CA869" t="s">
        <v>495</v>
      </c>
      <c r="CR869" t="s">
        <v>400</v>
      </c>
      <c r="CS869">
        <v>0</v>
      </c>
      <c r="CT869" t="s">
        <v>400</v>
      </c>
      <c r="CV869">
        <v>0</v>
      </c>
      <c r="CX869" t="s">
        <v>953</v>
      </c>
      <c r="CY869" t="s">
        <v>400</v>
      </c>
      <c r="DC869">
        <v>0</v>
      </c>
      <c r="DJ869" t="s">
        <v>471</v>
      </c>
      <c r="DK869" t="s">
        <v>16334</v>
      </c>
      <c r="DM869" t="s">
        <v>473</v>
      </c>
      <c r="DX869" t="s">
        <v>744</v>
      </c>
      <c r="EI869" t="s">
        <v>9626</v>
      </c>
      <c r="EJ869" t="s">
        <v>744</v>
      </c>
      <c r="EK869" t="s">
        <v>9626</v>
      </c>
      <c r="EL869" t="s">
        <v>16354</v>
      </c>
      <c r="EM869" t="s">
        <v>402</v>
      </c>
      <c r="EN869">
        <v>0</v>
      </c>
      <c r="EO869">
        <v>0</v>
      </c>
      <c r="EX869" t="s">
        <v>7187</v>
      </c>
    </row>
    <row r="870" spans="1:255" x14ac:dyDescent="0.25">
      <c r="A870" t="s">
        <v>16371</v>
      </c>
      <c r="B870" t="str">
        <f>"801542805562"</f>
        <v>801542805562</v>
      </c>
      <c r="C870" t="s">
        <v>16372</v>
      </c>
      <c r="D870" t="s">
        <v>1318</v>
      </c>
      <c r="E870" t="s">
        <v>1077</v>
      </c>
      <c r="G870" t="str">
        <f>"70.75"</f>
        <v>70.75</v>
      </c>
      <c r="H870" t="str">
        <f>"31.5"</f>
        <v>31.5</v>
      </c>
      <c r="I870" t="str">
        <f>"13.75"</f>
        <v>13.75</v>
      </c>
      <c r="J870" t="str">
        <f>"99.21"</f>
        <v>99.21</v>
      </c>
      <c r="K870" t="s">
        <v>16211</v>
      </c>
      <c r="N870" t="s">
        <v>9602</v>
      </c>
      <c r="T870" t="s">
        <v>373</v>
      </c>
      <c r="U870" t="s">
        <v>373</v>
      </c>
      <c r="V870" t="s">
        <v>16373</v>
      </c>
      <c r="W870" t="s">
        <v>16374</v>
      </c>
      <c r="X870" t="s">
        <v>16375</v>
      </c>
      <c r="Y870" t="s">
        <v>16376</v>
      </c>
      <c r="Z870" t="s">
        <v>16377</v>
      </c>
      <c r="AA870" t="s">
        <v>16378</v>
      </c>
      <c r="AB870" t="s">
        <v>16379</v>
      </c>
      <c r="AC870" t="s">
        <v>16380</v>
      </c>
      <c r="AD870" t="s">
        <v>16381</v>
      </c>
      <c r="AE870" t="s">
        <v>16382</v>
      </c>
      <c r="AF870" t="s">
        <v>16383</v>
      </c>
      <c r="AG870" t="s">
        <v>16384</v>
      </c>
      <c r="AH870" t="s">
        <v>16385</v>
      </c>
      <c r="BA870" t="str">
        <f>"1999"</f>
        <v>1999</v>
      </c>
      <c r="BB870" t="str">
        <f>"840"</f>
        <v>840</v>
      </c>
      <c r="BC870" t="s">
        <v>665</v>
      </c>
      <c r="BD870" t="str">
        <f t="shared" si="182"/>
        <v>1</v>
      </c>
      <c r="BE870" t="s">
        <v>389</v>
      </c>
      <c r="BF870" t="str">
        <f>"74.61"</f>
        <v>74.61</v>
      </c>
      <c r="BG870" t="str">
        <f>"33.46"</f>
        <v>33.46</v>
      </c>
      <c r="BH870" t="str">
        <f>"16.93"</f>
        <v>16.93</v>
      </c>
      <c r="BI870" t="str">
        <f>"134.48"</f>
        <v>134.48</v>
      </c>
      <c r="BY870" t="str">
        <f>"24.47"</f>
        <v>24.47</v>
      </c>
      <c r="BZ870" t="str">
        <f>"0.693"</f>
        <v>0.693</v>
      </c>
      <c r="CA870" t="s">
        <v>495</v>
      </c>
      <c r="CR870" t="s">
        <v>400</v>
      </c>
      <c r="CS870">
        <v>0</v>
      </c>
      <c r="CT870" t="s">
        <v>400</v>
      </c>
      <c r="CV870">
        <v>0</v>
      </c>
      <c r="CX870" t="s">
        <v>403</v>
      </c>
      <c r="CY870" t="s">
        <v>400</v>
      </c>
      <c r="DC870">
        <v>0</v>
      </c>
      <c r="DJ870" t="s">
        <v>408</v>
      </c>
      <c r="DK870" t="s">
        <v>16231</v>
      </c>
      <c r="DM870" t="s">
        <v>669</v>
      </c>
      <c r="DX870" t="s">
        <v>951</v>
      </c>
      <c r="DY870" t="s">
        <v>2598</v>
      </c>
      <c r="DZ870" t="s">
        <v>3543</v>
      </c>
      <c r="EI870" t="s">
        <v>395</v>
      </c>
      <c r="EJ870" t="s">
        <v>15385</v>
      </c>
      <c r="EK870" t="s">
        <v>1634</v>
      </c>
      <c r="EL870" t="s">
        <v>5144</v>
      </c>
      <c r="EM870" t="s">
        <v>402</v>
      </c>
      <c r="EN870">
        <v>0</v>
      </c>
      <c r="EO870">
        <v>0</v>
      </c>
    </row>
    <row r="871" spans="1:255" x14ac:dyDescent="0.25">
      <c r="A871" t="s">
        <v>16386</v>
      </c>
      <c r="B871" t="str">
        <f>"801542805586"</f>
        <v>801542805586</v>
      </c>
      <c r="C871" t="s">
        <v>16387</v>
      </c>
      <c r="D871" t="s">
        <v>1318</v>
      </c>
      <c r="E871" t="s">
        <v>1077</v>
      </c>
      <c r="G871" t="str">
        <f>"54.25"</f>
        <v>54.25</v>
      </c>
      <c r="H871" t="str">
        <f>"50"</f>
        <v>50</v>
      </c>
      <c r="I871" t="str">
        <f>"14"</f>
        <v>14</v>
      </c>
      <c r="J871" t="str">
        <f>"112.43"</f>
        <v>112.43</v>
      </c>
      <c r="K871" t="s">
        <v>16211</v>
      </c>
      <c r="N871" t="s">
        <v>9602</v>
      </c>
      <c r="T871" t="s">
        <v>373</v>
      </c>
      <c r="U871" t="s">
        <v>373</v>
      </c>
      <c r="V871" t="s">
        <v>16373</v>
      </c>
      <c r="W871" t="s">
        <v>16388</v>
      </c>
      <c r="X871" t="s">
        <v>16389</v>
      </c>
      <c r="Y871" t="s">
        <v>16390</v>
      </c>
      <c r="Z871" t="s">
        <v>16391</v>
      </c>
      <c r="AA871" t="s">
        <v>16392</v>
      </c>
      <c r="AB871" t="s">
        <v>16393</v>
      </c>
      <c r="AC871" t="s">
        <v>16394</v>
      </c>
      <c r="AD871" t="s">
        <v>16395</v>
      </c>
      <c r="AE871" t="s">
        <v>16396</v>
      </c>
      <c r="AF871" t="s">
        <v>16397</v>
      </c>
      <c r="AG871" t="s">
        <v>16398</v>
      </c>
      <c r="AH871" t="s">
        <v>16399</v>
      </c>
      <c r="BA871" t="str">
        <f>"2099"</f>
        <v>2099</v>
      </c>
      <c r="BB871" t="str">
        <f>"885"</f>
        <v>885</v>
      </c>
      <c r="BC871" t="s">
        <v>665</v>
      </c>
      <c r="BD871" t="str">
        <f t="shared" si="182"/>
        <v>1</v>
      </c>
      <c r="BE871" t="s">
        <v>389</v>
      </c>
      <c r="BF871" t="str">
        <f>"58.27"</f>
        <v>58.27</v>
      </c>
      <c r="BG871" t="str">
        <f>"54.33"</f>
        <v>54.33</v>
      </c>
      <c r="BH871" t="str">
        <f>"17.91"</f>
        <v>17.91</v>
      </c>
      <c r="BI871" t="str">
        <f>"158.73"</f>
        <v>158.73</v>
      </c>
      <c r="BY871" t="str">
        <f>"32.81"</f>
        <v>32.81</v>
      </c>
      <c r="BZ871" t="str">
        <f>"0.929"</f>
        <v>0.929</v>
      </c>
      <c r="CA871" t="s">
        <v>431</v>
      </c>
      <c r="CR871" t="s">
        <v>400</v>
      </c>
      <c r="CS871">
        <v>0</v>
      </c>
      <c r="CT871" t="s">
        <v>400</v>
      </c>
      <c r="CV871">
        <v>0</v>
      </c>
      <c r="CX871" t="s">
        <v>403</v>
      </c>
      <c r="CY871" t="s">
        <v>400</v>
      </c>
      <c r="DC871">
        <v>0</v>
      </c>
      <c r="DJ871" t="s">
        <v>1132</v>
      </c>
      <c r="DK871" t="s">
        <v>16231</v>
      </c>
      <c r="DM871" t="s">
        <v>473</v>
      </c>
      <c r="DX871" t="s">
        <v>16400</v>
      </c>
      <c r="DY871" t="s">
        <v>16401</v>
      </c>
      <c r="DZ871" t="s">
        <v>16402</v>
      </c>
      <c r="EI871" t="s">
        <v>16403</v>
      </c>
      <c r="EJ871" t="s">
        <v>9064</v>
      </c>
      <c r="EK871" t="s">
        <v>8151</v>
      </c>
      <c r="EL871" t="s">
        <v>5144</v>
      </c>
      <c r="EM871" t="s">
        <v>402</v>
      </c>
      <c r="EN871">
        <v>0</v>
      </c>
      <c r="EO871">
        <v>0</v>
      </c>
    </row>
    <row r="872" spans="1:255" x14ac:dyDescent="0.25">
      <c r="A872" t="s">
        <v>16404</v>
      </c>
      <c r="B872" t="str">
        <f>"801542805500"</f>
        <v>801542805500</v>
      </c>
      <c r="C872" t="s">
        <v>16405</v>
      </c>
      <c r="D872" t="s">
        <v>1318</v>
      </c>
      <c r="E872" t="s">
        <v>367</v>
      </c>
      <c r="F872" t="s">
        <v>368</v>
      </c>
      <c r="G872" t="str">
        <f>"94"</f>
        <v>94</v>
      </c>
      <c r="H872" t="str">
        <f>"19.75"</f>
        <v>19.75</v>
      </c>
      <c r="I872" t="str">
        <f>"18.5"</f>
        <v>18.5</v>
      </c>
      <c r="J872" t="str">
        <f>"111.11"</f>
        <v>111.11</v>
      </c>
      <c r="K872" t="s">
        <v>16243</v>
      </c>
      <c r="L872" t="s">
        <v>16264</v>
      </c>
      <c r="M872" t="s">
        <v>16211</v>
      </c>
      <c r="N872" t="s">
        <v>416</v>
      </c>
      <c r="O872" t="s">
        <v>372</v>
      </c>
      <c r="P872" t="s">
        <v>9602</v>
      </c>
      <c r="T872" t="s">
        <v>373</v>
      </c>
      <c r="U872" t="s">
        <v>373</v>
      </c>
      <c r="V872" t="s">
        <v>16406</v>
      </c>
      <c r="W872" t="s">
        <v>16407</v>
      </c>
      <c r="X872" t="s">
        <v>16408</v>
      </c>
      <c r="Y872" t="s">
        <v>16409</v>
      </c>
      <c r="Z872" t="s">
        <v>16410</v>
      </c>
      <c r="AA872" t="s">
        <v>16411</v>
      </c>
      <c r="AB872" t="s">
        <v>16412</v>
      </c>
      <c r="AC872" t="s">
        <v>16413</v>
      </c>
      <c r="AD872" t="s">
        <v>16414</v>
      </c>
      <c r="AE872" t="s">
        <v>16415</v>
      </c>
      <c r="AF872" t="s">
        <v>16416</v>
      </c>
      <c r="AG872" t="s">
        <v>16417</v>
      </c>
      <c r="AH872" t="s">
        <v>16418</v>
      </c>
      <c r="AI872" t="s">
        <v>16419</v>
      </c>
      <c r="BA872" t="str">
        <f>"2699"</f>
        <v>2699</v>
      </c>
      <c r="BB872" t="str">
        <f>"1135"</f>
        <v>1135</v>
      </c>
      <c r="BC872" t="s">
        <v>665</v>
      </c>
      <c r="BD872" t="str">
        <f t="shared" si="182"/>
        <v>1</v>
      </c>
      <c r="BE872" t="s">
        <v>389</v>
      </c>
      <c r="BF872" t="str">
        <f>"99.02"</f>
        <v>99.02</v>
      </c>
      <c r="BG872" t="str">
        <f>"23.23"</f>
        <v>23.23</v>
      </c>
      <c r="BH872" t="str">
        <f>"21.46"</f>
        <v>21.46</v>
      </c>
      <c r="BI872" t="str">
        <f>"150.8"</f>
        <v>150.8</v>
      </c>
      <c r="BY872" t="str">
        <f>"28.57"</f>
        <v>28.57</v>
      </c>
      <c r="BZ872" t="str">
        <f>"0.809"</f>
        <v>0.809</v>
      </c>
      <c r="CA872" t="s">
        <v>495</v>
      </c>
      <c r="CH872" t="s">
        <v>396</v>
      </c>
      <c r="CI872" t="s">
        <v>6259</v>
      </c>
      <c r="CJ872" t="s">
        <v>8041</v>
      </c>
      <c r="CK872" t="s">
        <v>396</v>
      </c>
      <c r="CL872" t="s">
        <v>16420</v>
      </c>
      <c r="CM872" t="s">
        <v>8041</v>
      </c>
      <c r="CN872">
        <v>0</v>
      </c>
      <c r="CO872">
        <v>0</v>
      </c>
      <c r="CP872" t="s">
        <v>398</v>
      </c>
      <c r="CQ872" t="s">
        <v>438</v>
      </c>
      <c r="CR872" t="s">
        <v>400</v>
      </c>
      <c r="CS872">
        <v>0</v>
      </c>
      <c r="CT872" t="s">
        <v>400</v>
      </c>
      <c r="CV872">
        <v>0</v>
      </c>
      <c r="CX872" t="s">
        <v>667</v>
      </c>
      <c r="CY872" t="s">
        <v>400</v>
      </c>
      <c r="CZ872">
        <v>0</v>
      </c>
      <c r="DA872">
        <v>0</v>
      </c>
      <c r="DB872">
        <v>0</v>
      </c>
      <c r="DC872">
        <v>0</v>
      </c>
      <c r="DD872">
        <v>0</v>
      </c>
      <c r="DE872" t="s">
        <v>405</v>
      </c>
      <c r="DF872" t="s">
        <v>2640</v>
      </c>
      <c r="DG872" t="s">
        <v>2380</v>
      </c>
      <c r="DH872">
        <v>1</v>
      </c>
      <c r="DI872">
        <v>4</v>
      </c>
      <c r="DJ872" t="s">
        <v>408</v>
      </c>
      <c r="DK872" t="s">
        <v>16231</v>
      </c>
      <c r="DL872">
        <v>0</v>
      </c>
      <c r="DM872" t="s">
        <v>795</v>
      </c>
      <c r="DX872" t="s">
        <v>16421</v>
      </c>
      <c r="DY872" t="s">
        <v>5936</v>
      </c>
      <c r="DZ872" t="s">
        <v>16422</v>
      </c>
      <c r="EP872" t="s">
        <v>8041</v>
      </c>
      <c r="EQ872" t="s">
        <v>8041</v>
      </c>
      <c r="ET872" t="s">
        <v>549</v>
      </c>
    </row>
    <row r="873" spans="1:255" x14ac:dyDescent="0.25">
      <c r="A873" t="s">
        <v>16423</v>
      </c>
      <c r="B873" t="str">
        <f>"801542821302"</f>
        <v>801542821302</v>
      </c>
      <c r="C873" t="s">
        <v>16424</v>
      </c>
      <c r="D873" t="s">
        <v>1318</v>
      </c>
      <c r="E873" t="s">
        <v>2006</v>
      </c>
      <c r="F873" t="s">
        <v>2007</v>
      </c>
      <c r="G873" t="str">
        <f>"102.25"</f>
        <v>102.25</v>
      </c>
      <c r="H873" t="str">
        <f>"95.5"</f>
        <v>95.5</v>
      </c>
      <c r="I873" t="str">
        <f>"47.25"</f>
        <v>47.25</v>
      </c>
      <c r="J873" t="str">
        <f>"488.76"</f>
        <v>488.76</v>
      </c>
      <c r="K873" t="s">
        <v>16425</v>
      </c>
      <c r="L873" t="s">
        <v>16211</v>
      </c>
      <c r="M873" t="s">
        <v>16339</v>
      </c>
      <c r="N873" t="s">
        <v>11157</v>
      </c>
      <c r="O873" t="s">
        <v>16426</v>
      </c>
      <c r="P873" t="s">
        <v>9602</v>
      </c>
      <c r="Q873" t="s">
        <v>1970</v>
      </c>
      <c r="T873" t="s">
        <v>373</v>
      </c>
      <c r="U873" t="s">
        <v>373</v>
      </c>
      <c r="V873" t="s">
        <v>16427</v>
      </c>
      <c r="W873" t="s">
        <v>16428</v>
      </c>
      <c r="X873" t="s">
        <v>16429</v>
      </c>
      <c r="Y873" t="s">
        <v>16430</v>
      </c>
      <c r="Z873" t="s">
        <v>16431</v>
      </c>
      <c r="AA873" t="s">
        <v>16432</v>
      </c>
      <c r="AB873" t="s">
        <v>16433</v>
      </c>
      <c r="AC873" t="s">
        <v>16434</v>
      </c>
      <c r="AD873" t="s">
        <v>16435</v>
      </c>
      <c r="AE873" t="s">
        <v>16436</v>
      </c>
      <c r="AF873" t="s">
        <v>16437</v>
      </c>
      <c r="AG873" t="s">
        <v>16438</v>
      </c>
      <c r="AH873" t="s">
        <v>16439</v>
      </c>
      <c r="AI873" t="s">
        <v>16440</v>
      </c>
      <c r="AJ873" t="s">
        <v>16258</v>
      </c>
      <c r="BA873" t="str">
        <f>"5299"</f>
        <v>5299</v>
      </c>
      <c r="BB873" t="str">
        <f>"2230"</f>
        <v>2230</v>
      </c>
      <c r="BC873" t="s">
        <v>665</v>
      </c>
      <c r="BD873" t="str">
        <f>"3"</f>
        <v>3</v>
      </c>
      <c r="BE873" t="s">
        <v>6950</v>
      </c>
      <c r="BF873" t="str">
        <f>"52.17"</f>
        <v>52.17</v>
      </c>
      <c r="BG873" t="str">
        <f>"39.17"</f>
        <v>39.17</v>
      </c>
      <c r="BH873" t="str">
        <f>"25.79"</f>
        <v>25.79</v>
      </c>
      <c r="BI873" t="str">
        <f>"266.76"</f>
        <v>266.76</v>
      </c>
      <c r="BJ873" t="s">
        <v>10227</v>
      </c>
      <c r="BK873" t="str">
        <f>"94.49"</f>
        <v>94.49</v>
      </c>
      <c r="BL873" t="str">
        <f>"27.76"</f>
        <v>27.76</v>
      </c>
      <c r="BM873" t="str">
        <f>"19.88"</f>
        <v>19.88</v>
      </c>
      <c r="BN873" t="str">
        <f>"218.26"</f>
        <v>218.26</v>
      </c>
      <c r="BO873" t="s">
        <v>16441</v>
      </c>
      <c r="BP873" t="str">
        <f>"84.65"</f>
        <v>84.65</v>
      </c>
      <c r="BQ873" t="str">
        <f>"12.8"</f>
        <v>12.8</v>
      </c>
      <c r="BR873" t="str">
        <f>"20.87"</f>
        <v>20.87</v>
      </c>
      <c r="BS873" t="str">
        <f>"74.96"</f>
        <v>74.96</v>
      </c>
      <c r="BY873" t="str">
        <f>"73.74"</f>
        <v>73.74</v>
      </c>
      <c r="BZ873" t="str">
        <f>"2.088"</f>
        <v>2.088</v>
      </c>
      <c r="CA873" t="s">
        <v>390</v>
      </c>
      <c r="CQ873" t="s">
        <v>631</v>
      </c>
      <c r="CR873" t="s">
        <v>400</v>
      </c>
      <c r="CS873">
        <v>0</v>
      </c>
      <c r="CT873" t="s">
        <v>400</v>
      </c>
      <c r="CV873">
        <v>0</v>
      </c>
      <c r="CX873" t="s">
        <v>403</v>
      </c>
      <c r="CY873" t="s">
        <v>400</v>
      </c>
      <c r="DA873">
        <v>0</v>
      </c>
      <c r="DB873">
        <v>0</v>
      </c>
      <c r="DC873">
        <v>0</v>
      </c>
      <c r="DD873">
        <v>25000</v>
      </c>
      <c r="DK873" t="s">
        <v>16442</v>
      </c>
      <c r="DM873" t="s">
        <v>2028</v>
      </c>
      <c r="EN873">
        <v>0</v>
      </c>
      <c r="HQ873" t="s">
        <v>4207</v>
      </c>
      <c r="HR873" t="s">
        <v>16443</v>
      </c>
      <c r="HS873" t="s">
        <v>16444</v>
      </c>
      <c r="HT873" t="s">
        <v>7068</v>
      </c>
      <c r="HU873" t="s">
        <v>1739</v>
      </c>
      <c r="HV873" t="s">
        <v>16445</v>
      </c>
      <c r="HW873" t="s">
        <v>2171</v>
      </c>
      <c r="HX873" t="s">
        <v>4208</v>
      </c>
      <c r="HY873" t="s">
        <v>16446</v>
      </c>
      <c r="HZ873" t="s">
        <v>4207</v>
      </c>
      <c r="IA873" t="s">
        <v>16447</v>
      </c>
      <c r="IB873" t="s">
        <v>16443</v>
      </c>
      <c r="IC873" t="s">
        <v>402</v>
      </c>
      <c r="ID873" t="s">
        <v>3519</v>
      </c>
      <c r="IE873" t="s">
        <v>1008</v>
      </c>
      <c r="IF873" t="s">
        <v>2177</v>
      </c>
      <c r="IG873" t="s">
        <v>2007</v>
      </c>
      <c r="IM873" t="s">
        <v>7587</v>
      </c>
      <c r="IN873" t="s">
        <v>9107</v>
      </c>
      <c r="IP873" t="s">
        <v>402</v>
      </c>
      <c r="IQ873" t="s">
        <v>3522</v>
      </c>
      <c r="IT873" t="s">
        <v>16448</v>
      </c>
      <c r="IU873" t="s">
        <v>16449</v>
      </c>
    </row>
    <row r="874" spans="1:255" x14ac:dyDescent="0.25">
      <c r="A874" t="s">
        <v>16450</v>
      </c>
      <c r="B874" t="str">
        <f>"198394124515"</f>
        <v>198394124515</v>
      </c>
      <c r="C874" t="s">
        <v>16451</v>
      </c>
      <c r="D874" t="s">
        <v>1318</v>
      </c>
      <c r="E874" t="s">
        <v>2006</v>
      </c>
      <c r="F874" t="s">
        <v>2040</v>
      </c>
      <c r="G874" t="str">
        <f>"88"</f>
        <v>88</v>
      </c>
      <c r="H874" t="str">
        <f>"93"</f>
        <v>93</v>
      </c>
      <c r="I874" t="str">
        <f>"45.5"</f>
        <v>45.5</v>
      </c>
      <c r="J874" t="str">
        <f>"272.27"</f>
        <v>272.27</v>
      </c>
      <c r="K874" t="s">
        <v>5552</v>
      </c>
      <c r="N874" t="s">
        <v>839</v>
      </c>
      <c r="O874" t="s">
        <v>840</v>
      </c>
      <c r="T874" t="s">
        <v>373</v>
      </c>
      <c r="U874" t="s">
        <v>402</v>
      </c>
      <c r="W874" t="s">
        <v>16452</v>
      </c>
      <c r="X874" t="s">
        <v>16453</v>
      </c>
      <c r="Y874" t="s">
        <v>16454</v>
      </c>
      <c r="Z874" t="s">
        <v>16455</v>
      </c>
      <c r="AA874" t="s">
        <v>16456</v>
      </c>
      <c r="AB874" t="s">
        <v>16457</v>
      </c>
      <c r="AC874" t="s">
        <v>16458</v>
      </c>
      <c r="AD874" t="s">
        <v>16459</v>
      </c>
      <c r="AE874" t="s">
        <v>16460</v>
      </c>
      <c r="AF874" t="s">
        <v>16461</v>
      </c>
      <c r="AG874" t="s">
        <v>16462</v>
      </c>
      <c r="AH874" t="s">
        <v>16463</v>
      </c>
      <c r="AI874" t="s">
        <v>16464</v>
      </c>
      <c r="AJ874" t="s">
        <v>16465</v>
      </c>
      <c r="AK874" t="s">
        <v>16466</v>
      </c>
      <c r="AL874" t="s">
        <v>16467</v>
      </c>
      <c r="AM874" t="s">
        <v>16468</v>
      </c>
      <c r="AN874" t="s">
        <v>16469</v>
      </c>
      <c r="AO874" t="s">
        <v>16470</v>
      </c>
      <c r="AP874" t="s">
        <v>16471</v>
      </c>
      <c r="AQ874" t="s">
        <v>16472</v>
      </c>
      <c r="AR874" t="s">
        <v>16473</v>
      </c>
      <c r="AS874" t="s">
        <v>16474</v>
      </c>
      <c r="BA874" t="str">
        <f>"2699"</f>
        <v>2699</v>
      </c>
      <c r="BB874" t="str">
        <f>"1135"</f>
        <v>1135</v>
      </c>
      <c r="BC874" t="s">
        <v>665</v>
      </c>
      <c r="BD874" t="str">
        <f>"3"</f>
        <v>3</v>
      </c>
      <c r="BE874" t="s">
        <v>6950</v>
      </c>
      <c r="BF874" t="str">
        <f>"90.16"</f>
        <v>90.16</v>
      </c>
      <c r="BG874" t="str">
        <f>"23.23"</f>
        <v>23.23</v>
      </c>
      <c r="BH874" t="str">
        <f>"49.02"</f>
        <v>49.02</v>
      </c>
      <c r="BI874" t="str">
        <f>"157.63"</f>
        <v>157.63</v>
      </c>
      <c r="BJ874" t="s">
        <v>10227</v>
      </c>
      <c r="BK874" t="str">
        <f>"85.63"</f>
        <v>85.63</v>
      </c>
      <c r="BL874" t="str">
        <f>"14.76"</f>
        <v>14.76</v>
      </c>
      <c r="BM874" t="str">
        <f>"18.11"</f>
        <v>18.11</v>
      </c>
      <c r="BN874" t="str">
        <f>"112.44"</f>
        <v>112.44</v>
      </c>
      <c r="BO874" t="s">
        <v>16441</v>
      </c>
      <c r="BP874" t="str">
        <f>"87.4"</f>
        <v>87.4</v>
      </c>
      <c r="BQ874" t="str">
        <f>"12.01"</f>
        <v>12.01</v>
      </c>
      <c r="BR874" t="str">
        <f>"13.78"</f>
        <v>13.78</v>
      </c>
      <c r="BS874" t="str">
        <f>"97"</f>
        <v>97</v>
      </c>
      <c r="BY874" t="str">
        <f>"81.01"</f>
        <v>81.01</v>
      </c>
      <c r="BZ874" t="str">
        <f>"2.294"</f>
        <v>2.294</v>
      </c>
      <c r="CA874" t="s">
        <v>390</v>
      </c>
      <c r="CQ874" t="s">
        <v>631</v>
      </c>
      <c r="CR874" t="s">
        <v>400</v>
      </c>
      <c r="CS874">
        <v>0</v>
      </c>
      <c r="CT874" t="s">
        <v>400</v>
      </c>
      <c r="CV874">
        <v>0</v>
      </c>
      <c r="CX874" t="s">
        <v>16475</v>
      </c>
      <c r="CY874" t="s">
        <v>400</v>
      </c>
      <c r="DA874">
        <v>0</v>
      </c>
      <c r="DB874">
        <v>0</v>
      </c>
      <c r="DC874">
        <v>0</v>
      </c>
      <c r="DD874">
        <v>25000</v>
      </c>
      <c r="DK874" t="s">
        <v>16476</v>
      </c>
      <c r="DM874" t="s">
        <v>2028</v>
      </c>
      <c r="EN874">
        <v>0</v>
      </c>
      <c r="HQ874" t="s">
        <v>14968</v>
      </c>
      <c r="HR874" t="s">
        <v>2072</v>
      </c>
      <c r="HS874" t="s">
        <v>12718</v>
      </c>
      <c r="HT874" t="s">
        <v>16477</v>
      </c>
      <c r="HU874" t="s">
        <v>16478</v>
      </c>
      <c r="HV874" t="s">
        <v>16479</v>
      </c>
      <c r="HW874" t="s">
        <v>2171</v>
      </c>
      <c r="HX874" t="s">
        <v>4561</v>
      </c>
      <c r="HY874" t="s">
        <v>3255</v>
      </c>
      <c r="HZ874" t="s">
        <v>979</v>
      </c>
      <c r="IA874" t="s">
        <v>16480</v>
      </c>
      <c r="IB874" t="s">
        <v>2072</v>
      </c>
      <c r="IC874" t="s">
        <v>402</v>
      </c>
      <c r="ID874" t="s">
        <v>3519</v>
      </c>
      <c r="IE874" t="s">
        <v>2037</v>
      </c>
      <c r="IF874" t="s">
        <v>2177</v>
      </c>
      <c r="IG874" t="s">
        <v>2040</v>
      </c>
      <c r="IM874" t="s">
        <v>395</v>
      </c>
      <c r="IN874" t="s">
        <v>7923</v>
      </c>
      <c r="IP874" t="s">
        <v>402</v>
      </c>
      <c r="IQ874" t="s">
        <v>3522</v>
      </c>
      <c r="IT874" t="s">
        <v>16481</v>
      </c>
      <c r="IU874" t="s">
        <v>16482</v>
      </c>
    </row>
    <row r="875" spans="1:255" x14ac:dyDescent="0.25">
      <c r="A875" t="s">
        <v>16483</v>
      </c>
      <c r="B875" t="str">
        <f>"198394124522"</f>
        <v>198394124522</v>
      </c>
      <c r="C875" t="s">
        <v>16451</v>
      </c>
      <c r="D875" t="s">
        <v>1318</v>
      </c>
      <c r="E875" t="s">
        <v>2006</v>
      </c>
      <c r="F875" t="s">
        <v>2007</v>
      </c>
      <c r="G875" t="str">
        <f>"72"</f>
        <v>72</v>
      </c>
      <c r="H875" t="str">
        <f>"93"</f>
        <v>93</v>
      </c>
      <c r="I875" t="str">
        <f>"45.5"</f>
        <v>45.5</v>
      </c>
      <c r="J875" t="str">
        <f>"241.4"</f>
        <v>241.4</v>
      </c>
      <c r="K875" t="s">
        <v>5552</v>
      </c>
      <c r="N875" t="s">
        <v>839</v>
      </c>
      <c r="O875" t="s">
        <v>840</v>
      </c>
      <c r="T875" t="s">
        <v>373</v>
      </c>
      <c r="U875" t="s">
        <v>402</v>
      </c>
      <c r="W875" t="s">
        <v>16484</v>
      </c>
      <c r="X875" t="s">
        <v>16453</v>
      </c>
      <c r="Y875" t="s">
        <v>16485</v>
      </c>
      <c r="Z875" t="s">
        <v>16486</v>
      </c>
      <c r="AA875" t="s">
        <v>16456</v>
      </c>
      <c r="AB875" t="s">
        <v>16457</v>
      </c>
      <c r="AC875" t="s">
        <v>16487</v>
      </c>
      <c r="AD875" t="s">
        <v>16488</v>
      </c>
      <c r="AE875" t="s">
        <v>16489</v>
      </c>
      <c r="AF875" t="s">
        <v>16461</v>
      </c>
      <c r="AG875" t="s">
        <v>16490</v>
      </c>
      <c r="AH875" t="s">
        <v>16463</v>
      </c>
      <c r="AI875" t="s">
        <v>16464</v>
      </c>
      <c r="AJ875" t="s">
        <v>16491</v>
      </c>
      <c r="AK875" t="s">
        <v>16467</v>
      </c>
      <c r="AL875" t="s">
        <v>16492</v>
      </c>
      <c r="AM875" t="s">
        <v>16493</v>
      </c>
      <c r="AN875" t="s">
        <v>16468</v>
      </c>
      <c r="AO875" t="s">
        <v>16494</v>
      </c>
      <c r="AP875" t="s">
        <v>16471</v>
      </c>
      <c r="AQ875" t="s">
        <v>16473</v>
      </c>
      <c r="AR875" t="s">
        <v>16495</v>
      </c>
      <c r="AS875" t="s">
        <v>16496</v>
      </c>
      <c r="AT875" t="s">
        <v>16497</v>
      </c>
      <c r="BA875" t="str">
        <f>"2399"</f>
        <v>2399</v>
      </c>
      <c r="BB875" t="str">
        <f>"1010"</f>
        <v>1010</v>
      </c>
      <c r="BC875" t="s">
        <v>665</v>
      </c>
      <c r="BD875" t="str">
        <f>"3"</f>
        <v>3</v>
      </c>
      <c r="BE875" t="s">
        <v>6950</v>
      </c>
      <c r="BF875" t="str">
        <f>"74.02"</f>
        <v>74.02</v>
      </c>
      <c r="BG875" t="str">
        <f>"23.23"</f>
        <v>23.23</v>
      </c>
      <c r="BH875" t="str">
        <f>"49.02"</f>
        <v>49.02</v>
      </c>
      <c r="BI875" t="str">
        <f>"123.46"</f>
        <v>123.46</v>
      </c>
      <c r="BJ875" t="s">
        <v>10227</v>
      </c>
      <c r="BK875" t="str">
        <f>"85.63"</f>
        <v>85.63</v>
      </c>
      <c r="BL875" t="str">
        <f>"14.76"</f>
        <v>14.76</v>
      </c>
      <c r="BM875" t="str">
        <f>"18.11"</f>
        <v>18.11</v>
      </c>
      <c r="BN875" t="str">
        <f>"103.62"</f>
        <v>103.62</v>
      </c>
      <c r="BO875" t="s">
        <v>16441</v>
      </c>
      <c r="BP875" t="str">
        <f>"71.26"</f>
        <v>71.26</v>
      </c>
      <c r="BQ875" t="str">
        <f>"12.01"</f>
        <v>12.01</v>
      </c>
      <c r="BR875" t="str">
        <f>"13.78"</f>
        <v>13.78</v>
      </c>
      <c r="BS875" t="str">
        <f>"74.96"</f>
        <v>74.96</v>
      </c>
      <c r="BY875" t="str">
        <f>"68.83"</f>
        <v>68.83</v>
      </c>
      <c r="BZ875" t="str">
        <f>"1.949"</f>
        <v>1.949</v>
      </c>
      <c r="CA875" t="s">
        <v>390</v>
      </c>
      <c r="CQ875" t="s">
        <v>631</v>
      </c>
      <c r="CR875" t="s">
        <v>400</v>
      </c>
      <c r="CS875">
        <v>0</v>
      </c>
      <c r="CT875" t="s">
        <v>400</v>
      </c>
      <c r="CV875">
        <v>0</v>
      </c>
      <c r="CX875" t="s">
        <v>16475</v>
      </c>
      <c r="CY875" t="s">
        <v>400</v>
      </c>
      <c r="DA875">
        <v>0</v>
      </c>
      <c r="DB875">
        <v>0</v>
      </c>
      <c r="DC875">
        <v>0</v>
      </c>
      <c r="DD875">
        <v>25000</v>
      </c>
      <c r="DK875" t="s">
        <v>16476</v>
      </c>
      <c r="DM875" t="s">
        <v>2028</v>
      </c>
      <c r="EN875">
        <v>0</v>
      </c>
      <c r="HQ875" t="s">
        <v>14968</v>
      </c>
      <c r="HR875" t="s">
        <v>2072</v>
      </c>
      <c r="HS875" t="s">
        <v>16498</v>
      </c>
      <c r="HT875" t="s">
        <v>16477</v>
      </c>
      <c r="HU875" t="s">
        <v>16478</v>
      </c>
      <c r="HV875" t="s">
        <v>7918</v>
      </c>
      <c r="HW875" t="s">
        <v>2171</v>
      </c>
      <c r="HX875" t="s">
        <v>4561</v>
      </c>
      <c r="HY875" t="s">
        <v>3273</v>
      </c>
      <c r="HZ875" t="s">
        <v>979</v>
      </c>
      <c r="IA875" t="s">
        <v>16480</v>
      </c>
      <c r="IB875" t="s">
        <v>2072</v>
      </c>
      <c r="IC875" t="s">
        <v>402</v>
      </c>
      <c r="ID875" t="s">
        <v>3519</v>
      </c>
      <c r="IE875" t="s">
        <v>2037</v>
      </c>
      <c r="IF875" t="s">
        <v>2177</v>
      </c>
      <c r="IG875" t="s">
        <v>2007</v>
      </c>
      <c r="IM875" t="s">
        <v>395</v>
      </c>
      <c r="IN875" t="s">
        <v>7923</v>
      </c>
      <c r="IP875" t="s">
        <v>402</v>
      </c>
      <c r="IQ875" t="s">
        <v>3522</v>
      </c>
      <c r="IT875" t="s">
        <v>16481</v>
      </c>
      <c r="IU875" t="s">
        <v>16499</v>
      </c>
    </row>
    <row r="876" spans="1:255" x14ac:dyDescent="0.25">
      <c r="A876" t="s">
        <v>16500</v>
      </c>
      <c r="B876" t="str">
        <f>"801542374679"</f>
        <v>801542374679</v>
      </c>
      <c r="C876" t="s">
        <v>16501</v>
      </c>
      <c r="D876" t="s">
        <v>13752</v>
      </c>
      <c r="E876" t="s">
        <v>930</v>
      </c>
      <c r="G876" t="str">
        <f>"122"</f>
        <v>122</v>
      </c>
      <c r="H876" t="str">
        <f>"19"</f>
        <v>19</v>
      </c>
      <c r="I876" t="str">
        <f>"38.25"</f>
        <v>38.25</v>
      </c>
      <c r="J876" t="str">
        <f>"412.26"</f>
        <v>412.26</v>
      </c>
      <c r="K876" t="s">
        <v>9985</v>
      </c>
      <c r="L876" t="s">
        <v>14168</v>
      </c>
      <c r="M876" t="s">
        <v>14455</v>
      </c>
      <c r="N876" t="s">
        <v>461</v>
      </c>
      <c r="O876" t="s">
        <v>14475</v>
      </c>
      <c r="P876" t="s">
        <v>13754</v>
      </c>
      <c r="T876" t="s">
        <v>373</v>
      </c>
      <c r="U876" t="s">
        <v>373</v>
      </c>
      <c r="V876" t="s">
        <v>16502</v>
      </c>
      <c r="W876" t="s">
        <v>16503</v>
      </c>
      <c r="X876" t="s">
        <v>16504</v>
      </c>
      <c r="Y876" t="s">
        <v>16505</v>
      </c>
      <c r="Z876" t="s">
        <v>16506</v>
      </c>
      <c r="AA876" t="s">
        <v>16507</v>
      </c>
      <c r="AB876" t="s">
        <v>16508</v>
      </c>
      <c r="AC876" t="s">
        <v>16509</v>
      </c>
      <c r="AD876" t="s">
        <v>16510</v>
      </c>
      <c r="AE876" t="s">
        <v>16511</v>
      </c>
      <c r="AF876" t="s">
        <v>16512</v>
      </c>
      <c r="AG876" t="s">
        <v>16513</v>
      </c>
      <c r="AH876" t="s">
        <v>16514</v>
      </c>
      <c r="AI876" t="s">
        <v>16515</v>
      </c>
      <c r="AJ876" t="s">
        <v>16516</v>
      </c>
      <c r="AK876" t="s">
        <v>16517</v>
      </c>
      <c r="AL876" t="s">
        <v>16518</v>
      </c>
      <c r="AM876" t="s">
        <v>16519</v>
      </c>
      <c r="AN876" t="s">
        <v>16520</v>
      </c>
      <c r="AO876" t="s">
        <v>16521</v>
      </c>
      <c r="AP876" t="s">
        <v>16522</v>
      </c>
      <c r="BA876" t="str">
        <f>"4999"</f>
        <v>4999</v>
      </c>
      <c r="BB876" t="str">
        <f>"2100"</f>
        <v>2100</v>
      </c>
      <c r="BC876" t="s">
        <v>665</v>
      </c>
      <c r="BD876" t="str">
        <f>"1"</f>
        <v>1</v>
      </c>
      <c r="BE876" t="s">
        <v>389</v>
      </c>
      <c r="BF876" t="str">
        <f>"128"</f>
        <v>128</v>
      </c>
      <c r="BG876" t="str">
        <f>"24.75"</f>
        <v>24.75</v>
      </c>
      <c r="BH876" t="str">
        <f>"43"</f>
        <v>43</v>
      </c>
      <c r="BI876" t="str">
        <f>"513.68"</f>
        <v>513.68</v>
      </c>
      <c r="BY876" t="str">
        <f>"78.82"</f>
        <v>78.82</v>
      </c>
      <c r="BZ876" t="str">
        <f>"2.232"</f>
        <v>2.232</v>
      </c>
      <c r="CA876" t="s">
        <v>390</v>
      </c>
      <c r="CE876" t="s">
        <v>8173</v>
      </c>
      <c r="CF876" t="s">
        <v>16523</v>
      </c>
      <c r="CG876" t="s">
        <v>16524</v>
      </c>
      <c r="CR876" t="s">
        <v>400</v>
      </c>
      <c r="CS876">
        <v>0</v>
      </c>
      <c r="CT876" t="s">
        <v>400</v>
      </c>
      <c r="CV876">
        <v>0</v>
      </c>
      <c r="CX876" t="s">
        <v>953</v>
      </c>
      <c r="CY876" t="s">
        <v>954</v>
      </c>
      <c r="DA876">
        <v>18.14</v>
      </c>
      <c r="DB876">
        <v>40</v>
      </c>
      <c r="DC876">
        <v>4</v>
      </c>
      <c r="DK876" t="s">
        <v>16525</v>
      </c>
      <c r="DM876" t="s">
        <v>669</v>
      </c>
      <c r="DX876" t="s">
        <v>1441</v>
      </c>
      <c r="EM876" t="s">
        <v>402</v>
      </c>
      <c r="EN876">
        <v>4</v>
      </c>
      <c r="EZ876" t="s">
        <v>16526</v>
      </c>
      <c r="FA876" t="s">
        <v>3518</v>
      </c>
      <c r="FB876" t="s">
        <v>16527</v>
      </c>
      <c r="FC876" t="s">
        <v>8173</v>
      </c>
      <c r="FD876" t="s">
        <v>956</v>
      </c>
      <c r="FE876" t="s">
        <v>16524</v>
      </c>
      <c r="FF876">
        <v>0</v>
      </c>
      <c r="FG876" t="s">
        <v>402</v>
      </c>
      <c r="FI876">
        <v>8</v>
      </c>
      <c r="FJ876" t="s">
        <v>960</v>
      </c>
      <c r="FK876" t="s">
        <v>1611</v>
      </c>
      <c r="FL876">
        <v>0</v>
      </c>
      <c r="FM876" t="s">
        <v>402</v>
      </c>
      <c r="FO876" t="s">
        <v>984</v>
      </c>
      <c r="GX876" t="s">
        <v>392</v>
      </c>
      <c r="HI876" t="s">
        <v>402</v>
      </c>
    </row>
    <row r="877" spans="1:255" x14ac:dyDescent="0.25">
      <c r="A877" t="s">
        <v>16528</v>
      </c>
      <c r="B877" t="str">
        <f>"801542821432"</f>
        <v>801542821432</v>
      </c>
      <c r="C877" t="s">
        <v>16529</v>
      </c>
      <c r="D877" t="s">
        <v>1318</v>
      </c>
      <c r="E877" t="s">
        <v>2006</v>
      </c>
      <c r="F877" t="s">
        <v>2007</v>
      </c>
      <c r="G877" t="str">
        <f>"69"</f>
        <v>69</v>
      </c>
      <c r="H877" t="str">
        <f>"88.5"</f>
        <v>88.5</v>
      </c>
      <c r="I877" t="str">
        <f>"43.25"</f>
        <v>43.25</v>
      </c>
      <c r="J877" t="str">
        <f>"412.26"</f>
        <v>412.26</v>
      </c>
      <c r="K877" t="s">
        <v>16211</v>
      </c>
      <c r="N877" t="s">
        <v>9602</v>
      </c>
      <c r="T877" t="s">
        <v>373</v>
      </c>
      <c r="U877" t="s">
        <v>373</v>
      </c>
      <c r="V877" t="s">
        <v>16530</v>
      </c>
      <c r="W877" t="s">
        <v>16531</v>
      </c>
      <c r="X877" t="s">
        <v>16532</v>
      </c>
      <c r="Y877" t="s">
        <v>16533</v>
      </c>
      <c r="Z877" t="s">
        <v>16534</v>
      </c>
      <c r="AA877" t="s">
        <v>16535</v>
      </c>
      <c r="AB877" t="s">
        <v>16536</v>
      </c>
      <c r="AC877" t="s">
        <v>16537</v>
      </c>
      <c r="AD877" t="s">
        <v>16538</v>
      </c>
      <c r="AE877" t="s">
        <v>16539</v>
      </c>
      <c r="AF877" t="s">
        <v>16540</v>
      </c>
      <c r="AG877" t="s">
        <v>16541</v>
      </c>
      <c r="AH877" t="s">
        <v>16542</v>
      </c>
      <c r="BA877" t="str">
        <f>"5299"</f>
        <v>5299</v>
      </c>
      <c r="BB877" t="str">
        <f>"2230"</f>
        <v>2230</v>
      </c>
      <c r="BC877" t="s">
        <v>665</v>
      </c>
      <c r="BD877" t="str">
        <f>"2"</f>
        <v>2</v>
      </c>
      <c r="BE877" t="s">
        <v>6950</v>
      </c>
      <c r="BF877" t="str">
        <f>"74.8"</f>
        <v>74.8</v>
      </c>
      <c r="BG877" t="str">
        <f>"7.48"</f>
        <v>7.48</v>
      </c>
      <c r="BH877" t="str">
        <f>"49.21"</f>
        <v>49.21</v>
      </c>
      <c r="BI877" t="str">
        <f>"187.39"</f>
        <v>187.39</v>
      </c>
      <c r="BJ877" t="s">
        <v>16543</v>
      </c>
      <c r="BK877" t="str">
        <f>"93.31"</f>
        <v>93.31</v>
      </c>
      <c r="BL877" t="str">
        <f>"24.21"</f>
        <v>24.21</v>
      </c>
      <c r="BM877" t="str">
        <f>"17.52"</f>
        <v>17.52</v>
      </c>
      <c r="BN877" t="str">
        <f>"271.17"</f>
        <v>271.17</v>
      </c>
      <c r="BY877" t="str">
        <f>"38.85"</f>
        <v>38.85</v>
      </c>
      <c r="BZ877" t="str">
        <f>"1.1"</f>
        <v>1.1</v>
      </c>
      <c r="CA877" t="s">
        <v>390</v>
      </c>
      <c r="CR877" t="s">
        <v>400</v>
      </c>
      <c r="CS877">
        <v>0</v>
      </c>
      <c r="CT877" t="s">
        <v>400</v>
      </c>
      <c r="CV877">
        <v>0</v>
      </c>
      <c r="CX877" t="s">
        <v>403</v>
      </c>
      <c r="CY877" t="s">
        <v>400</v>
      </c>
      <c r="DA877">
        <v>0</v>
      </c>
      <c r="DB877">
        <v>0</v>
      </c>
      <c r="DC877">
        <v>0</v>
      </c>
      <c r="DK877" t="s">
        <v>16544</v>
      </c>
      <c r="DM877" t="s">
        <v>2028</v>
      </c>
      <c r="EN877">
        <v>0</v>
      </c>
      <c r="HP877" t="s">
        <v>4208</v>
      </c>
      <c r="HQ877" t="s">
        <v>12056</v>
      </c>
      <c r="HR877" t="s">
        <v>1290</v>
      </c>
      <c r="HS877" t="s">
        <v>16545</v>
      </c>
      <c r="HT877" t="s">
        <v>2000</v>
      </c>
      <c r="HU877" t="s">
        <v>1290</v>
      </c>
      <c r="HV877" t="s">
        <v>16545</v>
      </c>
      <c r="HW877" t="s">
        <v>2171</v>
      </c>
      <c r="HX877" t="s">
        <v>742</v>
      </c>
      <c r="HY877" t="s">
        <v>6958</v>
      </c>
      <c r="HZ877" t="s">
        <v>12377</v>
      </c>
      <c r="IA877" t="s">
        <v>16546</v>
      </c>
      <c r="IB877" t="s">
        <v>1290</v>
      </c>
      <c r="IC877" t="s">
        <v>402</v>
      </c>
      <c r="ID877" t="s">
        <v>3519</v>
      </c>
      <c r="IE877" t="s">
        <v>1008</v>
      </c>
      <c r="IF877" t="s">
        <v>2177</v>
      </c>
      <c r="IG877" t="s">
        <v>2007</v>
      </c>
      <c r="IM877" t="s">
        <v>1358</v>
      </c>
      <c r="IN877" t="s">
        <v>9628</v>
      </c>
      <c r="IP877" t="s">
        <v>402</v>
      </c>
      <c r="IQ877" t="s">
        <v>3522</v>
      </c>
      <c r="IT877" t="s">
        <v>16547</v>
      </c>
      <c r="IU877" t="s">
        <v>16548</v>
      </c>
    </row>
    <row r="878" spans="1:255" x14ac:dyDescent="0.25">
      <c r="A878" t="s">
        <v>16549</v>
      </c>
      <c r="B878" t="str">
        <f>"801542805487"</f>
        <v>801542805487</v>
      </c>
      <c r="C878" t="s">
        <v>16529</v>
      </c>
      <c r="D878" t="s">
        <v>1318</v>
      </c>
      <c r="E878" t="s">
        <v>2006</v>
      </c>
      <c r="F878" t="s">
        <v>2040</v>
      </c>
      <c r="G878" t="str">
        <f>"85"</f>
        <v>85</v>
      </c>
      <c r="H878" t="str">
        <f>"88.5"</f>
        <v>88.5</v>
      </c>
      <c r="I878" t="str">
        <f>"43.25"</f>
        <v>43.25</v>
      </c>
      <c r="J878" t="str">
        <f>"507.06"</f>
        <v>507.06</v>
      </c>
      <c r="K878" t="s">
        <v>16211</v>
      </c>
      <c r="N878" t="s">
        <v>9602</v>
      </c>
      <c r="T878" t="s">
        <v>373</v>
      </c>
      <c r="U878" t="s">
        <v>373</v>
      </c>
      <c r="V878" t="s">
        <v>16530</v>
      </c>
      <c r="W878" t="s">
        <v>16550</v>
      </c>
      <c r="X878" t="s">
        <v>16551</v>
      </c>
      <c r="Y878" t="s">
        <v>16552</v>
      </c>
      <c r="Z878" t="s">
        <v>16553</v>
      </c>
      <c r="AA878" t="s">
        <v>16554</v>
      </c>
      <c r="AB878" t="s">
        <v>16535</v>
      </c>
      <c r="AC878" t="s">
        <v>16555</v>
      </c>
      <c r="AD878" t="s">
        <v>16556</v>
      </c>
      <c r="AE878" t="s">
        <v>16557</v>
      </c>
      <c r="AF878" t="s">
        <v>16558</v>
      </c>
      <c r="AG878" t="s">
        <v>16559</v>
      </c>
      <c r="AH878" t="s">
        <v>16560</v>
      </c>
      <c r="AI878" t="s">
        <v>16561</v>
      </c>
      <c r="BA878" t="str">
        <f>"5499"</f>
        <v>5499</v>
      </c>
      <c r="BB878" t="str">
        <f>"2310"</f>
        <v>2310</v>
      </c>
      <c r="BC878" t="s">
        <v>665</v>
      </c>
      <c r="BD878" t="str">
        <f>"2"</f>
        <v>2</v>
      </c>
      <c r="BE878" t="s">
        <v>6950</v>
      </c>
      <c r="BF878" t="str">
        <f>"91.34"</f>
        <v>91.34</v>
      </c>
      <c r="BG878" t="str">
        <f>"7.87"</f>
        <v>7.87</v>
      </c>
      <c r="BH878" t="str">
        <f>"49.21"</f>
        <v>49.21</v>
      </c>
      <c r="BI878" t="str">
        <f>"249.12"</f>
        <v>249.12</v>
      </c>
      <c r="BJ878" t="s">
        <v>16543</v>
      </c>
      <c r="BK878" t="str">
        <f>"94.49"</f>
        <v>94.49</v>
      </c>
      <c r="BL878" t="str">
        <f>"24.02"</f>
        <v>24.02</v>
      </c>
      <c r="BM878" t="str">
        <f>"17.13"</f>
        <v>17.13</v>
      </c>
      <c r="BN878" t="str">
        <f>"304.24"</f>
        <v>304.24</v>
      </c>
      <c r="BY878" t="str">
        <f>"42.98"</f>
        <v>42.98</v>
      </c>
      <c r="BZ878" t="str">
        <f>"1.217"</f>
        <v>1.217</v>
      </c>
      <c r="CA878" t="s">
        <v>431</v>
      </c>
      <c r="CR878" t="s">
        <v>400</v>
      </c>
      <c r="CS878">
        <v>0</v>
      </c>
      <c r="CT878" t="s">
        <v>400</v>
      </c>
      <c r="CV878">
        <v>0</v>
      </c>
      <c r="CX878" t="s">
        <v>403</v>
      </c>
      <c r="CY878" t="s">
        <v>400</v>
      </c>
      <c r="DA878">
        <v>0</v>
      </c>
      <c r="DB878">
        <v>0</v>
      </c>
      <c r="DC878">
        <v>0</v>
      </c>
      <c r="DK878" t="s">
        <v>16544</v>
      </c>
      <c r="DM878" t="s">
        <v>2028</v>
      </c>
      <c r="EN878">
        <v>0</v>
      </c>
      <c r="HP878" t="s">
        <v>4208</v>
      </c>
      <c r="HQ878" t="s">
        <v>12056</v>
      </c>
      <c r="HR878" t="s">
        <v>1290</v>
      </c>
      <c r="HS878" t="s">
        <v>16562</v>
      </c>
      <c r="HT878" t="s">
        <v>2000</v>
      </c>
      <c r="HU878" t="s">
        <v>1290</v>
      </c>
      <c r="HV878" t="s">
        <v>16562</v>
      </c>
      <c r="HW878" t="s">
        <v>2171</v>
      </c>
      <c r="HX878" t="s">
        <v>742</v>
      </c>
      <c r="HY878" t="s">
        <v>3255</v>
      </c>
      <c r="HZ878" t="s">
        <v>12377</v>
      </c>
      <c r="IA878" t="s">
        <v>16546</v>
      </c>
      <c r="IB878" t="s">
        <v>1290</v>
      </c>
      <c r="IC878" t="s">
        <v>402</v>
      </c>
      <c r="ID878" t="s">
        <v>3519</v>
      </c>
      <c r="IE878" t="s">
        <v>1008</v>
      </c>
      <c r="IF878" t="s">
        <v>2177</v>
      </c>
      <c r="IG878" t="s">
        <v>2040</v>
      </c>
      <c r="IM878" t="s">
        <v>1358</v>
      </c>
      <c r="IN878" t="s">
        <v>9628</v>
      </c>
      <c r="IP878" t="s">
        <v>402</v>
      </c>
      <c r="IQ878" t="s">
        <v>3522</v>
      </c>
      <c r="IT878" t="s">
        <v>16547</v>
      </c>
      <c r="IU878" t="s">
        <v>5545</v>
      </c>
    </row>
    <row r="879" spans="1:255" x14ac:dyDescent="0.25">
      <c r="A879" t="s">
        <v>16563</v>
      </c>
      <c r="B879" t="str">
        <f>"801542805142"</f>
        <v>801542805142</v>
      </c>
      <c r="C879" t="s">
        <v>16564</v>
      </c>
      <c r="D879" t="s">
        <v>1318</v>
      </c>
      <c r="E879" t="s">
        <v>988</v>
      </c>
      <c r="G879" t="str">
        <f>"74"</f>
        <v>74</v>
      </c>
      <c r="H879" t="str">
        <f>"19.75"</f>
        <v>19.75</v>
      </c>
      <c r="I879" t="str">
        <f>"30"</f>
        <v>30</v>
      </c>
      <c r="J879" t="str">
        <f>"293.65"</f>
        <v>293.65</v>
      </c>
      <c r="K879" t="s">
        <v>16565</v>
      </c>
      <c r="L879" t="s">
        <v>16242</v>
      </c>
      <c r="N879" t="s">
        <v>9042</v>
      </c>
      <c r="O879" t="s">
        <v>372</v>
      </c>
      <c r="T879" t="s">
        <v>373</v>
      </c>
      <c r="U879" t="s">
        <v>373</v>
      </c>
      <c r="V879" t="s">
        <v>16566</v>
      </c>
      <c r="W879" t="s">
        <v>16567</v>
      </c>
      <c r="X879" t="s">
        <v>16568</v>
      </c>
      <c r="Y879" t="s">
        <v>16569</v>
      </c>
      <c r="Z879" t="s">
        <v>16570</v>
      </c>
      <c r="AA879" t="s">
        <v>16571</v>
      </c>
      <c r="AB879" t="s">
        <v>16572</v>
      </c>
      <c r="AC879" t="s">
        <v>16573</v>
      </c>
      <c r="AD879" t="s">
        <v>16574</v>
      </c>
      <c r="AE879" t="s">
        <v>16575</v>
      </c>
      <c r="AF879" t="s">
        <v>16576</v>
      </c>
      <c r="AG879" t="s">
        <v>16577</v>
      </c>
      <c r="AH879" t="s">
        <v>16578</v>
      </c>
      <c r="AI879" t="s">
        <v>16579</v>
      </c>
      <c r="AJ879" t="s">
        <v>16580</v>
      </c>
      <c r="BA879" t="str">
        <f>"3599"</f>
        <v>3599</v>
      </c>
      <c r="BB879" t="str">
        <f>"1515"</f>
        <v>1515</v>
      </c>
      <c r="BC879" t="s">
        <v>665</v>
      </c>
      <c r="BD879" t="str">
        <f>"1"</f>
        <v>1</v>
      </c>
      <c r="BE879" t="s">
        <v>389</v>
      </c>
      <c r="BF879" t="str">
        <f>"76.97"</f>
        <v>76.97</v>
      </c>
      <c r="BG879" t="str">
        <f>"22.83"</f>
        <v>22.83</v>
      </c>
      <c r="BH879" t="str">
        <f>"37.99"</f>
        <v>37.99</v>
      </c>
      <c r="BI879" t="str">
        <f>"343.04"</f>
        <v>343.04</v>
      </c>
      <c r="BY879" t="str">
        <f>"38.63"</f>
        <v>38.63</v>
      </c>
      <c r="BZ879" t="str">
        <f>"1.094"</f>
        <v>1.094</v>
      </c>
      <c r="CA879" t="s">
        <v>390</v>
      </c>
      <c r="CR879" t="s">
        <v>5068</v>
      </c>
      <c r="CS879">
        <v>6</v>
      </c>
      <c r="CT879" t="s">
        <v>1312</v>
      </c>
      <c r="CV879">
        <v>0</v>
      </c>
      <c r="CX879" t="s">
        <v>953</v>
      </c>
      <c r="CY879" t="s">
        <v>1009</v>
      </c>
      <c r="DC879">
        <v>0</v>
      </c>
      <c r="DJ879" t="s">
        <v>1010</v>
      </c>
      <c r="DK879" t="s">
        <v>16581</v>
      </c>
      <c r="DM879" t="s">
        <v>669</v>
      </c>
      <c r="DX879" t="s">
        <v>3518</v>
      </c>
      <c r="EM879" t="s">
        <v>402</v>
      </c>
      <c r="EN879">
        <v>0</v>
      </c>
      <c r="FI879">
        <v>0</v>
      </c>
      <c r="FJ879" t="s">
        <v>1012</v>
      </c>
      <c r="FP879" t="s">
        <v>402</v>
      </c>
      <c r="FR879" t="s">
        <v>9623</v>
      </c>
      <c r="FT879" t="s">
        <v>16582</v>
      </c>
      <c r="FV879" t="s">
        <v>16583</v>
      </c>
      <c r="FX879" t="s">
        <v>4210</v>
      </c>
      <c r="FZ879" t="s">
        <v>6455</v>
      </c>
      <c r="GA879" t="s">
        <v>402</v>
      </c>
    </row>
    <row r="880" spans="1:255" x14ac:dyDescent="0.25">
      <c r="A880" t="s">
        <v>16584</v>
      </c>
      <c r="B880" t="str">
        <f>"801542805210"</f>
        <v>801542805210</v>
      </c>
      <c r="C880" t="s">
        <v>16585</v>
      </c>
      <c r="D880" t="s">
        <v>1318</v>
      </c>
      <c r="E880" t="s">
        <v>1043</v>
      </c>
      <c r="G880" t="str">
        <f>"29.5"</f>
        <v>29.5</v>
      </c>
      <c r="H880" t="str">
        <f>"18"</f>
        <v>18</v>
      </c>
      <c r="I880" t="str">
        <f>"22.75"</f>
        <v>22.75</v>
      </c>
      <c r="J880" t="str">
        <f>"73.63"</f>
        <v>73.63</v>
      </c>
      <c r="K880" t="s">
        <v>16211</v>
      </c>
      <c r="L880" t="s">
        <v>16586</v>
      </c>
      <c r="N880" t="s">
        <v>9602</v>
      </c>
      <c r="O880" t="s">
        <v>1699</v>
      </c>
      <c r="T880" t="s">
        <v>373</v>
      </c>
      <c r="U880" t="s">
        <v>373</v>
      </c>
      <c r="V880" t="s">
        <v>16587</v>
      </c>
      <c r="W880" t="s">
        <v>16588</v>
      </c>
      <c r="X880" t="s">
        <v>16589</v>
      </c>
      <c r="Y880" t="s">
        <v>16590</v>
      </c>
      <c r="Z880" t="s">
        <v>16591</v>
      </c>
      <c r="AA880" t="s">
        <v>16592</v>
      </c>
      <c r="AB880" t="s">
        <v>16593</v>
      </c>
      <c r="AC880" t="s">
        <v>16594</v>
      </c>
      <c r="AD880" t="s">
        <v>16595</v>
      </c>
      <c r="AE880" t="s">
        <v>16596</v>
      </c>
      <c r="AF880" t="s">
        <v>16597</v>
      </c>
      <c r="AG880" t="s">
        <v>16598</v>
      </c>
      <c r="AH880" t="s">
        <v>16599</v>
      </c>
      <c r="AI880" t="s">
        <v>16600</v>
      </c>
      <c r="AJ880" t="s">
        <v>16601</v>
      </c>
      <c r="AK880" t="s">
        <v>16602</v>
      </c>
      <c r="BA880" t="str">
        <f>"1799"</f>
        <v>1799</v>
      </c>
      <c r="BB880" t="str">
        <f>"760"</f>
        <v>760</v>
      </c>
      <c r="BC880" t="s">
        <v>665</v>
      </c>
      <c r="BD880" t="str">
        <f>"1"</f>
        <v>1</v>
      </c>
      <c r="BE880" t="s">
        <v>389</v>
      </c>
      <c r="BF880" t="str">
        <f>"32.28"</f>
        <v>32.28</v>
      </c>
      <c r="BG880" t="str">
        <f>"21.46"</f>
        <v>21.46</v>
      </c>
      <c r="BH880" t="str">
        <f>"28.35"</f>
        <v>28.35</v>
      </c>
      <c r="BI880" t="str">
        <f>"93.26"</f>
        <v>93.26</v>
      </c>
      <c r="BY880" t="str">
        <f>"11.37"</f>
        <v>11.37</v>
      </c>
      <c r="BZ880" t="str">
        <f>"0.322"</f>
        <v>0.322</v>
      </c>
      <c r="CA880" t="s">
        <v>495</v>
      </c>
      <c r="CR880" t="s">
        <v>5068</v>
      </c>
      <c r="CS880">
        <v>3</v>
      </c>
      <c r="CT880" t="s">
        <v>1312</v>
      </c>
      <c r="CV880">
        <v>0</v>
      </c>
      <c r="CX880" t="s">
        <v>953</v>
      </c>
      <c r="CY880" t="s">
        <v>1009</v>
      </c>
      <c r="DC880">
        <v>0</v>
      </c>
      <c r="DJ880" t="s">
        <v>408</v>
      </c>
      <c r="DK880" t="s">
        <v>16603</v>
      </c>
      <c r="DM880" t="s">
        <v>473</v>
      </c>
      <c r="DX880" t="s">
        <v>1712</v>
      </c>
      <c r="EM880" t="s">
        <v>402</v>
      </c>
      <c r="EN880">
        <v>0</v>
      </c>
      <c r="FI880">
        <v>0</v>
      </c>
      <c r="FJ880" t="s">
        <v>1012</v>
      </c>
      <c r="FP880" t="s">
        <v>402</v>
      </c>
      <c r="FR880" t="s">
        <v>16604</v>
      </c>
      <c r="FT880" t="s">
        <v>7587</v>
      </c>
      <c r="FV880" t="s">
        <v>1982</v>
      </c>
      <c r="FX880" t="s">
        <v>4210</v>
      </c>
      <c r="FZ880" t="s">
        <v>6455</v>
      </c>
      <c r="GA880" t="s">
        <v>402</v>
      </c>
    </row>
    <row r="881" spans="1:241" x14ac:dyDescent="0.25">
      <c r="A881" t="s">
        <v>16605</v>
      </c>
      <c r="B881" t="str">
        <f>"801542805203"</f>
        <v>801542805203</v>
      </c>
      <c r="C881" t="s">
        <v>16606</v>
      </c>
      <c r="D881" t="s">
        <v>1318</v>
      </c>
      <c r="E881" t="s">
        <v>988</v>
      </c>
      <c r="G881" t="str">
        <f>"88.5"</f>
        <v>88.5</v>
      </c>
      <c r="H881" t="str">
        <f>"21.5"</f>
        <v>21.5</v>
      </c>
      <c r="I881" t="str">
        <f>"31.5"</f>
        <v>31.5</v>
      </c>
      <c r="J881" t="str">
        <f>"281.97"</f>
        <v>281.97</v>
      </c>
      <c r="K881" t="s">
        <v>16211</v>
      </c>
      <c r="L881" t="s">
        <v>16586</v>
      </c>
      <c r="N881" t="s">
        <v>9602</v>
      </c>
      <c r="O881" t="s">
        <v>1699</v>
      </c>
      <c r="T881" t="s">
        <v>373</v>
      </c>
      <c r="U881" t="s">
        <v>373</v>
      </c>
      <c r="V881" t="s">
        <v>16607</v>
      </c>
      <c r="W881" t="s">
        <v>16608</v>
      </c>
      <c r="X881" t="s">
        <v>16609</v>
      </c>
      <c r="Y881" t="s">
        <v>16610</v>
      </c>
      <c r="Z881" t="s">
        <v>16611</v>
      </c>
      <c r="AA881" t="s">
        <v>16612</v>
      </c>
      <c r="AB881" t="s">
        <v>16613</v>
      </c>
      <c r="AC881" t="s">
        <v>16614</v>
      </c>
      <c r="AD881" t="s">
        <v>16615</v>
      </c>
      <c r="AE881" t="s">
        <v>16616</v>
      </c>
      <c r="AF881" t="s">
        <v>16617</v>
      </c>
      <c r="AG881" t="s">
        <v>16618</v>
      </c>
      <c r="AH881" t="s">
        <v>16619</v>
      </c>
      <c r="AI881" t="s">
        <v>16620</v>
      </c>
      <c r="AJ881" t="s">
        <v>16621</v>
      </c>
      <c r="AK881" t="s">
        <v>16622</v>
      </c>
      <c r="AL881" t="s">
        <v>16623</v>
      </c>
      <c r="BA881" t="str">
        <f>"4499"</f>
        <v>4499</v>
      </c>
      <c r="BB881" t="str">
        <f>"1890"</f>
        <v>1890</v>
      </c>
      <c r="BC881" t="s">
        <v>665</v>
      </c>
      <c r="BD881" t="str">
        <f>"1"</f>
        <v>1</v>
      </c>
      <c r="BE881" t="s">
        <v>389</v>
      </c>
      <c r="BF881" t="str">
        <f>"91.34"</f>
        <v>91.34</v>
      </c>
      <c r="BG881" t="str">
        <f>"24.61"</f>
        <v>24.61</v>
      </c>
      <c r="BH881" t="str">
        <f>"40.16"</f>
        <v>40.16</v>
      </c>
      <c r="BI881" t="str">
        <f>"341.28"</f>
        <v>341.28</v>
      </c>
      <c r="BY881" t="str">
        <f>"52.23"</f>
        <v>52.23</v>
      </c>
      <c r="BZ881" t="str">
        <f>"1.479"</f>
        <v>1.479</v>
      </c>
      <c r="CA881" t="s">
        <v>495</v>
      </c>
      <c r="CR881" t="s">
        <v>1007</v>
      </c>
      <c r="CS881">
        <v>6</v>
      </c>
      <c r="CT881" t="s">
        <v>1312</v>
      </c>
      <c r="CV881">
        <v>0</v>
      </c>
      <c r="CX881" t="s">
        <v>953</v>
      </c>
      <c r="CY881" t="s">
        <v>1009</v>
      </c>
      <c r="DC881">
        <v>0</v>
      </c>
      <c r="DJ881" t="s">
        <v>1010</v>
      </c>
      <c r="DK881" t="s">
        <v>16603</v>
      </c>
      <c r="DM881" t="s">
        <v>669</v>
      </c>
      <c r="DX881" t="s">
        <v>2030</v>
      </c>
      <c r="EM881" t="s">
        <v>402</v>
      </c>
      <c r="EN881">
        <v>0</v>
      </c>
      <c r="FI881">
        <v>0</v>
      </c>
      <c r="FJ881" t="s">
        <v>1012</v>
      </c>
      <c r="FP881" t="s">
        <v>402</v>
      </c>
      <c r="FR881" t="s">
        <v>5045</v>
      </c>
      <c r="FT881" t="s">
        <v>16624</v>
      </c>
      <c r="FV881" t="s">
        <v>16625</v>
      </c>
      <c r="FX881" t="s">
        <v>4210</v>
      </c>
      <c r="FZ881" t="s">
        <v>6455</v>
      </c>
      <c r="GA881" t="s">
        <v>402</v>
      </c>
    </row>
    <row r="882" spans="1:241" x14ac:dyDescent="0.25">
      <c r="A882" t="s">
        <v>16626</v>
      </c>
      <c r="B882" t="str">
        <f>"801542805678"</f>
        <v>801542805678</v>
      </c>
      <c r="C882" t="s">
        <v>16627</v>
      </c>
      <c r="D882" t="s">
        <v>1318</v>
      </c>
      <c r="E882" t="s">
        <v>647</v>
      </c>
      <c r="F882" t="s">
        <v>648</v>
      </c>
      <c r="G882" t="str">
        <f>"118"</f>
        <v>118</v>
      </c>
      <c r="H882" t="str">
        <f>"47.25"</f>
        <v>47.25</v>
      </c>
      <c r="I882" t="str">
        <f>"30"</f>
        <v>30</v>
      </c>
      <c r="J882" t="str">
        <f>"282.63"</f>
        <v>282.63</v>
      </c>
      <c r="K882" t="s">
        <v>16211</v>
      </c>
      <c r="L882" t="s">
        <v>16586</v>
      </c>
      <c r="N882" t="s">
        <v>9602</v>
      </c>
      <c r="O882" t="s">
        <v>1699</v>
      </c>
      <c r="T882" t="s">
        <v>373</v>
      </c>
      <c r="U882" t="s">
        <v>373</v>
      </c>
      <c r="V882" t="s">
        <v>16628</v>
      </c>
      <c r="W882" t="s">
        <v>16629</v>
      </c>
      <c r="X882" t="s">
        <v>16630</v>
      </c>
      <c r="Y882" t="s">
        <v>16631</v>
      </c>
      <c r="Z882" t="s">
        <v>16632</v>
      </c>
      <c r="AA882" t="s">
        <v>16633</v>
      </c>
      <c r="AB882" t="s">
        <v>16634</v>
      </c>
      <c r="AC882" t="s">
        <v>16635</v>
      </c>
      <c r="AD882" t="s">
        <v>16636</v>
      </c>
      <c r="AE882" t="s">
        <v>16637</v>
      </c>
      <c r="AF882" t="s">
        <v>16638</v>
      </c>
      <c r="AG882" t="s">
        <v>16639</v>
      </c>
      <c r="AH882" t="s">
        <v>16640</v>
      </c>
      <c r="AI882" t="s">
        <v>16641</v>
      </c>
      <c r="AJ882" t="s">
        <v>16642</v>
      </c>
      <c r="AK882" t="s">
        <v>16643</v>
      </c>
      <c r="BA882" t="str">
        <f>"4899"</f>
        <v>4899</v>
      </c>
      <c r="BB882" t="str">
        <f>"2060"</f>
        <v>2060</v>
      </c>
      <c r="BC882" t="s">
        <v>665</v>
      </c>
      <c r="BD882" t="str">
        <f>"2"</f>
        <v>2</v>
      </c>
      <c r="BE882" t="s">
        <v>16644</v>
      </c>
      <c r="BF882" t="str">
        <f>"124.21"</f>
        <v>124.21</v>
      </c>
      <c r="BG882" t="str">
        <f>"4.72"</f>
        <v>4.72</v>
      </c>
      <c r="BH882" t="str">
        <f>"53.15"</f>
        <v>53.15</v>
      </c>
      <c r="BI882" t="str">
        <f>"235.89"</f>
        <v>235.89</v>
      </c>
      <c r="BJ882" t="s">
        <v>16645</v>
      </c>
      <c r="BK882" t="str">
        <f>"40.75"</f>
        <v>40.75</v>
      </c>
      <c r="BL882" t="str">
        <f>"30.71"</f>
        <v>30.71</v>
      </c>
      <c r="BM882" t="str">
        <f>"32.48"</f>
        <v>32.48</v>
      </c>
      <c r="BN882" t="str">
        <f>"105.82"</f>
        <v>105.82</v>
      </c>
      <c r="BY882" t="str">
        <f>"41.57"</f>
        <v>41.57</v>
      </c>
      <c r="BZ882" t="str">
        <f>"1.177"</f>
        <v>1.177</v>
      </c>
      <c r="CA882" t="s">
        <v>431</v>
      </c>
      <c r="CR882" t="s">
        <v>400</v>
      </c>
      <c r="CS882">
        <v>0</v>
      </c>
      <c r="CT882" t="s">
        <v>400</v>
      </c>
      <c r="CV882">
        <v>0</v>
      </c>
      <c r="CX882" t="s">
        <v>403</v>
      </c>
      <c r="CY882" t="s">
        <v>400</v>
      </c>
      <c r="DA882">
        <v>0</v>
      </c>
      <c r="DB882">
        <v>0</v>
      </c>
      <c r="DC882">
        <v>0</v>
      </c>
      <c r="DI882">
        <v>10</v>
      </c>
      <c r="DJ882" t="s">
        <v>408</v>
      </c>
      <c r="DK882" t="s">
        <v>16646</v>
      </c>
      <c r="DM882" t="s">
        <v>669</v>
      </c>
      <c r="DX882" t="s">
        <v>16647</v>
      </c>
      <c r="DZ882" t="s">
        <v>16648</v>
      </c>
      <c r="EI882" t="s">
        <v>9422</v>
      </c>
      <c r="EJ882" t="s">
        <v>16647</v>
      </c>
      <c r="EK882" t="s">
        <v>5804</v>
      </c>
      <c r="EL882" t="s">
        <v>16237</v>
      </c>
      <c r="EM882" t="s">
        <v>402</v>
      </c>
      <c r="EN882">
        <v>0</v>
      </c>
      <c r="EO882">
        <v>0</v>
      </c>
      <c r="EW882" t="s">
        <v>16647</v>
      </c>
      <c r="EX882" t="s">
        <v>16649</v>
      </c>
      <c r="EY882" t="s">
        <v>1443</v>
      </c>
    </row>
    <row r="883" spans="1:241" x14ac:dyDescent="0.25">
      <c r="A883" t="s">
        <v>16650</v>
      </c>
      <c r="B883" t="str">
        <f>"801542805906"</f>
        <v>801542805906</v>
      </c>
      <c r="C883" t="s">
        <v>16651</v>
      </c>
      <c r="D883" t="s">
        <v>1318</v>
      </c>
      <c r="E883" t="s">
        <v>930</v>
      </c>
      <c r="G883" t="str">
        <f>"93.25"</f>
        <v>93.25</v>
      </c>
      <c r="H883" t="str">
        <f>"20.75"</f>
        <v>20.75</v>
      </c>
      <c r="I883" t="str">
        <f>"31"</f>
        <v>31</v>
      </c>
      <c r="J883" t="str">
        <f>"304.23"</f>
        <v>304.23</v>
      </c>
      <c r="K883" t="s">
        <v>16320</v>
      </c>
      <c r="N883" t="s">
        <v>9602</v>
      </c>
      <c r="T883" t="s">
        <v>373</v>
      </c>
      <c r="U883" t="s">
        <v>373</v>
      </c>
      <c r="V883" t="s">
        <v>16652</v>
      </c>
      <c r="W883" t="s">
        <v>16653</v>
      </c>
      <c r="X883" t="s">
        <v>16654</v>
      </c>
      <c r="Y883" t="s">
        <v>16655</v>
      </c>
      <c r="Z883" t="s">
        <v>16656</v>
      </c>
      <c r="AA883" t="s">
        <v>16657</v>
      </c>
      <c r="AB883" t="s">
        <v>16658</v>
      </c>
      <c r="AC883" t="s">
        <v>16659</v>
      </c>
      <c r="AD883" t="s">
        <v>16660</v>
      </c>
      <c r="AE883" t="s">
        <v>16661</v>
      </c>
      <c r="AF883" t="s">
        <v>16662</v>
      </c>
      <c r="AG883" t="s">
        <v>16663</v>
      </c>
      <c r="AH883" t="s">
        <v>16664</v>
      </c>
      <c r="AI883" t="s">
        <v>16665</v>
      </c>
      <c r="AJ883" t="s">
        <v>16666</v>
      </c>
      <c r="AK883" t="s">
        <v>16667</v>
      </c>
      <c r="BA883" t="str">
        <f>"4599"</f>
        <v>4599</v>
      </c>
      <c r="BB883" t="str">
        <f>"1935"</f>
        <v>1935</v>
      </c>
      <c r="BC883" t="s">
        <v>665</v>
      </c>
      <c r="BD883" t="str">
        <f>"1"</f>
        <v>1</v>
      </c>
      <c r="BE883" t="s">
        <v>389</v>
      </c>
      <c r="BF883" t="str">
        <f>"95.87"</f>
        <v>95.87</v>
      </c>
      <c r="BG883" t="str">
        <f>"23.82"</f>
        <v>23.82</v>
      </c>
      <c r="BH883" t="str">
        <f>"39.76"</f>
        <v>39.76</v>
      </c>
      <c r="BI883" t="str">
        <f>"366.63"</f>
        <v>366.63</v>
      </c>
      <c r="BY883" t="str">
        <f>"52.55"</f>
        <v>52.55</v>
      </c>
      <c r="BZ883" t="str">
        <f>"1.488"</f>
        <v>1.488</v>
      </c>
      <c r="CA883" t="s">
        <v>431</v>
      </c>
      <c r="CE883" t="s">
        <v>3315</v>
      </c>
      <c r="CF883" t="s">
        <v>16668</v>
      </c>
      <c r="CG883" t="s">
        <v>16669</v>
      </c>
      <c r="CR883" t="s">
        <v>400</v>
      </c>
      <c r="CS883">
        <v>0</v>
      </c>
      <c r="CT883" t="s">
        <v>400</v>
      </c>
      <c r="CV883">
        <v>0</v>
      </c>
      <c r="CX883" t="s">
        <v>953</v>
      </c>
      <c r="CY883" t="s">
        <v>954</v>
      </c>
      <c r="DA883">
        <v>18.14</v>
      </c>
      <c r="DB883">
        <v>40</v>
      </c>
      <c r="DC883">
        <v>2</v>
      </c>
      <c r="DK883" t="s">
        <v>16670</v>
      </c>
      <c r="DM883" t="s">
        <v>669</v>
      </c>
      <c r="DX883" t="s">
        <v>1712</v>
      </c>
      <c r="EM883" t="s">
        <v>402</v>
      </c>
      <c r="EN883">
        <v>2</v>
      </c>
      <c r="EZ883" t="s">
        <v>1016</v>
      </c>
      <c r="FA883" t="s">
        <v>5482</v>
      </c>
      <c r="FB883" t="s">
        <v>567</v>
      </c>
      <c r="FC883" t="s">
        <v>3315</v>
      </c>
      <c r="FD883" t="s">
        <v>1348</v>
      </c>
      <c r="FE883" t="s">
        <v>16669</v>
      </c>
      <c r="FF883">
        <v>0</v>
      </c>
      <c r="FI883">
        <v>4</v>
      </c>
      <c r="FJ883" t="s">
        <v>960</v>
      </c>
      <c r="FK883" t="s">
        <v>961</v>
      </c>
      <c r="FL883">
        <v>0</v>
      </c>
      <c r="FM883" t="s">
        <v>402</v>
      </c>
      <c r="FO883" t="s">
        <v>984</v>
      </c>
      <c r="GB883" t="s">
        <v>3315</v>
      </c>
      <c r="GC883" t="s">
        <v>16668</v>
      </c>
      <c r="GD883" t="s">
        <v>16669</v>
      </c>
      <c r="GX883" t="s">
        <v>392</v>
      </c>
      <c r="HI883" t="s">
        <v>402</v>
      </c>
    </row>
    <row r="884" spans="1:241" x14ac:dyDescent="0.25">
      <c r="A884" t="s">
        <v>16671</v>
      </c>
      <c r="B884" t="str">
        <f>"801542805685"</f>
        <v>801542805685</v>
      </c>
      <c r="C884" t="s">
        <v>16672</v>
      </c>
      <c r="D884" t="s">
        <v>1318</v>
      </c>
      <c r="E884" t="s">
        <v>930</v>
      </c>
      <c r="G884" t="str">
        <f>"94.5"</f>
        <v>94.5</v>
      </c>
      <c r="H884" t="str">
        <f>"19.5"</f>
        <v>19.5</v>
      </c>
      <c r="I884" t="str">
        <f>"29.5"</f>
        <v>29.5</v>
      </c>
      <c r="J884" t="str">
        <f>"240.3"</f>
        <v>240.3</v>
      </c>
      <c r="K884" t="s">
        <v>16211</v>
      </c>
      <c r="N884" t="s">
        <v>9602</v>
      </c>
      <c r="T884" t="s">
        <v>373</v>
      </c>
      <c r="U884" t="s">
        <v>373</v>
      </c>
      <c r="V884" t="s">
        <v>16673</v>
      </c>
      <c r="W884" t="s">
        <v>16674</v>
      </c>
      <c r="X884" t="s">
        <v>16675</v>
      </c>
      <c r="Y884" t="s">
        <v>16676</v>
      </c>
      <c r="Z884" t="s">
        <v>16677</v>
      </c>
      <c r="AA884" t="s">
        <v>16678</v>
      </c>
      <c r="AB884" t="s">
        <v>16679</v>
      </c>
      <c r="AC884" t="s">
        <v>16680</v>
      </c>
      <c r="AD884" t="s">
        <v>16681</v>
      </c>
      <c r="AE884" t="s">
        <v>16682</v>
      </c>
      <c r="AF884" t="s">
        <v>16683</v>
      </c>
      <c r="AG884" t="s">
        <v>16684</v>
      </c>
      <c r="AH884" t="s">
        <v>16685</v>
      </c>
      <c r="AI884" t="s">
        <v>16686</v>
      </c>
      <c r="AJ884" t="s">
        <v>16687</v>
      </c>
      <c r="AK884" t="s">
        <v>16688</v>
      </c>
      <c r="AL884" t="s">
        <v>16689</v>
      </c>
      <c r="BA884" t="str">
        <f>"3999"</f>
        <v>3999</v>
      </c>
      <c r="BB884" t="str">
        <f>"1680"</f>
        <v>1680</v>
      </c>
      <c r="BC884" t="s">
        <v>665</v>
      </c>
      <c r="BD884" t="str">
        <f>"1"</f>
        <v>1</v>
      </c>
      <c r="BE884" t="s">
        <v>389</v>
      </c>
      <c r="BF884" t="str">
        <f>"97.83"</f>
        <v>97.83</v>
      </c>
      <c r="BG884" t="str">
        <f>"23.03"</f>
        <v>23.03</v>
      </c>
      <c r="BH884" t="str">
        <f>"38.98"</f>
        <v>38.98</v>
      </c>
      <c r="BI884" t="str">
        <f>"321.87"</f>
        <v>321.87</v>
      </c>
      <c r="BY884" t="str">
        <f>"50.82"</f>
        <v>50.82</v>
      </c>
      <c r="BZ884" t="str">
        <f>"1.439"</f>
        <v>1.439</v>
      </c>
      <c r="CA884" t="s">
        <v>390</v>
      </c>
      <c r="CE884" t="s">
        <v>5526</v>
      </c>
      <c r="CF884" t="s">
        <v>3076</v>
      </c>
      <c r="CG884" t="s">
        <v>9078</v>
      </c>
      <c r="CR884" t="s">
        <v>400</v>
      </c>
      <c r="CS884">
        <v>0</v>
      </c>
      <c r="CT884" t="s">
        <v>400</v>
      </c>
      <c r="CV884">
        <v>0</v>
      </c>
      <c r="CX884" t="s">
        <v>953</v>
      </c>
      <c r="CY884" t="s">
        <v>954</v>
      </c>
      <c r="DA884">
        <v>18.14</v>
      </c>
      <c r="DB884">
        <v>40</v>
      </c>
      <c r="DC884">
        <v>3</v>
      </c>
      <c r="DK884" t="s">
        <v>16690</v>
      </c>
      <c r="DM884" t="s">
        <v>669</v>
      </c>
      <c r="DX884" t="s">
        <v>542</v>
      </c>
      <c r="EM884" t="s">
        <v>402</v>
      </c>
      <c r="EN884">
        <v>3</v>
      </c>
      <c r="EZ884" t="s">
        <v>6563</v>
      </c>
      <c r="FA884" t="s">
        <v>4614</v>
      </c>
      <c r="FB884" t="s">
        <v>5880</v>
      </c>
      <c r="FC884" t="s">
        <v>5526</v>
      </c>
      <c r="FD884" t="s">
        <v>4614</v>
      </c>
      <c r="FE884" t="s">
        <v>9078</v>
      </c>
      <c r="FF884">
        <v>0</v>
      </c>
      <c r="FI884">
        <v>4</v>
      </c>
      <c r="FJ884" t="s">
        <v>960</v>
      </c>
      <c r="FK884" t="s">
        <v>961</v>
      </c>
      <c r="FL884">
        <v>0</v>
      </c>
      <c r="FM884" t="s">
        <v>402</v>
      </c>
      <c r="FO884" t="s">
        <v>984</v>
      </c>
      <c r="GB884" t="s">
        <v>5526</v>
      </c>
      <c r="GC884" t="s">
        <v>3076</v>
      </c>
      <c r="GD884" t="s">
        <v>16691</v>
      </c>
      <c r="GX884" t="s">
        <v>392</v>
      </c>
      <c r="HE884" t="s">
        <v>5526</v>
      </c>
      <c r="HF884" t="s">
        <v>4614</v>
      </c>
      <c r="HG884" t="s">
        <v>16691</v>
      </c>
      <c r="HI884" t="s">
        <v>402</v>
      </c>
    </row>
    <row r="885" spans="1:241" x14ac:dyDescent="0.25">
      <c r="A885" t="s">
        <v>16692</v>
      </c>
      <c r="B885" t="str">
        <f>"801542805630"</f>
        <v>801542805630</v>
      </c>
      <c r="C885" t="s">
        <v>16693</v>
      </c>
      <c r="D885" t="s">
        <v>1318</v>
      </c>
      <c r="E885" t="s">
        <v>1319</v>
      </c>
      <c r="F885" t="s">
        <v>1320</v>
      </c>
      <c r="G885" t="str">
        <f>"78.25"</f>
        <v>78.25</v>
      </c>
      <c r="H885" t="str">
        <f>"26.5"</f>
        <v>26.5</v>
      </c>
      <c r="I885" t="str">
        <f>"30"</f>
        <v>30</v>
      </c>
      <c r="J885" t="str">
        <f>"186.51"</f>
        <v>186.51</v>
      </c>
      <c r="K885" t="s">
        <v>16357</v>
      </c>
      <c r="L885" t="s">
        <v>16586</v>
      </c>
      <c r="N885" t="s">
        <v>16358</v>
      </c>
      <c r="O885" t="s">
        <v>1699</v>
      </c>
      <c r="T885" t="s">
        <v>373</v>
      </c>
      <c r="U885" t="s">
        <v>373</v>
      </c>
      <c r="V885" t="s">
        <v>16694</v>
      </c>
      <c r="W885" t="s">
        <v>16695</v>
      </c>
      <c r="X885" t="s">
        <v>16696</v>
      </c>
      <c r="Y885" t="s">
        <v>16697</v>
      </c>
      <c r="Z885" t="s">
        <v>16698</v>
      </c>
      <c r="AA885" t="s">
        <v>16699</v>
      </c>
      <c r="AB885" t="s">
        <v>16700</v>
      </c>
      <c r="AC885" t="s">
        <v>16701</v>
      </c>
      <c r="AD885" t="s">
        <v>16702</v>
      </c>
      <c r="AE885" t="s">
        <v>16703</v>
      </c>
      <c r="AF885" t="s">
        <v>16704</v>
      </c>
      <c r="AG885" t="s">
        <v>16705</v>
      </c>
      <c r="AH885" t="s">
        <v>16706</v>
      </c>
      <c r="AI885" t="s">
        <v>16707</v>
      </c>
      <c r="AJ885" t="s">
        <v>16708</v>
      </c>
      <c r="AK885" t="s">
        <v>16709</v>
      </c>
      <c r="AL885" t="s">
        <v>16710</v>
      </c>
      <c r="BA885" t="str">
        <f>"3999"</f>
        <v>3999</v>
      </c>
      <c r="BB885" t="str">
        <f>"1680"</f>
        <v>1680</v>
      </c>
      <c r="BC885" t="s">
        <v>665</v>
      </c>
      <c r="BD885" t="str">
        <f>"1"</f>
        <v>1</v>
      </c>
      <c r="BE885" t="s">
        <v>389</v>
      </c>
      <c r="BF885" t="str">
        <f>"81.5"</f>
        <v>81.5</v>
      </c>
      <c r="BG885" t="str">
        <f>"30.12"</f>
        <v>30.12</v>
      </c>
      <c r="BH885" t="str">
        <f>"38.19"</f>
        <v>38.19</v>
      </c>
      <c r="BI885" t="str">
        <f>"253.53"</f>
        <v>253.53</v>
      </c>
      <c r="BY885" t="str">
        <f>"54.24"</f>
        <v>54.24</v>
      </c>
      <c r="BZ885" t="str">
        <f>"1.536"</f>
        <v>1.536</v>
      </c>
      <c r="CA885" t="s">
        <v>390</v>
      </c>
      <c r="CR885" t="s">
        <v>5068</v>
      </c>
      <c r="CS885">
        <v>4</v>
      </c>
      <c r="CT885" t="s">
        <v>400</v>
      </c>
      <c r="CV885">
        <v>0</v>
      </c>
      <c r="CX885" t="s">
        <v>403</v>
      </c>
      <c r="CY885" t="s">
        <v>1009</v>
      </c>
      <c r="DC885">
        <v>0</v>
      </c>
      <c r="DJ885" t="s">
        <v>1345</v>
      </c>
      <c r="DK885" t="s">
        <v>16711</v>
      </c>
      <c r="DM885" t="s">
        <v>669</v>
      </c>
      <c r="DX885" t="s">
        <v>16712</v>
      </c>
      <c r="DY885" t="s">
        <v>11153</v>
      </c>
      <c r="DZ885" t="s">
        <v>792</v>
      </c>
      <c r="EL885" t="s">
        <v>3518</v>
      </c>
      <c r="EM885" t="s">
        <v>402</v>
      </c>
      <c r="EN885">
        <v>0</v>
      </c>
      <c r="EW885" t="s">
        <v>11431</v>
      </c>
      <c r="FI885">
        <v>0</v>
      </c>
      <c r="FJ885" t="s">
        <v>1012</v>
      </c>
      <c r="FP885" t="s">
        <v>402</v>
      </c>
      <c r="FR885" t="s">
        <v>11170</v>
      </c>
      <c r="FS885" t="s">
        <v>11170</v>
      </c>
      <c r="FT885" t="s">
        <v>5482</v>
      </c>
      <c r="FU885" t="s">
        <v>8177</v>
      </c>
      <c r="FV885" t="s">
        <v>750</v>
      </c>
      <c r="FW885" t="s">
        <v>750</v>
      </c>
      <c r="FX885" t="s">
        <v>4210</v>
      </c>
      <c r="FZ885" t="s">
        <v>6455</v>
      </c>
      <c r="GE885">
        <v>0</v>
      </c>
      <c r="HH885" t="s">
        <v>402</v>
      </c>
    </row>
    <row r="886" spans="1:241" x14ac:dyDescent="0.25">
      <c r="A886" t="s">
        <v>16713</v>
      </c>
      <c r="B886" t="str">
        <f>"801542827915"</f>
        <v>801542827915</v>
      </c>
      <c r="C886" t="s">
        <v>16714</v>
      </c>
      <c r="D886" t="s">
        <v>769</v>
      </c>
      <c r="E886" t="s">
        <v>515</v>
      </c>
      <c r="F886" t="s">
        <v>516</v>
      </c>
      <c r="G886" t="str">
        <f>"42"</f>
        <v>42</v>
      </c>
      <c r="H886" t="str">
        <f>"36"</f>
        <v>36</v>
      </c>
      <c r="I886" t="str">
        <f>"28"</f>
        <v>28</v>
      </c>
      <c r="J886" t="str">
        <f>"77.16"</f>
        <v>77.16</v>
      </c>
      <c r="K886" t="s">
        <v>16715</v>
      </c>
      <c r="N886" t="s">
        <v>416</v>
      </c>
      <c r="T886" t="s">
        <v>373</v>
      </c>
      <c r="U886" t="s">
        <v>373</v>
      </c>
      <c r="V886" t="s">
        <v>16716</v>
      </c>
      <c r="W886" t="s">
        <v>16717</v>
      </c>
      <c r="X886" t="s">
        <v>16718</v>
      </c>
      <c r="Y886" t="s">
        <v>16719</v>
      </c>
      <c r="Z886" t="s">
        <v>16720</v>
      </c>
      <c r="AA886" t="s">
        <v>16721</v>
      </c>
      <c r="AB886" t="s">
        <v>16722</v>
      </c>
      <c r="AC886" t="s">
        <v>16723</v>
      </c>
      <c r="AD886" t="s">
        <v>16724</v>
      </c>
      <c r="AE886" t="s">
        <v>16725</v>
      </c>
      <c r="AF886" t="s">
        <v>16726</v>
      </c>
      <c r="AG886" t="s">
        <v>16727</v>
      </c>
      <c r="AH886" t="s">
        <v>16728</v>
      </c>
      <c r="AI886" t="s">
        <v>16729</v>
      </c>
      <c r="BA886" t="str">
        <f>"1899"</f>
        <v>1899</v>
      </c>
      <c r="BB886" t="str">
        <f>"800"</f>
        <v>800</v>
      </c>
      <c r="BC886" t="s">
        <v>388</v>
      </c>
      <c r="BD886" t="str">
        <f>"1"</f>
        <v>1</v>
      </c>
      <c r="BE886" t="s">
        <v>389</v>
      </c>
      <c r="BF886" t="str">
        <f>"43.31"</f>
        <v>43.31</v>
      </c>
      <c r="BG886" t="str">
        <f>"37.8"</f>
        <v>37.8</v>
      </c>
      <c r="BH886" t="str">
        <f>"29.92"</f>
        <v>29.92</v>
      </c>
      <c r="BI886" t="str">
        <f>"92.59"</f>
        <v>92.59</v>
      </c>
      <c r="BY886" t="str">
        <f>"28.36"</f>
        <v>28.36</v>
      </c>
      <c r="BZ886" t="str">
        <f>"0.803"</f>
        <v>0.803</v>
      </c>
      <c r="CA886" t="s">
        <v>495</v>
      </c>
      <c r="CK886" t="s">
        <v>603</v>
      </c>
      <c r="CL886" t="s">
        <v>791</v>
      </c>
      <c r="CN886">
        <v>0</v>
      </c>
      <c r="CO886">
        <v>0</v>
      </c>
      <c r="CP886" t="s">
        <v>437</v>
      </c>
      <c r="CQ886" t="s">
        <v>438</v>
      </c>
      <c r="CU886" t="s">
        <v>16730</v>
      </c>
      <c r="CX886" t="s">
        <v>403</v>
      </c>
      <c r="CY886" t="s">
        <v>1753</v>
      </c>
      <c r="CZ886">
        <v>0</v>
      </c>
      <c r="DD886">
        <v>0</v>
      </c>
      <c r="DE886" t="s">
        <v>439</v>
      </c>
      <c r="DF886" t="s">
        <v>406</v>
      </c>
      <c r="DH886">
        <v>1</v>
      </c>
      <c r="DI886">
        <v>1</v>
      </c>
      <c r="DK886" t="s">
        <v>16731</v>
      </c>
      <c r="DL886">
        <v>0</v>
      </c>
      <c r="DM886" t="s">
        <v>538</v>
      </c>
      <c r="DN886" t="s">
        <v>1510</v>
      </c>
      <c r="DO886" t="s">
        <v>2510</v>
      </c>
      <c r="DP886" t="s">
        <v>796</v>
      </c>
      <c r="DT886" t="s">
        <v>830</v>
      </c>
      <c r="EA886" t="s">
        <v>830</v>
      </c>
      <c r="EG886" t="s">
        <v>615</v>
      </c>
      <c r="EP886" t="s">
        <v>449</v>
      </c>
      <c r="EQ886" t="s">
        <v>451</v>
      </c>
      <c r="ER886">
        <v>0</v>
      </c>
      <c r="ES886">
        <v>0</v>
      </c>
      <c r="EU886">
        <v>0</v>
      </c>
      <c r="HM886" t="s">
        <v>1754</v>
      </c>
    </row>
    <row r="887" spans="1:241" x14ac:dyDescent="0.25">
      <c r="A887" t="s">
        <v>16732</v>
      </c>
      <c r="B887" t="str">
        <f>"801542992606"</f>
        <v>801542992606</v>
      </c>
      <c r="C887" t="s">
        <v>1461</v>
      </c>
      <c r="D887" t="s">
        <v>1420</v>
      </c>
      <c r="E887" t="s">
        <v>647</v>
      </c>
      <c r="F887" t="s">
        <v>648</v>
      </c>
      <c r="G887" t="str">
        <f>"118"</f>
        <v>118</v>
      </c>
      <c r="H887" t="str">
        <f>"42"</f>
        <v>42</v>
      </c>
      <c r="I887" t="str">
        <f>"30"</f>
        <v>30</v>
      </c>
      <c r="J887" t="str">
        <f>"173.06"</f>
        <v>173.06</v>
      </c>
      <c r="K887" t="s">
        <v>1462</v>
      </c>
      <c r="N887" t="s">
        <v>1463</v>
      </c>
      <c r="O887" t="s">
        <v>372</v>
      </c>
      <c r="T887" t="s">
        <v>402</v>
      </c>
      <c r="U887" t="s">
        <v>373</v>
      </c>
      <c r="V887" t="s">
        <v>1464</v>
      </c>
      <c r="W887" t="s">
        <v>16733</v>
      </c>
      <c r="X887" t="s">
        <v>16734</v>
      </c>
      <c r="Y887" t="s">
        <v>16735</v>
      </c>
      <c r="Z887" t="s">
        <v>16736</v>
      </c>
      <c r="AA887" t="s">
        <v>16737</v>
      </c>
      <c r="AB887" t="s">
        <v>16738</v>
      </c>
      <c r="AC887" t="s">
        <v>16739</v>
      </c>
      <c r="AD887" t="s">
        <v>16740</v>
      </c>
      <c r="AE887" t="s">
        <v>16741</v>
      </c>
      <c r="AF887" t="s">
        <v>16742</v>
      </c>
      <c r="BA887" t="str">
        <f>"2399"</f>
        <v>2399</v>
      </c>
      <c r="BB887" t="str">
        <f>"1010"</f>
        <v>1010</v>
      </c>
      <c r="BC887" t="s">
        <v>665</v>
      </c>
      <c r="BD887" t="str">
        <f>"2"</f>
        <v>2</v>
      </c>
      <c r="BE887" t="s">
        <v>7586</v>
      </c>
      <c r="BF887" t="str">
        <f>"123.23"</f>
        <v>123.23</v>
      </c>
      <c r="BG887" t="str">
        <f>"4.92"</f>
        <v>4.92</v>
      </c>
      <c r="BH887" t="str">
        <f>"46.26"</f>
        <v>46.26</v>
      </c>
      <c r="BI887" t="str">
        <f>"147.71"</f>
        <v>147.71</v>
      </c>
      <c r="BJ887" t="s">
        <v>6351</v>
      </c>
      <c r="BK887" t="str">
        <f>"23.03"</f>
        <v>23.03</v>
      </c>
      <c r="BL887" t="str">
        <f>"22.24"</f>
        <v>22.24</v>
      </c>
      <c r="BM887" t="str">
        <f>"31.1"</f>
        <v>31.1</v>
      </c>
      <c r="BN887" t="str">
        <f>"82.67"</f>
        <v>82.67</v>
      </c>
      <c r="BY887" t="str">
        <f>"25.46"</f>
        <v>25.46</v>
      </c>
      <c r="BZ887" t="str">
        <f>"0.721"</f>
        <v>0.721</v>
      </c>
      <c r="CA887" t="s">
        <v>431</v>
      </c>
      <c r="CR887" t="s">
        <v>400</v>
      </c>
      <c r="CS887">
        <v>0</v>
      </c>
      <c r="CT887" t="s">
        <v>400</v>
      </c>
      <c r="CV887">
        <v>0</v>
      </c>
      <c r="CX887" t="s">
        <v>1241</v>
      </c>
      <c r="CY887" t="s">
        <v>400</v>
      </c>
      <c r="DA887">
        <v>0</v>
      </c>
      <c r="DB887">
        <v>0</v>
      </c>
      <c r="DC887">
        <v>0</v>
      </c>
      <c r="DI887">
        <v>12</v>
      </c>
      <c r="DJ887" t="s">
        <v>1437</v>
      </c>
      <c r="DK887" t="s">
        <v>1438</v>
      </c>
      <c r="DM887" t="s">
        <v>669</v>
      </c>
      <c r="DX887" t="s">
        <v>1439</v>
      </c>
      <c r="DZ887" t="s">
        <v>16743</v>
      </c>
      <c r="EI887" t="s">
        <v>743</v>
      </c>
      <c r="EJ887" t="s">
        <v>1439</v>
      </c>
      <c r="EK887" t="s">
        <v>635</v>
      </c>
      <c r="EL887" t="s">
        <v>1441</v>
      </c>
      <c r="EM887" t="s">
        <v>402</v>
      </c>
      <c r="EN887">
        <v>0</v>
      </c>
      <c r="EO887">
        <v>0</v>
      </c>
      <c r="EW887" t="s">
        <v>1439</v>
      </c>
      <c r="EX887" t="s">
        <v>16744</v>
      </c>
      <c r="EY887" t="s">
        <v>1443</v>
      </c>
    </row>
    <row r="888" spans="1:241" x14ac:dyDescent="0.25">
      <c r="A888" t="s">
        <v>16745</v>
      </c>
      <c r="B888" t="str">
        <f>"198394000567"</f>
        <v>198394000567</v>
      </c>
      <c r="C888" t="s">
        <v>1419</v>
      </c>
      <c r="D888" t="s">
        <v>1420</v>
      </c>
      <c r="E888" t="s">
        <v>647</v>
      </c>
      <c r="F888" t="s">
        <v>648</v>
      </c>
      <c r="G888" t="str">
        <f>"118"</f>
        <v>118</v>
      </c>
      <c r="H888" t="str">
        <f>"42"</f>
        <v>42</v>
      </c>
      <c r="I888" t="str">
        <f>"30"</f>
        <v>30</v>
      </c>
      <c r="J888" t="str">
        <f>"173.06"</f>
        <v>173.06</v>
      </c>
      <c r="K888" t="s">
        <v>1421</v>
      </c>
      <c r="L888" t="s">
        <v>1422</v>
      </c>
      <c r="N888" t="s">
        <v>1423</v>
      </c>
      <c r="O888" t="s">
        <v>1424</v>
      </c>
      <c r="T888" t="s">
        <v>402</v>
      </c>
      <c r="U888" t="s">
        <v>373</v>
      </c>
      <c r="V888" t="s">
        <v>16746</v>
      </c>
      <c r="W888" t="s">
        <v>16747</v>
      </c>
      <c r="X888" t="s">
        <v>16748</v>
      </c>
      <c r="Y888" t="s">
        <v>16749</v>
      </c>
      <c r="Z888" t="s">
        <v>16750</v>
      </c>
      <c r="AA888" t="s">
        <v>16751</v>
      </c>
      <c r="AB888" t="s">
        <v>16752</v>
      </c>
      <c r="AC888" t="s">
        <v>16753</v>
      </c>
      <c r="AD888" t="s">
        <v>16754</v>
      </c>
      <c r="AE888" t="s">
        <v>16755</v>
      </c>
      <c r="AF888" t="s">
        <v>16756</v>
      </c>
      <c r="AG888" t="s">
        <v>16757</v>
      </c>
      <c r="BA888" t="str">
        <f>"1999"</f>
        <v>1999</v>
      </c>
      <c r="BB888" t="str">
        <f>"840"</f>
        <v>840</v>
      </c>
      <c r="BC888" t="s">
        <v>665</v>
      </c>
      <c r="BD888" t="str">
        <f>"2"</f>
        <v>2</v>
      </c>
      <c r="BE888" t="s">
        <v>7586</v>
      </c>
      <c r="BF888" t="str">
        <f>"123.23"</f>
        <v>123.23</v>
      </c>
      <c r="BG888" t="str">
        <f>"4.92"</f>
        <v>4.92</v>
      </c>
      <c r="BH888" t="str">
        <f>"46.26"</f>
        <v>46.26</v>
      </c>
      <c r="BI888" t="str">
        <f>"147.71"</f>
        <v>147.71</v>
      </c>
      <c r="BJ888" t="s">
        <v>6351</v>
      </c>
      <c r="BK888" t="str">
        <f>"23.03"</f>
        <v>23.03</v>
      </c>
      <c r="BL888" t="str">
        <f>"22.24"</f>
        <v>22.24</v>
      </c>
      <c r="BM888" t="str">
        <f>"31.1"</f>
        <v>31.1</v>
      </c>
      <c r="BN888" t="str">
        <f>"82.67"</f>
        <v>82.67</v>
      </c>
      <c r="BY888" t="str">
        <f>"25.46"</f>
        <v>25.46</v>
      </c>
      <c r="BZ888" t="str">
        <f>"0.721"</f>
        <v>0.721</v>
      </c>
      <c r="CA888" t="s">
        <v>431</v>
      </c>
      <c r="CR888" t="s">
        <v>400</v>
      </c>
      <c r="CS888">
        <v>0</v>
      </c>
      <c r="CT888" t="s">
        <v>400</v>
      </c>
      <c r="CV888">
        <v>0</v>
      </c>
      <c r="CX888" t="s">
        <v>1241</v>
      </c>
      <c r="CY888" t="s">
        <v>400</v>
      </c>
      <c r="DA888">
        <v>0</v>
      </c>
      <c r="DB888">
        <v>0</v>
      </c>
      <c r="DC888">
        <v>0</v>
      </c>
      <c r="DI888">
        <v>12</v>
      </c>
      <c r="DJ888" t="s">
        <v>1437</v>
      </c>
      <c r="DK888" t="s">
        <v>1438</v>
      </c>
      <c r="DM888" t="s">
        <v>669</v>
      </c>
      <c r="DX888" t="s">
        <v>1439</v>
      </c>
      <c r="DZ888" t="s">
        <v>16743</v>
      </c>
      <c r="EI888" t="s">
        <v>743</v>
      </c>
      <c r="EJ888" t="s">
        <v>1439</v>
      </c>
      <c r="EK888" t="s">
        <v>635</v>
      </c>
      <c r="EL888" t="s">
        <v>1441</v>
      </c>
      <c r="EM888" t="s">
        <v>402</v>
      </c>
      <c r="EN888">
        <v>0</v>
      </c>
      <c r="EO888">
        <v>0</v>
      </c>
      <c r="EW888" t="s">
        <v>1439</v>
      </c>
      <c r="EX888" t="s">
        <v>16744</v>
      </c>
      <c r="EY888" t="s">
        <v>1443</v>
      </c>
    </row>
    <row r="889" spans="1:241" x14ac:dyDescent="0.25">
      <c r="A889" t="s">
        <v>16758</v>
      </c>
      <c r="B889" t="str">
        <f>"198394000550"</f>
        <v>198394000550</v>
      </c>
      <c r="C889" t="s">
        <v>1445</v>
      </c>
      <c r="D889" t="s">
        <v>1420</v>
      </c>
      <c r="E889" t="s">
        <v>647</v>
      </c>
      <c r="F889" t="s">
        <v>648</v>
      </c>
      <c r="G889" t="str">
        <f>"118"</f>
        <v>118</v>
      </c>
      <c r="H889" t="str">
        <f>"42"</f>
        <v>42</v>
      </c>
      <c r="I889" t="str">
        <f>"30"</f>
        <v>30</v>
      </c>
      <c r="J889" t="str">
        <f>"173.06"</f>
        <v>173.06</v>
      </c>
      <c r="K889" t="s">
        <v>1446</v>
      </c>
      <c r="L889" t="s">
        <v>1447</v>
      </c>
      <c r="N889" t="s">
        <v>1423</v>
      </c>
      <c r="O889" t="s">
        <v>1424</v>
      </c>
      <c r="T889" t="s">
        <v>402</v>
      </c>
      <c r="U889" t="s">
        <v>373</v>
      </c>
      <c r="V889" t="s">
        <v>16759</v>
      </c>
      <c r="W889" t="s">
        <v>16760</v>
      </c>
      <c r="X889" t="s">
        <v>16761</v>
      </c>
      <c r="Y889" t="s">
        <v>16762</v>
      </c>
      <c r="Z889" t="s">
        <v>16763</v>
      </c>
      <c r="AA889" t="s">
        <v>16764</v>
      </c>
      <c r="AB889" t="s">
        <v>16765</v>
      </c>
      <c r="AC889" t="s">
        <v>16766</v>
      </c>
      <c r="AD889" t="s">
        <v>16767</v>
      </c>
      <c r="AE889" t="s">
        <v>16768</v>
      </c>
      <c r="AF889" t="s">
        <v>16769</v>
      </c>
      <c r="AG889" t="s">
        <v>16770</v>
      </c>
      <c r="BA889" t="str">
        <f>"1999"</f>
        <v>1999</v>
      </c>
      <c r="BB889" t="str">
        <f>"840"</f>
        <v>840</v>
      </c>
      <c r="BC889" t="s">
        <v>665</v>
      </c>
      <c r="BD889" t="str">
        <f>"2"</f>
        <v>2</v>
      </c>
      <c r="BE889" t="s">
        <v>7586</v>
      </c>
      <c r="BF889" t="str">
        <f>"123.23"</f>
        <v>123.23</v>
      </c>
      <c r="BG889" t="str">
        <f>"4.92"</f>
        <v>4.92</v>
      </c>
      <c r="BH889" t="str">
        <f>"46.26"</f>
        <v>46.26</v>
      </c>
      <c r="BI889" t="str">
        <f>"147.71"</f>
        <v>147.71</v>
      </c>
      <c r="BJ889" t="s">
        <v>6351</v>
      </c>
      <c r="BK889" t="str">
        <f>"23.03"</f>
        <v>23.03</v>
      </c>
      <c r="BL889" t="str">
        <f>"22.24"</f>
        <v>22.24</v>
      </c>
      <c r="BM889" t="str">
        <f>"31.1"</f>
        <v>31.1</v>
      </c>
      <c r="BN889" t="str">
        <f>"82.67"</f>
        <v>82.67</v>
      </c>
      <c r="BY889" t="str">
        <f>"25.46"</f>
        <v>25.46</v>
      </c>
      <c r="BZ889" t="str">
        <f>"0.721"</f>
        <v>0.721</v>
      </c>
      <c r="CA889" t="s">
        <v>431</v>
      </c>
      <c r="CR889" t="s">
        <v>400</v>
      </c>
      <c r="CS889">
        <v>0</v>
      </c>
      <c r="CT889" t="s">
        <v>400</v>
      </c>
      <c r="CV889">
        <v>0</v>
      </c>
      <c r="CX889" t="s">
        <v>1241</v>
      </c>
      <c r="CY889" t="s">
        <v>400</v>
      </c>
      <c r="DA889">
        <v>0</v>
      </c>
      <c r="DB889">
        <v>0</v>
      </c>
      <c r="DC889">
        <v>0</v>
      </c>
      <c r="DI889">
        <v>12</v>
      </c>
      <c r="DJ889" t="s">
        <v>1437</v>
      </c>
      <c r="DK889" t="s">
        <v>1438</v>
      </c>
      <c r="DM889" t="s">
        <v>669</v>
      </c>
      <c r="DX889" t="s">
        <v>1439</v>
      </c>
      <c r="DZ889" t="s">
        <v>16743</v>
      </c>
      <c r="EI889" t="s">
        <v>743</v>
      </c>
      <c r="EJ889" t="s">
        <v>1439</v>
      </c>
      <c r="EK889" t="s">
        <v>635</v>
      </c>
      <c r="EL889" t="s">
        <v>1441</v>
      </c>
      <c r="EM889" t="s">
        <v>402</v>
      </c>
      <c r="EN889">
        <v>0</v>
      </c>
      <c r="EO889">
        <v>0</v>
      </c>
      <c r="EW889" t="s">
        <v>1439</v>
      </c>
      <c r="EX889" t="s">
        <v>16744</v>
      </c>
      <c r="EY889" t="s">
        <v>1443</v>
      </c>
    </row>
    <row r="890" spans="1:241" x14ac:dyDescent="0.25">
      <c r="A890" t="s">
        <v>16771</v>
      </c>
      <c r="B890" t="str">
        <f>"801542821258"</f>
        <v>801542821258</v>
      </c>
      <c r="C890" t="s">
        <v>16772</v>
      </c>
      <c r="D890" t="s">
        <v>769</v>
      </c>
      <c r="E890" t="s">
        <v>367</v>
      </c>
      <c r="F890" t="s">
        <v>368</v>
      </c>
      <c r="G890" t="str">
        <f>"75.5"</f>
        <v>75.5</v>
      </c>
      <c r="H890" t="str">
        <f t="shared" ref="H890:I892" si="183">"20.5"</f>
        <v>20.5</v>
      </c>
      <c r="I890" t="str">
        <f t="shared" si="183"/>
        <v>20.5</v>
      </c>
      <c r="J890" t="str">
        <f>"67.24"</f>
        <v>67.24</v>
      </c>
      <c r="K890" t="s">
        <v>9226</v>
      </c>
      <c r="L890" t="s">
        <v>585</v>
      </c>
      <c r="N890" t="s">
        <v>9227</v>
      </c>
      <c r="O890" t="s">
        <v>9228</v>
      </c>
      <c r="P890" t="s">
        <v>9229</v>
      </c>
      <c r="Q890" t="s">
        <v>9230</v>
      </c>
      <c r="R890" t="s">
        <v>9231</v>
      </c>
      <c r="S890" t="s">
        <v>775</v>
      </c>
      <c r="T890" t="s">
        <v>373</v>
      </c>
      <c r="U890" t="s">
        <v>373</v>
      </c>
      <c r="V890" t="s">
        <v>16773</v>
      </c>
      <c r="W890" t="s">
        <v>16774</v>
      </c>
      <c r="X890" t="s">
        <v>16775</v>
      </c>
      <c r="Y890" t="s">
        <v>16776</v>
      </c>
      <c r="Z890" t="s">
        <v>16777</v>
      </c>
      <c r="AA890" t="s">
        <v>16778</v>
      </c>
      <c r="AB890" t="s">
        <v>16779</v>
      </c>
      <c r="AC890" t="s">
        <v>16780</v>
      </c>
      <c r="AD890" t="s">
        <v>16781</v>
      </c>
      <c r="AE890" t="s">
        <v>16782</v>
      </c>
      <c r="AF890" t="s">
        <v>16783</v>
      </c>
      <c r="AG890" t="s">
        <v>16784</v>
      </c>
      <c r="BA890" t="str">
        <f>"1199"</f>
        <v>1199</v>
      </c>
      <c r="BB890" t="str">
        <f>"505"</f>
        <v>505</v>
      </c>
      <c r="BC890" t="s">
        <v>388</v>
      </c>
      <c r="BD890" t="str">
        <f t="shared" ref="BD890:BD895" si="184">"1"</f>
        <v>1</v>
      </c>
      <c r="BE890" t="s">
        <v>389</v>
      </c>
      <c r="BF890" t="str">
        <f>"76.38"</f>
        <v>76.38</v>
      </c>
      <c r="BG890" t="str">
        <f>"22.05"</f>
        <v>22.05</v>
      </c>
      <c r="BH890" t="str">
        <f>"22.83"</f>
        <v>22.83</v>
      </c>
      <c r="BI890" t="str">
        <f>"91.49"</f>
        <v>91.49</v>
      </c>
      <c r="BY890" t="str">
        <f>"22.25"</f>
        <v>22.25</v>
      </c>
      <c r="BZ890" t="str">
        <f>"0.63"</f>
        <v>0.63</v>
      </c>
      <c r="CA890" t="s">
        <v>431</v>
      </c>
      <c r="CK890" t="s">
        <v>435</v>
      </c>
      <c r="CL890" t="s">
        <v>435</v>
      </c>
      <c r="CM890" t="s">
        <v>2909</v>
      </c>
      <c r="CN890">
        <v>0</v>
      </c>
      <c r="CO890">
        <v>0</v>
      </c>
      <c r="CP890" t="s">
        <v>398</v>
      </c>
      <c r="CQ890" t="s">
        <v>399</v>
      </c>
      <c r="CR890" t="s">
        <v>400</v>
      </c>
      <c r="CS890">
        <v>0</v>
      </c>
      <c r="CT890" t="s">
        <v>400</v>
      </c>
      <c r="CV890">
        <v>0</v>
      </c>
      <c r="CY890" t="s">
        <v>400</v>
      </c>
      <c r="CZ890">
        <v>0</v>
      </c>
      <c r="DA890">
        <v>0</v>
      </c>
      <c r="DB890">
        <v>0</v>
      </c>
      <c r="DC890">
        <v>0</v>
      </c>
      <c r="DD890">
        <v>30000</v>
      </c>
      <c r="DE890" t="s">
        <v>439</v>
      </c>
      <c r="DF890" t="s">
        <v>632</v>
      </c>
      <c r="DG890" t="s">
        <v>407</v>
      </c>
      <c r="DH890">
        <v>1</v>
      </c>
      <c r="DI890">
        <v>3</v>
      </c>
      <c r="DJ890" t="s">
        <v>1437</v>
      </c>
      <c r="DK890" t="s">
        <v>16785</v>
      </c>
      <c r="DL890">
        <v>0</v>
      </c>
      <c r="DM890" t="s">
        <v>410</v>
      </c>
      <c r="DX890" t="s">
        <v>448</v>
      </c>
      <c r="DZ890" t="s">
        <v>452</v>
      </c>
      <c r="EG890" t="s">
        <v>1513</v>
      </c>
    </row>
    <row r="891" spans="1:241" x14ac:dyDescent="0.25">
      <c r="A891" t="s">
        <v>16786</v>
      </c>
      <c r="B891" t="str">
        <f>"198394027236"</f>
        <v>198394027236</v>
      </c>
      <c r="C891" t="s">
        <v>16787</v>
      </c>
      <c r="D891" t="s">
        <v>769</v>
      </c>
      <c r="E891" t="s">
        <v>367</v>
      </c>
      <c r="F891" t="s">
        <v>368</v>
      </c>
      <c r="G891" t="str">
        <f>"75.5"</f>
        <v>75.5</v>
      </c>
      <c r="H891" t="str">
        <f t="shared" si="183"/>
        <v>20.5</v>
      </c>
      <c r="I891" t="str">
        <f t="shared" si="183"/>
        <v>20.5</v>
      </c>
      <c r="J891" t="str">
        <f>"67.24"</f>
        <v>67.24</v>
      </c>
      <c r="K891" t="s">
        <v>16788</v>
      </c>
      <c r="L891" t="s">
        <v>7961</v>
      </c>
      <c r="N891" t="s">
        <v>371</v>
      </c>
      <c r="O891" t="s">
        <v>775</v>
      </c>
      <c r="T891" t="s">
        <v>373</v>
      </c>
      <c r="U891" t="s">
        <v>402</v>
      </c>
      <c r="V891" t="s">
        <v>16773</v>
      </c>
      <c r="W891" t="s">
        <v>16789</v>
      </c>
      <c r="X891" t="s">
        <v>16790</v>
      </c>
      <c r="Y891" t="s">
        <v>16791</v>
      </c>
      <c r="Z891" t="s">
        <v>16792</v>
      </c>
      <c r="AA891" t="s">
        <v>16793</v>
      </c>
      <c r="AB891" t="s">
        <v>16794</v>
      </c>
      <c r="AC891" t="s">
        <v>16795</v>
      </c>
      <c r="AD891" t="s">
        <v>16796</v>
      </c>
      <c r="AE891" t="s">
        <v>16797</v>
      </c>
      <c r="BA891" t="str">
        <f>"1049"</f>
        <v>1049</v>
      </c>
      <c r="BB891" t="str">
        <f>"445"</f>
        <v>445</v>
      </c>
      <c r="BC891" t="s">
        <v>388</v>
      </c>
      <c r="BD891" t="str">
        <f t="shared" si="184"/>
        <v>1</v>
      </c>
      <c r="BE891" t="s">
        <v>389</v>
      </c>
      <c r="BF891" t="str">
        <f>"76.38"</f>
        <v>76.38</v>
      </c>
      <c r="BG891" t="str">
        <f>"22.05"</f>
        <v>22.05</v>
      </c>
      <c r="BH891" t="str">
        <f>"22.83"</f>
        <v>22.83</v>
      </c>
      <c r="BI891" t="str">
        <f>"91.49"</f>
        <v>91.49</v>
      </c>
      <c r="BY891" t="str">
        <f>"22.25"</f>
        <v>22.25</v>
      </c>
      <c r="BZ891" t="str">
        <f>"0.63"</f>
        <v>0.63</v>
      </c>
      <c r="CA891" t="s">
        <v>431</v>
      </c>
      <c r="CK891" t="s">
        <v>435</v>
      </c>
      <c r="CL891" t="s">
        <v>435</v>
      </c>
      <c r="CM891" t="s">
        <v>2909</v>
      </c>
      <c r="CN891">
        <v>0</v>
      </c>
      <c r="CO891">
        <v>0</v>
      </c>
      <c r="CP891" t="s">
        <v>398</v>
      </c>
      <c r="CQ891" t="s">
        <v>1152</v>
      </c>
      <c r="CR891" t="s">
        <v>400</v>
      </c>
      <c r="CS891">
        <v>0</v>
      </c>
      <c r="CT891" t="s">
        <v>400</v>
      </c>
      <c r="CV891">
        <v>0</v>
      </c>
      <c r="CY891" t="s">
        <v>400</v>
      </c>
      <c r="CZ891">
        <v>0</v>
      </c>
      <c r="DA891">
        <v>0</v>
      </c>
      <c r="DB891">
        <v>0</v>
      </c>
      <c r="DC891">
        <v>0</v>
      </c>
      <c r="DD891">
        <v>100000</v>
      </c>
      <c r="DE891" t="s">
        <v>439</v>
      </c>
      <c r="DF891" t="s">
        <v>632</v>
      </c>
      <c r="DG891" t="s">
        <v>407</v>
      </c>
      <c r="DH891">
        <v>1</v>
      </c>
      <c r="DI891">
        <v>3</v>
      </c>
      <c r="DJ891" t="s">
        <v>1437</v>
      </c>
      <c r="DK891" t="s">
        <v>16785</v>
      </c>
      <c r="DL891">
        <v>0</v>
      </c>
      <c r="DM891" t="s">
        <v>410</v>
      </c>
      <c r="DX891" t="s">
        <v>448</v>
      </c>
      <c r="DZ891" t="s">
        <v>452</v>
      </c>
      <c r="EG891" t="s">
        <v>1513</v>
      </c>
    </row>
    <row r="892" spans="1:241" x14ac:dyDescent="0.25">
      <c r="A892" t="s">
        <v>16798</v>
      </c>
      <c r="B892" t="str">
        <f>"198394053952"</f>
        <v>198394053952</v>
      </c>
      <c r="C892" t="s">
        <v>16799</v>
      </c>
      <c r="D892" t="s">
        <v>769</v>
      </c>
      <c r="E892" t="s">
        <v>367</v>
      </c>
      <c r="F892" t="s">
        <v>368</v>
      </c>
      <c r="G892" t="str">
        <f>"75.5"</f>
        <v>75.5</v>
      </c>
      <c r="H892" t="str">
        <f t="shared" si="183"/>
        <v>20.5</v>
      </c>
      <c r="I892" t="str">
        <f t="shared" si="183"/>
        <v>20.5</v>
      </c>
      <c r="J892" t="str">
        <f>"67.24"</f>
        <v>67.24</v>
      </c>
      <c r="K892" t="s">
        <v>12689</v>
      </c>
      <c r="L892" t="s">
        <v>7961</v>
      </c>
      <c r="N892" t="s">
        <v>1949</v>
      </c>
      <c r="O892" t="s">
        <v>1950</v>
      </c>
      <c r="P892" t="s">
        <v>1535</v>
      </c>
      <c r="Q892" t="s">
        <v>775</v>
      </c>
      <c r="T892" t="s">
        <v>373</v>
      </c>
      <c r="U892" t="s">
        <v>402</v>
      </c>
      <c r="V892" t="s">
        <v>16800</v>
      </c>
      <c r="W892" t="s">
        <v>16801</v>
      </c>
      <c r="X892" t="s">
        <v>16802</v>
      </c>
      <c r="Y892" t="s">
        <v>16803</v>
      </c>
      <c r="Z892" t="s">
        <v>16804</v>
      </c>
      <c r="AA892" t="s">
        <v>16805</v>
      </c>
      <c r="AB892" t="s">
        <v>16806</v>
      </c>
      <c r="AC892" t="s">
        <v>16807</v>
      </c>
      <c r="AD892" t="s">
        <v>16808</v>
      </c>
      <c r="AE892" t="s">
        <v>16809</v>
      </c>
      <c r="AF892" t="s">
        <v>16810</v>
      </c>
      <c r="BA892" t="str">
        <f>"1049"</f>
        <v>1049</v>
      </c>
      <c r="BB892" t="str">
        <f>"445"</f>
        <v>445</v>
      </c>
      <c r="BC892" t="s">
        <v>388</v>
      </c>
      <c r="BD892" t="str">
        <f t="shared" si="184"/>
        <v>1</v>
      </c>
      <c r="BE892" t="s">
        <v>389</v>
      </c>
      <c r="BF892" t="str">
        <f>"76.38"</f>
        <v>76.38</v>
      </c>
      <c r="BG892" t="str">
        <f>"22.05"</f>
        <v>22.05</v>
      </c>
      <c r="BH892" t="str">
        <f>"22.83"</f>
        <v>22.83</v>
      </c>
      <c r="BI892" t="str">
        <f>"91.49"</f>
        <v>91.49</v>
      </c>
      <c r="BY892" t="str">
        <f>"22.25"</f>
        <v>22.25</v>
      </c>
      <c r="BZ892" t="str">
        <f>"0.63"</f>
        <v>0.63</v>
      </c>
      <c r="CA892" t="s">
        <v>495</v>
      </c>
      <c r="CK892" t="s">
        <v>435</v>
      </c>
      <c r="CL892" t="s">
        <v>435</v>
      </c>
      <c r="CM892" t="s">
        <v>2909</v>
      </c>
      <c r="CN892">
        <v>0</v>
      </c>
      <c r="CO892">
        <v>0</v>
      </c>
      <c r="CP892" t="s">
        <v>398</v>
      </c>
      <c r="CQ892" t="s">
        <v>631</v>
      </c>
      <c r="CR892" t="s">
        <v>400</v>
      </c>
      <c r="CS892">
        <v>0</v>
      </c>
      <c r="CT892" t="s">
        <v>400</v>
      </c>
      <c r="CV892">
        <v>0</v>
      </c>
      <c r="CY892" t="s">
        <v>400</v>
      </c>
      <c r="CZ892">
        <v>0</v>
      </c>
      <c r="DA892">
        <v>0</v>
      </c>
      <c r="DB892">
        <v>0</v>
      </c>
      <c r="DC892">
        <v>0</v>
      </c>
      <c r="DD892">
        <v>25000</v>
      </c>
      <c r="DE892" t="s">
        <v>439</v>
      </c>
      <c r="DF892" t="s">
        <v>632</v>
      </c>
      <c r="DG892" t="s">
        <v>407</v>
      </c>
      <c r="DH892">
        <v>1</v>
      </c>
      <c r="DI892">
        <v>3</v>
      </c>
      <c r="DJ892" t="s">
        <v>1437</v>
      </c>
      <c r="DK892" t="s">
        <v>16785</v>
      </c>
      <c r="DL892">
        <v>0</v>
      </c>
      <c r="DM892" t="s">
        <v>410</v>
      </c>
      <c r="DX892" t="s">
        <v>448</v>
      </c>
      <c r="DZ892" t="s">
        <v>452</v>
      </c>
      <c r="EG892" t="s">
        <v>1513</v>
      </c>
    </row>
    <row r="893" spans="1:241" x14ac:dyDescent="0.25">
      <c r="A893" t="s">
        <v>16811</v>
      </c>
      <c r="B893" t="str">
        <f>"801542370312"</f>
        <v>801542370312</v>
      </c>
      <c r="C893" t="s">
        <v>16812</v>
      </c>
      <c r="D893" t="s">
        <v>1276</v>
      </c>
      <c r="E893" t="s">
        <v>930</v>
      </c>
      <c r="G893" t="str">
        <f>"94"</f>
        <v>94</v>
      </c>
      <c r="H893" t="str">
        <f>"19.5"</f>
        <v>19.5</v>
      </c>
      <c r="I893" t="str">
        <f>"32"</f>
        <v>32</v>
      </c>
      <c r="J893" t="str">
        <f>"220.46"</f>
        <v>220.46</v>
      </c>
      <c r="K893" t="s">
        <v>12822</v>
      </c>
      <c r="L893" t="s">
        <v>12823</v>
      </c>
      <c r="N893" t="s">
        <v>1463</v>
      </c>
      <c r="O893" t="s">
        <v>372</v>
      </c>
      <c r="T893" t="s">
        <v>373</v>
      </c>
      <c r="U893" t="s">
        <v>373</v>
      </c>
      <c r="V893" t="s">
        <v>16813</v>
      </c>
      <c r="W893" t="s">
        <v>16814</v>
      </c>
      <c r="X893" t="s">
        <v>16815</v>
      </c>
      <c r="Y893" t="s">
        <v>16816</v>
      </c>
      <c r="Z893" t="s">
        <v>16817</v>
      </c>
      <c r="AA893" t="s">
        <v>16818</v>
      </c>
      <c r="AB893" t="s">
        <v>16819</v>
      </c>
      <c r="AC893" t="s">
        <v>16820</v>
      </c>
      <c r="AD893" t="s">
        <v>16821</v>
      </c>
      <c r="AE893" t="s">
        <v>16822</v>
      </c>
      <c r="AF893" t="s">
        <v>16823</v>
      </c>
      <c r="AG893" t="s">
        <v>16824</v>
      </c>
      <c r="AH893" t="s">
        <v>16825</v>
      </c>
      <c r="AI893" t="s">
        <v>16826</v>
      </c>
      <c r="BA893" t="str">
        <f>"2599"</f>
        <v>2599</v>
      </c>
      <c r="BB893" t="str">
        <f>"1095"</f>
        <v>1095</v>
      </c>
      <c r="BC893" t="s">
        <v>665</v>
      </c>
      <c r="BD893" t="str">
        <f t="shared" si="184"/>
        <v>1</v>
      </c>
      <c r="BE893" t="s">
        <v>389</v>
      </c>
      <c r="BF893" t="str">
        <f>"99.61"</f>
        <v>99.61</v>
      </c>
      <c r="BG893" t="str">
        <f>"25.2"</f>
        <v>25.2</v>
      </c>
      <c r="BH893" t="str">
        <f>"39.37"</f>
        <v>39.37</v>
      </c>
      <c r="BI893" t="str">
        <f>"294.32"</f>
        <v>294.32</v>
      </c>
      <c r="BY893" t="str">
        <f>"57.17"</f>
        <v>57.17</v>
      </c>
      <c r="BZ893" t="str">
        <f>"1.619"</f>
        <v>1.619</v>
      </c>
      <c r="CA893" t="s">
        <v>431</v>
      </c>
      <c r="CE893" t="s">
        <v>7624</v>
      </c>
      <c r="CF893" t="s">
        <v>16827</v>
      </c>
      <c r="CG893" t="s">
        <v>16828</v>
      </c>
      <c r="CR893" t="s">
        <v>400</v>
      </c>
      <c r="CS893">
        <v>0</v>
      </c>
      <c r="CT893" t="s">
        <v>400</v>
      </c>
      <c r="CV893">
        <v>0</v>
      </c>
      <c r="CX893" t="s">
        <v>403</v>
      </c>
      <c r="CY893" t="s">
        <v>954</v>
      </c>
      <c r="DA893">
        <v>18.14</v>
      </c>
      <c r="DB893">
        <v>40</v>
      </c>
      <c r="DC893">
        <v>2</v>
      </c>
      <c r="DK893" t="s">
        <v>15324</v>
      </c>
      <c r="DM893" t="s">
        <v>669</v>
      </c>
      <c r="DX893" t="s">
        <v>3521</v>
      </c>
      <c r="EM893" t="s">
        <v>402</v>
      </c>
      <c r="EN893">
        <v>2</v>
      </c>
      <c r="EZ893" t="s">
        <v>7643</v>
      </c>
      <c r="FA893" t="s">
        <v>956</v>
      </c>
      <c r="FB893" t="s">
        <v>16829</v>
      </c>
      <c r="FC893" t="s">
        <v>7624</v>
      </c>
      <c r="FD893" t="s">
        <v>956</v>
      </c>
      <c r="FE893" t="s">
        <v>16828</v>
      </c>
      <c r="FF893">
        <v>0</v>
      </c>
      <c r="FG893" t="s">
        <v>402</v>
      </c>
      <c r="FH893" t="s">
        <v>1245</v>
      </c>
      <c r="FI893">
        <v>4</v>
      </c>
      <c r="FJ893" t="s">
        <v>960</v>
      </c>
      <c r="FK893" t="s">
        <v>1246</v>
      </c>
      <c r="FL893">
        <v>0</v>
      </c>
      <c r="FM893" t="s">
        <v>402</v>
      </c>
      <c r="GB893" t="s">
        <v>7624</v>
      </c>
      <c r="GC893" t="s">
        <v>16827</v>
      </c>
      <c r="GD893" t="s">
        <v>16828</v>
      </c>
      <c r="GX893" t="s">
        <v>392</v>
      </c>
      <c r="HI893" t="s">
        <v>402</v>
      </c>
    </row>
    <row r="894" spans="1:241" x14ac:dyDescent="0.25">
      <c r="A894" t="s">
        <v>16830</v>
      </c>
      <c r="B894" t="str">
        <f>"801542978877"</f>
        <v>801542978877</v>
      </c>
      <c r="C894" t="s">
        <v>16831</v>
      </c>
      <c r="D894" t="s">
        <v>4843</v>
      </c>
      <c r="E894" t="s">
        <v>1319</v>
      </c>
      <c r="F894" t="s">
        <v>1320</v>
      </c>
      <c r="G894" t="str">
        <f>"70"</f>
        <v>70</v>
      </c>
      <c r="H894" t="str">
        <f t="shared" ref="H894:H899" si="185">"32"</f>
        <v>32</v>
      </c>
      <c r="I894" t="str">
        <f>"30.25"</f>
        <v>30.25</v>
      </c>
      <c r="J894" t="str">
        <f>"194.12"</f>
        <v>194.12</v>
      </c>
      <c r="K894" t="s">
        <v>4844</v>
      </c>
      <c r="L894" t="s">
        <v>4845</v>
      </c>
      <c r="N894" t="s">
        <v>775</v>
      </c>
      <c r="O894" t="s">
        <v>1424</v>
      </c>
      <c r="T894" t="s">
        <v>373</v>
      </c>
      <c r="U894" t="s">
        <v>373</v>
      </c>
      <c r="V894" t="s">
        <v>16832</v>
      </c>
      <c r="W894" t="s">
        <v>16833</v>
      </c>
      <c r="X894" t="s">
        <v>16834</v>
      </c>
      <c r="Y894" t="s">
        <v>16835</v>
      </c>
      <c r="Z894" t="s">
        <v>16836</v>
      </c>
      <c r="AA894" t="s">
        <v>16837</v>
      </c>
      <c r="AB894" t="s">
        <v>16838</v>
      </c>
      <c r="AC894" t="s">
        <v>16839</v>
      </c>
      <c r="AD894" t="s">
        <v>16840</v>
      </c>
      <c r="AE894" t="s">
        <v>16841</v>
      </c>
      <c r="AF894" t="s">
        <v>16842</v>
      </c>
      <c r="AG894" t="s">
        <v>16843</v>
      </c>
      <c r="AH894" t="s">
        <v>16844</v>
      </c>
      <c r="AI894" t="s">
        <v>16845</v>
      </c>
      <c r="AJ894" t="s">
        <v>16846</v>
      </c>
      <c r="AK894" t="s">
        <v>16847</v>
      </c>
      <c r="BA894" t="str">
        <f>"2699"</f>
        <v>2699</v>
      </c>
      <c r="BB894" t="str">
        <f>"1135"</f>
        <v>1135</v>
      </c>
      <c r="BC894" t="s">
        <v>949</v>
      </c>
      <c r="BD894" t="str">
        <f t="shared" si="184"/>
        <v>1</v>
      </c>
      <c r="BE894" t="s">
        <v>389</v>
      </c>
      <c r="BF894" t="str">
        <f>"72.75"</f>
        <v>72.75</v>
      </c>
      <c r="BG894" t="str">
        <f>"33.75"</f>
        <v>33.75</v>
      </c>
      <c r="BH894" t="str">
        <f>"36"</f>
        <v>36</v>
      </c>
      <c r="BI894" t="str">
        <f>"239.64"</f>
        <v>239.64</v>
      </c>
      <c r="BY894" t="str">
        <f>"51.14"</f>
        <v>51.14</v>
      </c>
      <c r="BZ894" t="str">
        <f>"1.448"</f>
        <v>1.448</v>
      </c>
      <c r="CA894" t="s">
        <v>431</v>
      </c>
      <c r="CR894" t="s">
        <v>5068</v>
      </c>
      <c r="CS894">
        <v>5</v>
      </c>
      <c r="CT894" t="s">
        <v>1344</v>
      </c>
      <c r="CV894">
        <v>0</v>
      </c>
      <c r="CX894" t="s">
        <v>953</v>
      </c>
      <c r="CY894" t="s">
        <v>1009</v>
      </c>
      <c r="DC894">
        <v>0</v>
      </c>
      <c r="DJ894" t="s">
        <v>1345</v>
      </c>
      <c r="DK894" t="s">
        <v>4864</v>
      </c>
      <c r="DM894" t="s">
        <v>473</v>
      </c>
      <c r="DX894" t="s">
        <v>445</v>
      </c>
      <c r="DY894" t="s">
        <v>451</v>
      </c>
      <c r="DZ894" t="s">
        <v>8319</v>
      </c>
      <c r="EL894" t="s">
        <v>3599</v>
      </c>
      <c r="EM894" t="s">
        <v>402</v>
      </c>
      <c r="EN894">
        <v>0</v>
      </c>
      <c r="EW894" t="s">
        <v>2083</v>
      </c>
      <c r="FI894">
        <v>0</v>
      </c>
      <c r="FJ894" t="s">
        <v>1012</v>
      </c>
      <c r="FP894" t="s">
        <v>402</v>
      </c>
      <c r="FR894" t="s">
        <v>2261</v>
      </c>
      <c r="FS894" t="s">
        <v>2261</v>
      </c>
      <c r="FT894" t="s">
        <v>637</v>
      </c>
      <c r="FU894" t="s">
        <v>16848</v>
      </c>
      <c r="FV894" t="s">
        <v>511</v>
      </c>
      <c r="FW894" t="s">
        <v>511</v>
      </c>
      <c r="FX894" t="s">
        <v>4210</v>
      </c>
      <c r="FZ894" t="s">
        <v>953</v>
      </c>
      <c r="GA894" t="s">
        <v>402</v>
      </c>
      <c r="GE894">
        <v>2</v>
      </c>
      <c r="GY894" t="s">
        <v>16849</v>
      </c>
      <c r="HA894" t="s">
        <v>475</v>
      </c>
      <c r="HC894" t="s">
        <v>9259</v>
      </c>
      <c r="HH894" t="s">
        <v>402</v>
      </c>
    </row>
    <row r="895" spans="1:241" x14ac:dyDescent="0.25">
      <c r="A895" t="s">
        <v>16850</v>
      </c>
      <c r="B895" t="str">
        <f>"801542978884"</f>
        <v>801542978884</v>
      </c>
      <c r="C895" t="s">
        <v>16851</v>
      </c>
      <c r="D895" t="s">
        <v>4843</v>
      </c>
      <c r="E895" t="s">
        <v>1319</v>
      </c>
      <c r="F895" t="s">
        <v>1320</v>
      </c>
      <c r="G895" t="str">
        <f>"70"</f>
        <v>70</v>
      </c>
      <c r="H895" t="str">
        <f t="shared" si="185"/>
        <v>32</v>
      </c>
      <c r="I895" t="str">
        <f>"30.25"</f>
        <v>30.25</v>
      </c>
      <c r="J895" t="str">
        <f>"194.12"</f>
        <v>194.12</v>
      </c>
      <c r="K895" t="s">
        <v>4868</v>
      </c>
      <c r="L895" t="s">
        <v>4869</v>
      </c>
      <c r="N895" t="s">
        <v>775</v>
      </c>
      <c r="O895" t="s">
        <v>1424</v>
      </c>
      <c r="T895" t="s">
        <v>373</v>
      </c>
      <c r="U895" t="s">
        <v>373</v>
      </c>
      <c r="V895" t="s">
        <v>16852</v>
      </c>
      <c r="W895" t="s">
        <v>16853</v>
      </c>
      <c r="X895" t="s">
        <v>16854</v>
      </c>
      <c r="Y895" t="s">
        <v>16855</v>
      </c>
      <c r="Z895" t="s">
        <v>16856</v>
      </c>
      <c r="AA895" t="s">
        <v>16857</v>
      </c>
      <c r="AB895" t="s">
        <v>16858</v>
      </c>
      <c r="AC895" t="s">
        <v>16859</v>
      </c>
      <c r="AD895" t="s">
        <v>16860</v>
      </c>
      <c r="AE895" t="s">
        <v>16861</v>
      </c>
      <c r="AF895" t="s">
        <v>16862</v>
      </c>
      <c r="AG895" t="s">
        <v>16863</v>
      </c>
      <c r="AH895" t="s">
        <v>16864</v>
      </c>
      <c r="AI895" t="s">
        <v>16865</v>
      </c>
      <c r="AJ895" t="s">
        <v>16866</v>
      </c>
      <c r="AK895" t="s">
        <v>16867</v>
      </c>
      <c r="BA895" t="str">
        <f>"2699"</f>
        <v>2699</v>
      </c>
      <c r="BB895" t="str">
        <f>"1135"</f>
        <v>1135</v>
      </c>
      <c r="BC895" t="s">
        <v>949</v>
      </c>
      <c r="BD895" t="str">
        <f t="shared" si="184"/>
        <v>1</v>
      </c>
      <c r="BE895" t="s">
        <v>389</v>
      </c>
      <c r="BF895" t="str">
        <f>"72.75"</f>
        <v>72.75</v>
      </c>
      <c r="BG895" t="str">
        <f>"33.75"</f>
        <v>33.75</v>
      </c>
      <c r="BH895" t="str">
        <f>"36"</f>
        <v>36</v>
      </c>
      <c r="BI895" t="str">
        <f>"239.64"</f>
        <v>239.64</v>
      </c>
      <c r="BY895" t="str">
        <f>"51.14"</f>
        <v>51.14</v>
      </c>
      <c r="BZ895" t="str">
        <f>"1.448"</f>
        <v>1.448</v>
      </c>
      <c r="CA895" t="s">
        <v>431</v>
      </c>
      <c r="CR895" t="s">
        <v>5068</v>
      </c>
      <c r="CS895">
        <v>5</v>
      </c>
      <c r="CT895" t="s">
        <v>1344</v>
      </c>
      <c r="CV895">
        <v>0</v>
      </c>
      <c r="CX895" t="s">
        <v>953</v>
      </c>
      <c r="CY895" t="s">
        <v>1009</v>
      </c>
      <c r="DC895">
        <v>0</v>
      </c>
      <c r="DJ895" t="s">
        <v>1345</v>
      </c>
      <c r="DK895" t="s">
        <v>4864</v>
      </c>
      <c r="DM895" t="s">
        <v>473</v>
      </c>
      <c r="DX895" t="s">
        <v>445</v>
      </c>
      <c r="DY895" t="s">
        <v>451</v>
      </c>
      <c r="DZ895" t="s">
        <v>8319</v>
      </c>
      <c r="EL895" t="s">
        <v>3599</v>
      </c>
      <c r="EM895" t="s">
        <v>402</v>
      </c>
      <c r="EN895">
        <v>0</v>
      </c>
      <c r="EW895" t="s">
        <v>2083</v>
      </c>
      <c r="FI895">
        <v>0</v>
      </c>
      <c r="FJ895" t="s">
        <v>1012</v>
      </c>
      <c r="FP895" t="s">
        <v>402</v>
      </c>
      <c r="FR895" t="s">
        <v>2261</v>
      </c>
      <c r="FS895" t="s">
        <v>2261</v>
      </c>
      <c r="FT895" t="s">
        <v>637</v>
      </c>
      <c r="FU895" t="s">
        <v>16848</v>
      </c>
      <c r="FV895" t="s">
        <v>511</v>
      </c>
      <c r="FW895" t="s">
        <v>511</v>
      </c>
      <c r="FX895" t="s">
        <v>4210</v>
      </c>
      <c r="FZ895" t="s">
        <v>953</v>
      </c>
      <c r="GA895" t="s">
        <v>402</v>
      </c>
      <c r="GE895">
        <v>2</v>
      </c>
      <c r="GY895" t="s">
        <v>16849</v>
      </c>
      <c r="HA895" t="s">
        <v>475</v>
      </c>
      <c r="HC895" t="s">
        <v>9259</v>
      </c>
      <c r="HH895" t="s">
        <v>402</v>
      </c>
    </row>
    <row r="896" spans="1:241" x14ac:dyDescent="0.25">
      <c r="A896" t="s">
        <v>16868</v>
      </c>
      <c r="B896" t="str">
        <f>"801542976576"</f>
        <v>801542976576</v>
      </c>
      <c r="C896" t="s">
        <v>16869</v>
      </c>
      <c r="D896" t="s">
        <v>9267</v>
      </c>
      <c r="E896" t="s">
        <v>647</v>
      </c>
      <c r="F896" t="s">
        <v>3367</v>
      </c>
      <c r="G896" t="str">
        <f>"32"</f>
        <v>32</v>
      </c>
      <c r="H896" t="str">
        <f t="shared" si="185"/>
        <v>32</v>
      </c>
      <c r="I896" t="str">
        <f>"42.5"</f>
        <v>42.5</v>
      </c>
      <c r="J896" t="str">
        <f>"108.47"</f>
        <v>108.47</v>
      </c>
      <c r="K896" t="s">
        <v>6315</v>
      </c>
      <c r="L896" t="s">
        <v>16870</v>
      </c>
      <c r="N896" t="s">
        <v>6002</v>
      </c>
      <c r="O896" t="s">
        <v>372</v>
      </c>
      <c r="T896" t="s">
        <v>373</v>
      </c>
      <c r="U896" t="s">
        <v>373</v>
      </c>
      <c r="V896" t="s">
        <v>16871</v>
      </c>
      <c r="W896" t="s">
        <v>16872</v>
      </c>
      <c r="X896" t="s">
        <v>16873</v>
      </c>
      <c r="Y896" t="s">
        <v>16874</v>
      </c>
      <c r="Z896" t="s">
        <v>16875</v>
      </c>
      <c r="AA896" t="s">
        <v>16876</v>
      </c>
      <c r="AB896" t="s">
        <v>16877</v>
      </c>
      <c r="AC896" t="s">
        <v>16878</v>
      </c>
      <c r="AD896" t="s">
        <v>16879</v>
      </c>
      <c r="BA896" t="str">
        <f>"1899"</f>
        <v>1899</v>
      </c>
      <c r="BB896" t="str">
        <f>"800"</f>
        <v>800</v>
      </c>
      <c r="BC896" t="s">
        <v>388</v>
      </c>
      <c r="BD896" t="str">
        <f>"2"</f>
        <v>2</v>
      </c>
      <c r="BE896" t="s">
        <v>1089</v>
      </c>
      <c r="BF896" t="str">
        <f>"37.4"</f>
        <v>37.4</v>
      </c>
      <c r="BG896" t="str">
        <f>"3.94"</f>
        <v>3.94</v>
      </c>
      <c r="BH896" t="str">
        <f>"37.4"</f>
        <v>37.4</v>
      </c>
      <c r="BI896" t="str">
        <f>"80.47"</f>
        <v>80.47</v>
      </c>
      <c r="BJ896" t="s">
        <v>1090</v>
      </c>
      <c r="BK896" t="str">
        <f t="shared" ref="BK896:BL899" si="186">"22.44"</f>
        <v>22.44</v>
      </c>
      <c r="BL896" t="str">
        <f t="shared" si="186"/>
        <v>22.44</v>
      </c>
      <c r="BM896" t="str">
        <f>"43.43"</f>
        <v>43.43</v>
      </c>
      <c r="BN896" t="str">
        <f>"74.96"</f>
        <v>74.96</v>
      </c>
      <c r="BY896" t="str">
        <f>"15.82"</f>
        <v>15.82</v>
      </c>
      <c r="BZ896" t="str">
        <f>"0.448"</f>
        <v>0.448</v>
      </c>
      <c r="CA896" t="s">
        <v>431</v>
      </c>
      <c r="CR896" t="s">
        <v>400</v>
      </c>
      <c r="CS896">
        <v>0</v>
      </c>
      <c r="CT896" t="s">
        <v>400</v>
      </c>
      <c r="CV896">
        <v>0</v>
      </c>
      <c r="CX896" t="s">
        <v>1241</v>
      </c>
      <c r="CY896" t="s">
        <v>400</v>
      </c>
      <c r="DA896">
        <v>0</v>
      </c>
      <c r="DB896">
        <v>0</v>
      </c>
      <c r="DC896">
        <v>0</v>
      </c>
      <c r="DI896">
        <v>2</v>
      </c>
      <c r="DJ896" t="s">
        <v>471</v>
      </c>
      <c r="DK896" t="s">
        <v>16880</v>
      </c>
      <c r="DM896" t="s">
        <v>473</v>
      </c>
      <c r="DX896" t="s">
        <v>16881</v>
      </c>
      <c r="EI896" t="s">
        <v>791</v>
      </c>
      <c r="EJ896" t="s">
        <v>16881</v>
      </c>
      <c r="EK896" t="s">
        <v>791</v>
      </c>
      <c r="EL896" t="s">
        <v>956</v>
      </c>
      <c r="EM896" t="s">
        <v>402</v>
      </c>
      <c r="EN896">
        <v>0</v>
      </c>
      <c r="EO896">
        <v>0</v>
      </c>
      <c r="EX896" t="s">
        <v>2599</v>
      </c>
      <c r="IG896" t="s">
        <v>3387</v>
      </c>
    </row>
    <row r="897" spans="1:292" x14ac:dyDescent="0.25">
      <c r="A897" t="s">
        <v>16882</v>
      </c>
      <c r="B897" t="str">
        <f>"801542976590"</f>
        <v>801542976590</v>
      </c>
      <c r="C897" t="s">
        <v>16869</v>
      </c>
      <c r="D897" t="s">
        <v>9267</v>
      </c>
      <c r="E897" t="s">
        <v>647</v>
      </c>
      <c r="F897" t="s">
        <v>3367</v>
      </c>
      <c r="G897" t="str">
        <f>"32"</f>
        <v>32</v>
      </c>
      <c r="H897" t="str">
        <f t="shared" si="185"/>
        <v>32</v>
      </c>
      <c r="I897" t="str">
        <f>"36.5"</f>
        <v>36.5</v>
      </c>
      <c r="J897" t="str">
        <f>"104.28"</f>
        <v>104.28</v>
      </c>
      <c r="K897" t="s">
        <v>6315</v>
      </c>
      <c r="L897" t="s">
        <v>16870</v>
      </c>
      <c r="N897" t="s">
        <v>6002</v>
      </c>
      <c r="O897" t="s">
        <v>372</v>
      </c>
      <c r="T897" t="s">
        <v>373</v>
      </c>
      <c r="U897" t="s">
        <v>373</v>
      </c>
      <c r="V897" t="s">
        <v>16883</v>
      </c>
      <c r="W897" t="s">
        <v>16884</v>
      </c>
      <c r="X897" t="s">
        <v>16885</v>
      </c>
      <c r="Y897" t="s">
        <v>16874</v>
      </c>
      <c r="Z897" t="s">
        <v>16886</v>
      </c>
      <c r="AA897" t="s">
        <v>16887</v>
      </c>
      <c r="AB897" t="s">
        <v>16888</v>
      </c>
      <c r="AC897" t="s">
        <v>16889</v>
      </c>
      <c r="AD897" t="s">
        <v>16890</v>
      </c>
      <c r="BA897" t="str">
        <f>"1799"</f>
        <v>1799</v>
      </c>
      <c r="BB897" t="str">
        <f>"760"</f>
        <v>760</v>
      </c>
      <c r="BC897" t="s">
        <v>388</v>
      </c>
      <c r="BD897" t="str">
        <f>"2"</f>
        <v>2</v>
      </c>
      <c r="BE897" t="s">
        <v>1089</v>
      </c>
      <c r="BF897" t="str">
        <f>"37.4"</f>
        <v>37.4</v>
      </c>
      <c r="BG897" t="str">
        <f>"3.94"</f>
        <v>3.94</v>
      </c>
      <c r="BH897" t="str">
        <f>"37.4"</f>
        <v>37.4</v>
      </c>
      <c r="BI897" t="str">
        <f>"80.47"</f>
        <v>80.47</v>
      </c>
      <c r="BJ897" t="s">
        <v>1090</v>
      </c>
      <c r="BK897" t="str">
        <f t="shared" si="186"/>
        <v>22.44</v>
      </c>
      <c r="BL897" t="str">
        <f t="shared" si="186"/>
        <v>22.44</v>
      </c>
      <c r="BM897" t="str">
        <f>"37.44"</f>
        <v>37.44</v>
      </c>
      <c r="BN897" t="str">
        <f>"72.75"</f>
        <v>72.75</v>
      </c>
      <c r="BY897" t="str">
        <f>"14.09"</f>
        <v>14.09</v>
      </c>
      <c r="BZ897" t="str">
        <f>"0.399"</f>
        <v>0.399</v>
      </c>
      <c r="CA897" t="s">
        <v>495</v>
      </c>
      <c r="CR897" t="s">
        <v>400</v>
      </c>
      <c r="CS897">
        <v>0</v>
      </c>
      <c r="CT897" t="s">
        <v>400</v>
      </c>
      <c r="CV897">
        <v>0</v>
      </c>
      <c r="CX897" t="s">
        <v>1241</v>
      </c>
      <c r="CY897" t="s">
        <v>400</v>
      </c>
      <c r="DA897">
        <v>0</v>
      </c>
      <c r="DB897">
        <v>0</v>
      </c>
      <c r="DC897">
        <v>0</v>
      </c>
      <c r="DI897">
        <v>2</v>
      </c>
      <c r="DJ897" t="s">
        <v>471</v>
      </c>
      <c r="DK897" t="s">
        <v>16880</v>
      </c>
      <c r="DM897" t="s">
        <v>473</v>
      </c>
      <c r="DX897" t="s">
        <v>16891</v>
      </c>
      <c r="EI897" t="s">
        <v>791</v>
      </c>
      <c r="EJ897" t="s">
        <v>16891</v>
      </c>
      <c r="EK897" t="s">
        <v>791</v>
      </c>
      <c r="EL897" t="s">
        <v>956</v>
      </c>
      <c r="EM897" t="s">
        <v>402</v>
      </c>
      <c r="EN897">
        <v>0</v>
      </c>
      <c r="EO897">
        <v>0</v>
      </c>
      <c r="EX897" t="s">
        <v>2599</v>
      </c>
      <c r="IG897" t="s">
        <v>6371</v>
      </c>
    </row>
    <row r="898" spans="1:292" x14ac:dyDescent="0.25">
      <c r="A898" t="s">
        <v>16892</v>
      </c>
      <c r="B898" t="str">
        <f>"801542976583"</f>
        <v>801542976583</v>
      </c>
      <c r="C898" t="s">
        <v>16893</v>
      </c>
      <c r="D898" t="s">
        <v>9267</v>
      </c>
      <c r="E898" t="s">
        <v>647</v>
      </c>
      <c r="F898" t="s">
        <v>3367</v>
      </c>
      <c r="G898" t="str">
        <f>"32"</f>
        <v>32</v>
      </c>
      <c r="H898" t="str">
        <f t="shared" si="185"/>
        <v>32</v>
      </c>
      <c r="I898" t="str">
        <f>"42.5"</f>
        <v>42.5</v>
      </c>
      <c r="J898" t="str">
        <f>"69.89"</f>
        <v>69.89</v>
      </c>
      <c r="K898" t="s">
        <v>16894</v>
      </c>
      <c r="N898" t="s">
        <v>1970</v>
      </c>
      <c r="O898" t="s">
        <v>372</v>
      </c>
      <c r="T898" t="s">
        <v>373</v>
      </c>
      <c r="U898" t="s">
        <v>373</v>
      </c>
      <c r="V898" t="s">
        <v>16895</v>
      </c>
      <c r="W898" t="s">
        <v>16896</v>
      </c>
      <c r="X898" t="s">
        <v>16897</v>
      </c>
      <c r="Y898" t="s">
        <v>16898</v>
      </c>
      <c r="Z898" t="s">
        <v>16899</v>
      </c>
      <c r="AA898" t="s">
        <v>16900</v>
      </c>
      <c r="AB898" t="s">
        <v>16901</v>
      </c>
      <c r="AC898" t="s">
        <v>16902</v>
      </c>
      <c r="AD898" t="s">
        <v>16903</v>
      </c>
      <c r="AE898" t="s">
        <v>16904</v>
      </c>
      <c r="AF898" t="s">
        <v>16905</v>
      </c>
      <c r="AG898" t="s">
        <v>16906</v>
      </c>
      <c r="AH898" t="s">
        <v>16907</v>
      </c>
      <c r="AI898" t="s">
        <v>16908</v>
      </c>
      <c r="AJ898" t="s">
        <v>16909</v>
      </c>
      <c r="AK898" t="s">
        <v>16910</v>
      </c>
      <c r="BA898" t="str">
        <f>"1449"</f>
        <v>1449</v>
      </c>
      <c r="BB898" t="str">
        <f>"610"</f>
        <v>610</v>
      </c>
      <c r="BC898" t="s">
        <v>388</v>
      </c>
      <c r="BD898" t="str">
        <f>"2"</f>
        <v>2</v>
      </c>
      <c r="BE898" t="s">
        <v>1089</v>
      </c>
      <c r="BF898" t="str">
        <f>"33.46"</f>
        <v>33.46</v>
      </c>
      <c r="BG898" t="str">
        <f>"2.95"</f>
        <v>2.95</v>
      </c>
      <c r="BH898" t="str">
        <f>"33.46"</f>
        <v>33.46</v>
      </c>
      <c r="BI898" t="str">
        <f>"16.53"</f>
        <v>16.53</v>
      </c>
      <c r="BJ898" t="s">
        <v>1090</v>
      </c>
      <c r="BK898" t="str">
        <f t="shared" si="186"/>
        <v>22.44</v>
      </c>
      <c r="BL898" t="str">
        <f t="shared" si="186"/>
        <v>22.44</v>
      </c>
      <c r="BM898" t="str">
        <f>"43.43"</f>
        <v>43.43</v>
      </c>
      <c r="BN898" t="str">
        <f>"74.96"</f>
        <v>74.96</v>
      </c>
      <c r="BY898" t="str">
        <f>"14.55"</f>
        <v>14.55</v>
      </c>
      <c r="BZ898" t="str">
        <f>"0.412"</f>
        <v>0.412</v>
      </c>
      <c r="CA898" t="s">
        <v>431</v>
      </c>
      <c r="CR898" t="s">
        <v>400</v>
      </c>
      <c r="CS898">
        <v>0</v>
      </c>
      <c r="CT898" t="s">
        <v>400</v>
      </c>
      <c r="CV898">
        <v>0</v>
      </c>
      <c r="CX898" t="s">
        <v>1241</v>
      </c>
      <c r="CY898" t="s">
        <v>400</v>
      </c>
      <c r="DA898">
        <v>0</v>
      </c>
      <c r="DB898">
        <v>0</v>
      </c>
      <c r="DC898">
        <v>0</v>
      </c>
      <c r="DI898">
        <v>2</v>
      </c>
      <c r="DJ898" t="s">
        <v>471</v>
      </c>
      <c r="DK898" t="s">
        <v>16880</v>
      </c>
      <c r="DM898" t="s">
        <v>473</v>
      </c>
      <c r="DX898" t="s">
        <v>16881</v>
      </c>
      <c r="EI898" t="s">
        <v>791</v>
      </c>
      <c r="EJ898" t="s">
        <v>16881</v>
      </c>
      <c r="EK898" t="s">
        <v>791</v>
      </c>
      <c r="EL898" t="s">
        <v>956</v>
      </c>
      <c r="EM898" t="s">
        <v>402</v>
      </c>
      <c r="EN898">
        <v>0</v>
      </c>
      <c r="EO898">
        <v>0</v>
      </c>
      <c r="EX898" t="s">
        <v>2599</v>
      </c>
      <c r="IG898" t="s">
        <v>3387</v>
      </c>
    </row>
    <row r="899" spans="1:292" x14ac:dyDescent="0.25">
      <c r="A899" t="s">
        <v>16911</v>
      </c>
      <c r="B899" t="str">
        <f>"801542976606"</f>
        <v>801542976606</v>
      </c>
      <c r="C899" t="s">
        <v>16893</v>
      </c>
      <c r="D899" t="s">
        <v>9267</v>
      </c>
      <c r="E899" t="s">
        <v>647</v>
      </c>
      <c r="F899" t="s">
        <v>3367</v>
      </c>
      <c r="G899" t="str">
        <f>"32"</f>
        <v>32</v>
      </c>
      <c r="H899" t="str">
        <f t="shared" si="185"/>
        <v>32</v>
      </c>
      <c r="I899" t="str">
        <f>"36.5"</f>
        <v>36.5</v>
      </c>
      <c r="J899" t="str">
        <f>"65.7"</f>
        <v>65.7</v>
      </c>
      <c r="K899" t="s">
        <v>16894</v>
      </c>
      <c r="N899" t="s">
        <v>1970</v>
      </c>
      <c r="O899" t="s">
        <v>372</v>
      </c>
      <c r="T899" t="s">
        <v>373</v>
      </c>
      <c r="U899" t="s">
        <v>373</v>
      </c>
      <c r="V899" t="s">
        <v>16912</v>
      </c>
      <c r="W899" t="s">
        <v>16913</v>
      </c>
      <c r="X899" t="s">
        <v>16914</v>
      </c>
      <c r="Y899" t="s">
        <v>16899</v>
      </c>
      <c r="Z899" t="s">
        <v>16915</v>
      </c>
      <c r="AA899" t="s">
        <v>16916</v>
      </c>
      <c r="AB899" t="s">
        <v>16917</v>
      </c>
      <c r="AC899" t="s">
        <v>16918</v>
      </c>
      <c r="AD899" t="s">
        <v>16919</v>
      </c>
      <c r="BA899" t="str">
        <f>"1399"</f>
        <v>1399</v>
      </c>
      <c r="BB899" t="str">
        <f>"590"</f>
        <v>590</v>
      </c>
      <c r="BC899" t="s">
        <v>388</v>
      </c>
      <c r="BD899" t="str">
        <f>"2"</f>
        <v>2</v>
      </c>
      <c r="BE899" t="s">
        <v>1089</v>
      </c>
      <c r="BF899" t="str">
        <f>"33.46"</f>
        <v>33.46</v>
      </c>
      <c r="BG899" t="str">
        <f>"2.95"</f>
        <v>2.95</v>
      </c>
      <c r="BH899" t="str">
        <f>"33.46"</f>
        <v>33.46</v>
      </c>
      <c r="BI899" t="str">
        <f>"16.53"</f>
        <v>16.53</v>
      </c>
      <c r="BJ899" t="s">
        <v>1090</v>
      </c>
      <c r="BK899" t="str">
        <f t="shared" si="186"/>
        <v>22.44</v>
      </c>
      <c r="BL899" t="str">
        <f t="shared" si="186"/>
        <v>22.44</v>
      </c>
      <c r="BM899" t="str">
        <f>"37.44"</f>
        <v>37.44</v>
      </c>
      <c r="BN899" t="str">
        <f>"72.75"</f>
        <v>72.75</v>
      </c>
      <c r="BY899" t="str">
        <f>"12.82"</f>
        <v>12.82</v>
      </c>
      <c r="BZ899" t="str">
        <f>"0.363"</f>
        <v>0.363</v>
      </c>
      <c r="CA899" t="s">
        <v>495</v>
      </c>
      <c r="CR899" t="s">
        <v>400</v>
      </c>
      <c r="CS899">
        <v>0</v>
      </c>
      <c r="CT899" t="s">
        <v>400</v>
      </c>
      <c r="CV899">
        <v>0</v>
      </c>
      <c r="CX899" t="s">
        <v>1241</v>
      </c>
      <c r="CY899" t="s">
        <v>400</v>
      </c>
      <c r="DA899">
        <v>0</v>
      </c>
      <c r="DB899">
        <v>0</v>
      </c>
      <c r="DC899">
        <v>0</v>
      </c>
      <c r="DI899">
        <v>2</v>
      </c>
      <c r="DJ899" t="s">
        <v>471</v>
      </c>
      <c r="DK899" t="s">
        <v>16880</v>
      </c>
      <c r="DM899" t="s">
        <v>473</v>
      </c>
      <c r="DX899" t="s">
        <v>16891</v>
      </c>
      <c r="EI899" t="s">
        <v>791</v>
      </c>
      <c r="EJ899" t="s">
        <v>16891</v>
      </c>
      <c r="EK899" t="s">
        <v>791</v>
      </c>
      <c r="EL899" t="s">
        <v>956</v>
      </c>
      <c r="EM899" t="s">
        <v>402</v>
      </c>
      <c r="EN899">
        <v>0</v>
      </c>
      <c r="EO899">
        <v>0</v>
      </c>
      <c r="EX899" t="s">
        <v>2599</v>
      </c>
      <c r="IG899" t="s">
        <v>6371</v>
      </c>
    </row>
    <row r="900" spans="1:292" x14ac:dyDescent="0.25">
      <c r="A900" t="s">
        <v>16920</v>
      </c>
      <c r="B900" t="str">
        <f>"801542977559"</f>
        <v>801542977559</v>
      </c>
      <c r="C900" t="s">
        <v>16921</v>
      </c>
      <c r="D900" t="s">
        <v>16922</v>
      </c>
      <c r="E900" t="s">
        <v>413</v>
      </c>
      <c r="G900" t="str">
        <f>"96"</f>
        <v>96</v>
      </c>
      <c r="H900" t="str">
        <f>"41"</f>
        <v>41</v>
      </c>
      <c r="I900" t="str">
        <f>"29.25"</f>
        <v>29.25</v>
      </c>
      <c r="J900" t="str">
        <f>"190.7"</f>
        <v>190.7</v>
      </c>
      <c r="K900" t="s">
        <v>584</v>
      </c>
      <c r="N900" t="s">
        <v>416</v>
      </c>
      <c r="T900" t="s">
        <v>373</v>
      </c>
      <c r="U900" t="s">
        <v>373</v>
      </c>
      <c r="V900" t="s">
        <v>16923</v>
      </c>
      <c r="W900" t="s">
        <v>16924</v>
      </c>
      <c r="X900" t="s">
        <v>16925</v>
      </c>
      <c r="Y900" t="s">
        <v>16926</v>
      </c>
      <c r="Z900" t="s">
        <v>16927</v>
      </c>
      <c r="AA900" t="s">
        <v>16928</v>
      </c>
      <c r="AB900" t="s">
        <v>16929</v>
      </c>
      <c r="AC900" t="s">
        <v>16930</v>
      </c>
      <c r="AD900" t="s">
        <v>16931</v>
      </c>
      <c r="AE900" t="s">
        <v>16932</v>
      </c>
      <c r="AF900" t="s">
        <v>16933</v>
      </c>
      <c r="AG900" t="s">
        <v>16934</v>
      </c>
      <c r="AH900" t="s">
        <v>16935</v>
      </c>
      <c r="AI900" t="s">
        <v>16936</v>
      </c>
      <c r="AJ900" t="s">
        <v>16937</v>
      </c>
      <c r="AK900" t="s">
        <v>13838</v>
      </c>
      <c r="BA900" t="str">
        <f>"5899"</f>
        <v>5899</v>
      </c>
      <c r="BB900" t="str">
        <f>"2480"</f>
        <v>2480</v>
      </c>
      <c r="BC900" t="s">
        <v>665</v>
      </c>
      <c r="BD900" t="str">
        <f>"1"</f>
        <v>1</v>
      </c>
      <c r="BE900" t="s">
        <v>16938</v>
      </c>
      <c r="BF900" t="str">
        <f>"97.24"</f>
        <v>97.24</v>
      </c>
      <c r="BG900" t="str">
        <f>"42.32"</f>
        <v>42.32</v>
      </c>
      <c r="BH900" t="str">
        <f>"21.26"</f>
        <v>21.26</v>
      </c>
      <c r="BI900" t="str">
        <f>"231.49"</f>
        <v>231.49</v>
      </c>
      <c r="BY900" t="str">
        <f>"50.64"</f>
        <v>50.64</v>
      </c>
      <c r="BZ900" t="str">
        <f>"1.434"</f>
        <v>1.434</v>
      </c>
      <c r="CA900" t="s">
        <v>431</v>
      </c>
      <c r="CH900" t="s">
        <v>578</v>
      </c>
      <c r="CI900" t="s">
        <v>7534</v>
      </c>
      <c r="CJ900" t="s">
        <v>16939</v>
      </c>
      <c r="CK900" t="s">
        <v>2382</v>
      </c>
      <c r="CL900" t="s">
        <v>16940</v>
      </c>
      <c r="CM900" t="s">
        <v>16941</v>
      </c>
      <c r="CN900">
        <v>0</v>
      </c>
      <c r="CO900">
        <v>2</v>
      </c>
      <c r="CP900" t="s">
        <v>437</v>
      </c>
      <c r="CQ900" t="s">
        <v>438</v>
      </c>
      <c r="CU900" t="s">
        <v>16942</v>
      </c>
      <c r="CX900" t="s">
        <v>1241</v>
      </c>
      <c r="CY900" t="s">
        <v>400</v>
      </c>
      <c r="CZ900">
        <v>0</v>
      </c>
      <c r="DD900">
        <v>0</v>
      </c>
      <c r="DE900" t="s">
        <v>439</v>
      </c>
      <c r="DF900" t="s">
        <v>406</v>
      </c>
      <c r="DG900" t="s">
        <v>407</v>
      </c>
      <c r="DH900">
        <v>2</v>
      </c>
      <c r="DI900">
        <v>5</v>
      </c>
      <c r="DK900" t="s">
        <v>16943</v>
      </c>
      <c r="DL900">
        <v>0</v>
      </c>
      <c r="DM900" t="s">
        <v>3739</v>
      </c>
      <c r="DN900" t="s">
        <v>6229</v>
      </c>
      <c r="DO900" t="s">
        <v>1739</v>
      </c>
      <c r="DP900" t="s">
        <v>16944</v>
      </c>
      <c r="DT900" t="s">
        <v>6252</v>
      </c>
      <c r="DU900" t="s">
        <v>566</v>
      </c>
      <c r="DV900" t="s">
        <v>3808</v>
      </c>
      <c r="DW900" t="s">
        <v>16939</v>
      </c>
      <c r="DX900" t="s">
        <v>15302</v>
      </c>
      <c r="DZ900" t="s">
        <v>16945</v>
      </c>
      <c r="EA900" t="s">
        <v>1739</v>
      </c>
      <c r="ED900" t="s">
        <v>406</v>
      </c>
      <c r="EE900" t="s">
        <v>407</v>
      </c>
      <c r="EF900" t="s">
        <v>1555</v>
      </c>
      <c r="EG900" t="s">
        <v>579</v>
      </c>
      <c r="EP900" t="s">
        <v>16941</v>
      </c>
      <c r="EQ900" t="s">
        <v>16941</v>
      </c>
    </row>
    <row r="901" spans="1:292" x14ac:dyDescent="0.25">
      <c r="A901" t="s">
        <v>16946</v>
      </c>
      <c r="B901" t="str">
        <f>"801542465353"</f>
        <v>801542465353</v>
      </c>
      <c r="C901" t="s">
        <v>16947</v>
      </c>
      <c r="D901" t="s">
        <v>769</v>
      </c>
      <c r="E901" t="s">
        <v>2244</v>
      </c>
      <c r="G901" t="str">
        <f>"33.5"</f>
        <v>33.5</v>
      </c>
      <c r="H901" t="str">
        <f>"65"</f>
        <v>65</v>
      </c>
      <c r="I901" t="str">
        <f>"32"</f>
        <v>32</v>
      </c>
      <c r="J901" t="str">
        <f>"72.75"</f>
        <v>72.75</v>
      </c>
      <c r="K901" t="s">
        <v>9199</v>
      </c>
      <c r="L901" t="s">
        <v>585</v>
      </c>
      <c r="N901" t="s">
        <v>371</v>
      </c>
      <c r="O901" t="s">
        <v>775</v>
      </c>
      <c r="T901" t="s">
        <v>373</v>
      </c>
      <c r="U901" t="s">
        <v>373</v>
      </c>
      <c r="V901" t="s">
        <v>16948</v>
      </c>
      <c r="W901" t="s">
        <v>16949</v>
      </c>
      <c r="X901" t="s">
        <v>16950</v>
      </c>
      <c r="Y901" t="s">
        <v>16951</v>
      </c>
      <c r="Z901" t="s">
        <v>16952</v>
      </c>
      <c r="AA901" t="s">
        <v>16953</v>
      </c>
      <c r="AB901" t="s">
        <v>16954</v>
      </c>
      <c r="AC901" t="s">
        <v>16955</v>
      </c>
      <c r="AD901" t="s">
        <v>16956</v>
      </c>
      <c r="AE901" t="s">
        <v>16957</v>
      </c>
      <c r="AF901" t="s">
        <v>16958</v>
      </c>
      <c r="AG901" t="s">
        <v>16959</v>
      </c>
      <c r="AH901" t="s">
        <v>16960</v>
      </c>
      <c r="BA901" t="str">
        <f>"1549"</f>
        <v>1549</v>
      </c>
      <c r="BB901" t="str">
        <f>"655"</f>
        <v>655</v>
      </c>
      <c r="BC901" t="s">
        <v>388</v>
      </c>
      <c r="BD901" t="str">
        <f>"1"</f>
        <v>1</v>
      </c>
      <c r="BE901" t="s">
        <v>16961</v>
      </c>
      <c r="BF901" t="str">
        <f>"34.65"</f>
        <v>34.65</v>
      </c>
      <c r="BG901" t="str">
        <f>"66.93"</f>
        <v>66.93</v>
      </c>
      <c r="BH901" t="str">
        <f>"32.28"</f>
        <v>32.28</v>
      </c>
      <c r="BI901" t="str">
        <f>"94.8"</f>
        <v>94.8</v>
      </c>
      <c r="BY901" t="str">
        <f>"35.67"</f>
        <v>35.67</v>
      </c>
      <c r="BZ901" t="str">
        <f>"1.01"</f>
        <v>1.01</v>
      </c>
      <c r="CA901" t="s">
        <v>431</v>
      </c>
      <c r="CK901" t="s">
        <v>2260</v>
      </c>
      <c r="CL901" t="s">
        <v>396</v>
      </c>
      <c r="CN901">
        <v>0</v>
      </c>
      <c r="CO901">
        <v>1</v>
      </c>
      <c r="CP901" t="s">
        <v>437</v>
      </c>
      <c r="CQ901" t="s">
        <v>399</v>
      </c>
      <c r="CX901" t="s">
        <v>403</v>
      </c>
      <c r="CY901" t="s">
        <v>400</v>
      </c>
      <c r="CZ901">
        <v>0</v>
      </c>
      <c r="DD901">
        <v>100000</v>
      </c>
      <c r="DE901" t="s">
        <v>439</v>
      </c>
      <c r="DF901" t="s">
        <v>632</v>
      </c>
      <c r="DH901">
        <v>1</v>
      </c>
      <c r="DI901">
        <v>1</v>
      </c>
      <c r="DK901" t="s">
        <v>9209</v>
      </c>
      <c r="DL901">
        <v>0</v>
      </c>
      <c r="DM901" t="s">
        <v>538</v>
      </c>
      <c r="DN901" t="s">
        <v>1493</v>
      </c>
      <c r="DO901" t="s">
        <v>800</v>
      </c>
      <c r="DP901" t="s">
        <v>1853</v>
      </c>
      <c r="DT901" t="s">
        <v>1852</v>
      </c>
      <c r="DX901" t="s">
        <v>3025</v>
      </c>
      <c r="DY901" t="s">
        <v>600</v>
      </c>
      <c r="DZ901" t="s">
        <v>435</v>
      </c>
      <c r="EA901" t="s">
        <v>2696</v>
      </c>
      <c r="ED901" t="s">
        <v>632</v>
      </c>
      <c r="EG901" t="s">
        <v>749</v>
      </c>
      <c r="EM901" t="s">
        <v>402</v>
      </c>
      <c r="EP901" t="s">
        <v>2083</v>
      </c>
      <c r="EQ901" t="s">
        <v>3482</v>
      </c>
    </row>
    <row r="902" spans="1:292" x14ac:dyDescent="0.25">
      <c r="A902" t="s">
        <v>16962</v>
      </c>
      <c r="B902" t="str">
        <f>"198394067645"</f>
        <v>198394067645</v>
      </c>
      <c r="C902" t="s">
        <v>16963</v>
      </c>
      <c r="D902" t="s">
        <v>769</v>
      </c>
      <c r="E902" t="s">
        <v>515</v>
      </c>
      <c r="F902" t="s">
        <v>516</v>
      </c>
      <c r="G902" t="str">
        <f>"29.5"</f>
        <v>29.5</v>
      </c>
      <c r="H902" t="str">
        <f>"42.25"</f>
        <v>42.25</v>
      </c>
      <c r="I902" t="str">
        <f>"32.5"</f>
        <v>32.5</v>
      </c>
      <c r="J902" t="str">
        <f>"45.19"</f>
        <v>45.19</v>
      </c>
      <c r="K902" t="s">
        <v>16964</v>
      </c>
      <c r="L902" t="s">
        <v>1518</v>
      </c>
      <c r="N902" t="s">
        <v>16965</v>
      </c>
      <c r="O902" t="s">
        <v>775</v>
      </c>
      <c r="T902" t="s">
        <v>373</v>
      </c>
      <c r="U902" t="s">
        <v>373</v>
      </c>
      <c r="V902" t="s">
        <v>16948</v>
      </c>
      <c r="W902" t="s">
        <v>16966</v>
      </c>
      <c r="X902" t="s">
        <v>16967</v>
      </c>
      <c r="Y902" t="s">
        <v>16968</v>
      </c>
      <c r="Z902" t="s">
        <v>16969</v>
      </c>
      <c r="AA902" t="s">
        <v>16970</v>
      </c>
      <c r="AB902" t="s">
        <v>16971</v>
      </c>
      <c r="AC902" t="s">
        <v>16972</v>
      </c>
      <c r="AD902" t="s">
        <v>16973</v>
      </c>
      <c r="AE902" t="s">
        <v>16974</v>
      </c>
      <c r="AF902" t="s">
        <v>16975</v>
      </c>
      <c r="AG902" t="s">
        <v>16976</v>
      </c>
      <c r="AH902" t="s">
        <v>16977</v>
      </c>
      <c r="AI902" t="s">
        <v>16978</v>
      </c>
      <c r="AJ902" t="s">
        <v>16979</v>
      </c>
      <c r="BA902" t="str">
        <f>"2399"</f>
        <v>2399</v>
      </c>
      <c r="BB902" t="str">
        <f>"1010"</f>
        <v>1010</v>
      </c>
      <c r="BC902" t="s">
        <v>388</v>
      </c>
      <c r="BD902" t="str">
        <f>"1"</f>
        <v>1</v>
      </c>
      <c r="BE902" t="s">
        <v>1662</v>
      </c>
      <c r="BF902" t="str">
        <f>"31.1"</f>
        <v>31.1</v>
      </c>
      <c r="BG902" t="str">
        <f>"42.91"</f>
        <v>42.91</v>
      </c>
      <c r="BH902" t="str">
        <f>"33.86"</f>
        <v>33.86</v>
      </c>
      <c r="BI902" t="str">
        <f>"67.24"</f>
        <v>67.24</v>
      </c>
      <c r="BY902" t="str">
        <f>"23.87"</f>
        <v>23.87</v>
      </c>
      <c r="BZ902" t="str">
        <f>"0.676"</f>
        <v>0.676</v>
      </c>
      <c r="CA902" t="s">
        <v>431</v>
      </c>
      <c r="CK902" t="s">
        <v>600</v>
      </c>
      <c r="CL902" t="s">
        <v>449</v>
      </c>
      <c r="CN902">
        <v>0</v>
      </c>
      <c r="CO902">
        <v>0</v>
      </c>
      <c r="CP902" t="s">
        <v>437</v>
      </c>
      <c r="CQ902" t="s">
        <v>438</v>
      </c>
      <c r="CX902" t="s">
        <v>1609</v>
      </c>
      <c r="CY902" t="s">
        <v>400</v>
      </c>
      <c r="CZ902">
        <v>0</v>
      </c>
      <c r="DD902">
        <v>0</v>
      </c>
      <c r="DE902" t="s">
        <v>439</v>
      </c>
      <c r="DH902">
        <v>0</v>
      </c>
      <c r="DI902">
        <v>1</v>
      </c>
      <c r="DK902" t="s">
        <v>16980</v>
      </c>
      <c r="DL902">
        <v>0</v>
      </c>
      <c r="DM902" t="s">
        <v>538</v>
      </c>
      <c r="DN902" t="s">
        <v>2083</v>
      </c>
      <c r="DO902" t="s">
        <v>610</v>
      </c>
      <c r="DP902" t="s">
        <v>601</v>
      </c>
      <c r="DT902" t="s">
        <v>827</v>
      </c>
      <c r="DX902" t="s">
        <v>1156</v>
      </c>
      <c r="DY902" t="s">
        <v>6784</v>
      </c>
      <c r="DZ902" t="s">
        <v>796</v>
      </c>
      <c r="EA902" t="s">
        <v>1039</v>
      </c>
      <c r="EG902" t="s">
        <v>749</v>
      </c>
      <c r="EP902" t="s">
        <v>603</v>
      </c>
      <c r="EQ902" t="s">
        <v>638</v>
      </c>
      <c r="ER902">
        <v>0</v>
      </c>
      <c r="ES902">
        <v>0</v>
      </c>
      <c r="EU902">
        <v>0</v>
      </c>
    </row>
    <row r="903" spans="1:292" x14ac:dyDescent="0.25">
      <c r="A903" t="s">
        <v>16981</v>
      </c>
      <c r="B903" t="str">
        <f>"198394057707"</f>
        <v>198394057707</v>
      </c>
      <c r="C903" t="s">
        <v>16982</v>
      </c>
      <c r="D903" t="s">
        <v>9267</v>
      </c>
      <c r="E903" t="s">
        <v>515</v>
      </c>
      <c r="F903" t="s">
        <v>516</v>
      </c>
      <c r="G903" t="str">
        <f>"28.5"</f>
        <v>28.5</v>
      </c>
      <c r="H903" t="str">
        <f>"30"</f>
        <v>30</v>
      </c>
      <c r="I903" t="str">
        <f>"31"</f>
        <v>31</v>
      </c>
      <c r="J903" t="str">
        <f>"39.24"</f>
        <v>39.24</v>
      </c>
      <c r="K903" t="s">
        <v>16983</v>
      </c>
      <c r="L903" t="s">
        <v>16984</v>
      </c>
      <c r="M903" t="s">
        <v>10098</v>
      </c>
      <c r="N903" t="s">
        <v>772</v>
      </c>
      <c r="O903" t="s">
        <v>773</v>
      </c>
      <c r="P903" t="s">
        <v>774</v>
      </c>
      <c r="Q903" t="s">
        <v>519</v>
      </c>
      <c r="R903" t="s">
        <v>7902</v>
      </c>
      <c r="T903" t="s">
        <v>373</v>
      </c>
      <c r="U903" t="s">
        <v>402</v>
      </c>
      <c r="V903" t="s">
        <v>16985</v>
      </c>
      <c r="W903" t="s">
        <v>16986</v>
      </c>
      <c r="X903" t="s">
        <v>16987</v>
      </c>
      <c r="Y903" t="s">
        <v>16988</v>
      </c>
      <c r="Z903" t="s">
        <v>16989</v>
      </c>
      <c r="AA903" t="s">
        <v>16990</v>
      </c>
      <c r="AB903" t="s">
        <v>16991</v>
      </c>
      <c r="AC903" t="s">
        <v>16992</v>
      </c>
      <c r="AD903" t="s">
        <v>16993</v>
      </c>
      <c r="AE903" t="s">
        <v>16994</v>
      </c>
      <c r="AF903" t="s">
        <v>16995</v>
      </c>
      <c r="AG903" t="s">
        <v>16996</v>
      </c>
      <c r="AH903" t="s">
        <v>16997</v>
      </c>
      <c r="AI903" t="s">
        <v>16998</v>
      </c>
      <c r="BA903" t="str">
        <f>"1149"</f>
        <v>1149</v>
      </c>
      <c r="BB903" t="str">
        <f>"485"</f>
        <v>485</v>
      </c>
      <c r="BC903" t="s">
        <v>388</v>
      </c>
      <c r="BD903" t="str">
        <f>"1"</f>
        <v>1</v>
      </c>
      <c r="BE903" t="s">
        <v>389</v>
      </c>
      <c r="BF903" t="str">
        <f>"32.68"</f>
        <v>32.68</v>
      </c>
      <c r="BG903" t="str">
        <f>"31.1"</f>
        <v>31.1</v>
      </c>
      <c r="BH903" t="str">
        <f>"32.28"</f>
        <v>32.28</v>
      </c>
      <c r="BI903" t="str">
        <f>"58.42"</f>
        <v>58.42</v>
      </c>
      <c r="BY903" t="str">
        <f>"19"</f>
        <v>19</v>
      </c>
      <c r="BZ903" t="str">
        <f>"0.538"</f>
        <v>0.538</v>
      </c>
      <c r="CA903" t="s">
        <v>495</v>
      </c>
      <c r="CH903" t="s">
        <v>1510</v>
      </c>
      <c r="CI903" t="s">
        <v>446</v>
      </c>
      <c r="CJ903" t="s">
        <v>1510</v>
      </c>
      <c r="CK903" t="s">
        <v>1134</v>
      </c>
      <c r="CL903" t="s">
        <v>981</v>
      </c>
      <c r="CN903">
        <v>0</v>
      </c>
      <c r="CO903">
        <v>1</v>
      </c>
      <c r="CP903" t="s">
        <v>437</v>
      </c>
      <c r="CQ903" t="s">
        <v>631</v>
      </c>
      <c r="CU903" t="s">
        <v>16999</v>
      </c>
      <c r="CX903" t="s">
        <v>667</v>
      </c>
      <c r="CY903" t="s">
        <v>400</v>
      </c>
      <c r="CZ903">
        <v>0</v>
      </c>
      <c r="DD903">
        <v>25000</v>
      </c>
      <c r="DE903" t="s">
        <v>405</v>
      </c>
      <c r="DF903" t="s">
        <v>406</v>
      </c>
      <c r="DG903" t="s">
        <v>5549</v>
      </c>
      <c r="DH903">
        <v>1</v>
      </c>
      <c r="DI903">
        <v>1</v>
      </c>
      <c r="DK903" t="s">
        <v>17000</v>
      </c>
      <c r="DL903">
        <v>0</v>
      </c>
      <c r="DM903" t="s">
        <v>538</v>
      </c>
      <c r="DN903" t="s">
        <v>600</v>
      </c>
      <c r="DO903" t="s">
        <v>2599</v>
      </c>
      <c r="DP903" t="s">
        <v>858</v>
      </c>
      <c r="DT903" t="s">
        <v>2510</v>
      </c>
      <c r="DU903" t="s">
        <v>3025</v>
      </c>
      <c r="DV903" t="s">
        <v>979</v>
      </c>
      <c r="DW903" t="s">
        <v>1151</v>
      </c>
      <c r="DX903" t="s">
        <v>1156</v>
      </c>
      <c r="DY903" t="s">
        <v>634</v>
      </c>
      <c r="DZ903" t="s">
        <v>1054</v>
      </c>
      <c r="EA903" t="s">
        <v>958</v>
      </c>
      <c r="ED903" t="s">
        <v>406</v>
      </c>
      <c r="EE903" t="s">
        <v>407</v>
      </c>
      <c r="EF903" t="s">
        <v>17001</v>
      </c>
      <c r="EP903" t="s">
        <v>1054</v>
      </c>
      <c r="EQ903" t="s">
        <v>1510</v>
      </c>
      <c r="ER903">
        <v>0</v>
      </c>
      <c r="ES903">
        <v>0</v>
      </c>
      <c r="EU903">
        <v>0</v>
      </c>
      <c r="HM903" t="s">
        <v>17002</v>
      </c>
    </row>
    <row r="904" spans="1:292" x14ac:dyDescent="0.25">
      <c r="A904" t="s">
        <v>17003</v>
      </c>
      <c r="B904" t="str">
        <f>"801542965372"</f>
        <v>801542965372</v>
      </c>
      <c r="C904" t="s">
        <v>17004</v>
      </c>
      <c r="D904" t="s">
        <v>6787</v>
      </c>
      <c r="E904" t="s">
        <v>2006</v>
      </c>
      <c r="F904" t="s">
        <v>2007</v>
      </c>
      <c r="G904" t="str">
        <f>"65.75"</f>
        <v>65.75</v>
      </c>
      <c r="H904" t="str">
        <f>"86.5"</f>
        <v>86.5</v>
      </c>
      <c r="I904" t="str">
        <f>"49"</f>
        <v>49</v>
      </c>
      <c r="J904" t="str">
        <f>"216.05"</f>
        <v>216.05</v>
      </c>
      <c r="K904" t="s">
        <v>17005</v>
      </c>
      <c r="L904" t="s">
        <v>15013</v>
      </c>
      <c r="N904" t="s">
        <v>2011</v>
      </c>
      <c r="O904" t="s">
        <v>2012</v>
      </c>
      <c r="P904" t="s">
        <v>1463</v>
      </c>
      <c r="Q904" t="s">
        <v>372</v>
      </c>
      <c r="T904" t="s">
        <v>373</v>
      </c>
      <c r="U904" t="s">
        <v>402</v>
      </c>
      <c r="V904" t="s">
        <v>17006</v>
      </c>
      <c r="W904" t="s">
        <v>17007</v>
      </c>
      <c r="X904" t="s">
        <v>17008</v>
      </c>
      <c r="Y904" t="s">
        <v>17009</v>
      </c>
      <c r="Z904" t="s">
        <v>17010</v>
      </c>
      <c r="AA904" t="s">
        <v>17011</v>
      </c>
      <c r="AB904" t="s">
        <v>17012</v>
      </c>
      <c r="AC904" t="s">
        <v>17013</v>
      </c>
      <c r="AD904" t="s">
        <v>17014</v>
      </c>
      <c r="AE904" t="s">
        <v>17015</v>
      </c>
      <c r="AF904" t="s">
        <v>17016</v>
      </c>
      <c r="AG904" t="s">
        <v>17017</v>
      </c>
      <c r="AH904" t="s">
        <v>17018</v>
      </c>
      <c r="AI904" t="s">
        <v>17019</v>
      </c>
      <c r="AJ904" t="s">
        <v>17020</v>
      </c>
      <c r="AK904" t="s">
        <v>17021</v>
      </c>
      <c r="AL904" t="s">
        <v>17022</v>
      </c>
      <c r="AM904" t="s">
        <v>17023</v>
      </c>
      <c r="AN904" t="s">
        <v>17024</v>
      </c>
      <c r="BA904" t="str">
        <f>"2299"</f>
        <v>2299</v>
      </c>
      <c r="BB904" t="str">
        <f>"970"</f>
        <v>970</v>
      </c>
      <c r="BC904" t="s">
        <v>665</v>
      </c>
      <c r="BD904" t="str">
        <f>"2"</f>
        <v>2</v>
      </c>
      <c r="BE904" t="s">
        <v>3541</v>
      </c>
      <c r="BF904" t="str">
        <f>"70.28"</f>
        <v>70.28</v>
      </c>
      <c r="BG904" t="str">
        <f>"9.45"</f>
        <v>9.45</v>
      </c>
      <c r="BH904" t="str">
        <f>"52.76"</f>
        <v>52.76</v>
      </c>
      <c r="BI904" t="str">
        <f>"143.3"</f>
        <v>143.3</v>
      </c>
      <c r="BJ904" t="s">
        <v>17025</v>
      </c>
      <c r="BK904" t="str">
        <f>"87.8"</f>
        <v>87.8</v>
      </c>
      <c r="BL904" t="str">
        <f>"17.72"</f>
        <v>17.72</v>
      </c>
      <c r="BM904" t="str">
        <f>"8.27"</f>
        <v>8.27</v>
      </c>
      <c r="BN904" t="str">
        <f>"105.82"</f>
        <v>105.82</v>
      </c>
      <c r="BY904" t="str">
        <f>"27.72"</f>
        <v>27.72</v>
      </c>
      <c r="BZ904" t="str">
        <f>"0.785"</f>
        <v>0.785</v>
      </c>
      <c r="CA904" t="s">
        <v>431</v>
      </c>
      <c r="CQ904" t="s">
        <v>631</v>
      </c>
      <c r="CR904" t="s">
        <v>400</v>
      </c>
      <c r="CS904">
        <v>0</v>
      </c>
      <c r="CT904" t="s">
        <v>400</v>
      </c>
      <c r="CV904">
        <v>0</v>
      </c>
      <c r="CX904" t="s">
        <v>16475</v>
      </c>
      <c r="CY904" t="s">
        <v>400</v>
      </c>
      <c r="DA904">
        <v>0</v>
      </c>
      <c r="DB904">
        <v>0</v>
      </c>
      <c r="DC904">
        <v>0</v>
      </c>
      <c r="DD904">
        <v>25000</v>
      </c>
      <c r="DK904" t="s">
        <v>17026</v>
      </c>
      <c r="DM904" t="s">
        <v>2028</v>
      </c>
      <c r="EN904">
        <v>0</v>
      </c>
      <c r="HN904" t="s">
        <v>13151</v>
      </c>
      <c r="HO904" t="s">
        <v>13151</v>
      </c>
      <c r="HP904" t="s">
        <v>3079</v>
      </c>
      <c r="HQ904" t="s">
        <v>3076</v>
      </c>
      <c r="HR904" t="s">
        <v>3248</v>
      </c>
      <c r="HS904" t="s">
        <v>17027</v>
      </c>
      <c r="HT904" t="s">
        <v>17028</v>
      </c>
      <c r="HU904" t="s">
        <v>1359</v>
      </c>
      <c r="HV904" t="s">
        <v>17027</v>
      </c>
      <c r="HW904" t="s">
        <v>2171</v>
      </c>
      <c r="HX904" t="s">
        <v>392</v>
      </c>
      <c r="HY904" t="s">
        <v>3273</v>
      </c>
      <c r="HZ904" t="s">
        <v>951</v>
      </c>
      <c r="IA904" t="s">
        <v>17029</v>
      </c>
      <c r="IB904" t="s">
        <v>3248</v>
      </c>
      <c r="IC904" t="s">
        <v>402</v>
      </c>
      <c r="ID904" t="s">
        <v>2176</v>
      </c>
      <c r="IE904" t="s">
        <v>1008</v>
      </c>
      <c r="IF904" t="s">
        <v>2177</v>
      </c>
      <c r="IG904" t="s">
        <v>2007</v>
      </c>
      <c r="IM904" t="s">
        <v>13151</v>
      </c>
      <c r="IN904" t="s">
        <v>17030</v>
      </c>
      <c r="IP904" t="s">
        <v>402</v>
      </c>
      <c r="IQ904" t="s">
        <v>3522</v>
      </c>
      <c r="IT904" t="s">
        <v>16481</v>
      </c>
      <c r="IU904" t="s">
        <v>17031</v>
      </c>
    </row>
    <row r="905" spans="1:292" x14ac:dyDescent="0.25">
      <c r="A905" t="s">
        <v>17032</v>
      </c>
      <c r="B905" t="str">
        <f>"801542965365"</f>
        <v>801542965365</v>
      </c>
      <c r="C905" t="s">
        <v>17004</v>
      </c>
      <c r="D905" t="s">
        <v>6787</v>
      </c>
      <c r="E905" t="s">
        <v>2006</v>
      </c>
      <c r="F905" t="s">
        <v>2040</v>
      </c>
      <c r="G905" t="str">
        <f>"81.75"</f>
        <v>81.75</v>
      </c>
      <c r="H905" t="str">
        <f>"86.5"</f>
        <v>86.5</v>
      </c>
      <c r="I905" t="str">
        <f>"49"</f>
        <v>49</v>
      </c>
      <c r="J905" t="str">
        <f>"246.92"</f>
        <v>246.92</v>
      </c>
      <c r="K905" t="s">
        <v>17005</v>
      </c>
      <c r="L905" t="s">
        <v>15013</v>
      </c>
      <c r="N905" t="s">
        <v>2011</v>
      </c>
      <c r="O905" t="s">
        <v>2012</v>
      </c>
      <c r="P905" t="s">
        <v>1463</v>
      </c>
      <c r="Q905" t="s">
        <v>372</v>
      </c>
      <c r="T905" t="s">
        <v>373</v>
      </c>
      <c r="U905" t="s">
        <v>402</v>
      </c>
      <c r="V905" t="s">
        <v>17006</v>
      </c>
      <c r="W905" t="s">
        <v>17007</v>
      </c>
      <c r="X905" t="s">
        <v>17008</v>
      </c>
      <c r="Y905" t="s">
        <v>17009</v>
      </c>
      <c r="Z905" t="s">
        <v>17010</v>
      </c>
      <c r="AA905" t="s">
        <v>17011</v>
      </c>
      <c r="AB905" t="s">
        <v>17013</v>
      </c>
      <c r="AC905" t="s">
        <v>17014</v>
      </c>
      <c r="AD905" t="s">
        <v>17015</v>
      </c>
      <c r="AE905" t="s">
        <v>17016</v>
      </c>
      <c r="AF905" t="s">
        <v>17017</v>
      </c>
      <c r="AG905" t="s">
        <v>17018</v>
      </c>
      <c r="AH905" t="s">
        <v>17019</v>
      </c>
      <c r="AI905" t="s">
        <v>17020</v>
      </c>
      <c r="AJ905" t="s">
        <v>17021</v>
      </c>
      <c r="AK905" t="s">
        <v>17022</v>
      </c>
      <c r="AL905" t="s">
        <v>17023</v>
      </c>
      <c r="AM905" t="s">
        <v>17024</v>
      </c>
      <c r="BA905" t="str">
        <f>"2799"</f>
        <v>2799</v>
      </c>
      <c r="BB905" t="str">
        <f>"1180"</f>
        <v>1180</v>
      </c>
      <c r="BC905" t="s">
        <v>665</v>
      </c>
      <c r="BD905" t="str">
        <f>"2"</f>
        <v>2</v>
      </c>
      <c r="BE905" t="s">
        <v>3541</v>
      </c>
      <c r="BF905" t="str">
        <f>"85.43"</f>
        <v>85.43</v>
      </c>
      <c r="BG905" t="str">
        <f>"10.83"</f>
        <v>10.83</v>
      </c>
      <c r="BH905" t="str">
        <f>"51.38"</f>
        <v>51.38</v>
      </c>
      <c r="BI905" t="str">
        <f>"154.32"</f>
        <v>154.32</v>
      </c>
      <c r="BJ905" t="s">
        <v>17025</v>
      </c>
      <c r="BK905" t="str">
        <f>"87.8"</f>
        <v>87.8</v>
      </c>
      <c r="BL905" t="str">
        <f>"22.05"</f>
        <v>22.05</v>
      </c>
      <c r="BM905" t="str">
        <f>"8.27"</f>
        <v>8.27</v>
      </c>
      <c r="BN905" t="str">
        <f>"124.56"</f>
        <v>124.56</v>
      </c>
      <c r="BY905" t="str">
        <f>"36.76"</f>
        <v>36.76</v>
      </c>
      <c r="BZ905" t="str">
        <f>"1.041"</f>
        <v>1.041</v>
      </c>
      <c r="CA905" t="s">
        <v>431</v>
      </c>
      <c r="CQ905" t="s">
        <v>631</v>
      </c>
      <c r="CR905" t="s">
        <v>400</v>
      </c>
      <c r="CS905">
        <v>0</v>
      </c>
      <c r="CT905" t="s">
        <v>400</v>
      </c>
      <c r="CV905">
        <v>0</v>
      </c>
      <c r="CX905" t="s">
        <v>16475</v>
      </c>
      <c r="CY905" t="s">
        <v>400</v>
      </c>
      <c r="DA905">
        <v>0</v>
      </c>
      <c r="DB905">
        <v>0</v>
      </c>
      <c r="DC905">
        <v>0</v>
      </c>
      <c r="DD905">
        <v>25000</v>
      </c>
      <c r="DK905" t="s">
        <v>17026</v>
      </c>
      <c r="DM905" t="s">
        <v>2028</v>
      </c>
      <c r="EN905">
        <v>0</v>
      </c>
      <c r="HN905" t="s">
        <v>13151</v>
      </c>
      <c r="HO905" t="s">
        <v>13151</v>
      </c>
      <c r="HP905" t="s">
        <v>3079</v>
      </c>
      <c r="HQ905" t="s">
        <v>3076</v>
      </c>
      <c r="HR905" t="s">
        <v>3248</v>
      </c>
      <c r="HS905" t="s">
        <v>17033</v>
      </c>
      <c r="HT905" t="s">
        <v>17028</v>
      </c>
      <c r="HU905" t="s">
        <v>1359</v>
      </c>
      <c r="HV905" t="s">
        <v>17033</v>
      </c>
      <c r="HW905" t="s">
        <v>2171</v>
      </c>
      <c r="HX905" t="s">
        <v>392</v>
      </c>
      <c r="HY905" t="s">
        <v>3255</v>
      </c>
      <c r="HZ905" t="s">
        <v>951</v>
      </c>
      <c r="IA905" t="s">
        <v>17029</v>
      </c>
      <c r="IB905" t="s">
        <v>3248</v>
      </c>
      <c r="IC905" t="s">
        <v>402</v>
      </c>
      <c r="ID905" t="s">
        <v>2176</v>
      </c>
      <c r="IE905" t="s">
        <v>1008</v>
      </c>
      <c r="IF905" t="s">
        <v>2177</v>
      </c>
      <c r="IG905" t="s">
        <v>2040</v>
      </c>
      <c r="IM905" t="s">
        <v>13151</v>
      </c>
      <c r="IN905" t="s">
        <v>17030</v>
      </c>
      <c r="IP905" t="s">
        <v>402</v>
      </c>
      <c r="IQ905" t="s">
        <v>3522</v>
      </c>
      <c r="IT905" t="s">
        <v>16481</v>
      </c>
      <c r="IU905" t="s">
        <v>17034</v>
      </c>
    </row>
    <row r="906" spans="1:292" x14ac:dyDescent="0.25">
      <c r="A906" t="s">
        <v>17035</v>
      </c>
      <c r="B906" t="str">
        <f>"801542920920"</f>
        <v>801542920920</v>
      </c>
      <c r="C906" t="s">
        <v>17036</v>
      </c>
      <c r="D906" t="s">
        <v>987</v>
      </c>
      <c r="E906" t="s">
        <v>988</v>
      </c>
      <c r="G906" t="str">
        <f>"69.5"</f>
        <v>69.5</v>
      </c>
      <c r="H906" t="str">
        <f>"20"</f>
        <v>20</v>
      </c>
      <c r="I906" t="str">
        <f>"35.25"</f>
        <v>35.25</v>
      </c>
      <c r="J906" t="str">
        <f>"278.22"</f>
        <v>278.22</v>
      </c>
      <c r="K906" t="s">
        <v>17037</v>
      </c>
      <c r="N906" t="s">
        <v>1424</v>
      </c>
      <c r="T906" t="s">
        <v>373</v>
      </c>
      <c r="U906" t="s">
        <v>373</v>
      </c>
      <c r="V906" t="s">
        <v>17038</v>
      </c>
      <c r="W906" t="s">
        <v>17039</v>
      </c>
      <c r="X906" t="s">
        <v>17040</v>
      </c>
      <c r="Y906" t="s">
        <v>17041</v>
      </c>
      <c r="Z906" t="s">
        <v>17042</v>
      </c>
      <c r="AA906" t="s">
        <v>17043</v>
      </c>
      <c r="AB906" t="s">
        <v>17044</v>
      </c>
      <c r="AC906" t="s">
        <v>17045</v>
      </c>
      <c r="AD906" t="s">
        <v>17046</v>
      </c>
      <c r="AE906" t="s">
        <v>17047</v>
      </c>
      <c r="AF906" t="s">
        <v>17048</v>
      </c>
      <c r="AG906" t="s">
        <v>17049</v>
      </c>
      <c r="AH906" t="s">
        <v>17050</v>
      </c>
      <c r="AI906" t="s">
        <v>17051</v>
      </c>
      <c r="AJ906" t="s">
        <v>17052</v>
      </c>
      <c r="BA906" t="str">
        <f>"2299"</f>
        <v>2299</v>
      </c>
      <c r="BB906" t="str">
        <f>"970"</f>
        <v>970</v>
      </c>
      <c r="BC906" t="s">
        <v>949</v>
      </c>
      <c r="BD906" t="str">
        <f>"1"</f>
        <v>1</v>
      </c>
      <c r="BE906" t="s">
        <v>389</v>
      </c>
      <c r="BF906" t="str">
        <f>"73"</f>
        <v>73</v>
      </c>
      <c r="BG906" t="str">
        <f>"24.5"</f>
        <v>24.5</v>
      </c>
      <c r="BH906" t="str">
        <f>"39.5"</f>
        <v>39.5</v>
      </c>
      <c r="BI906" t="str">
        <f>"313.71"</f>
        <v>313.71</v>
      </c>
      <c r="BY906" t="str">
        <f>"40.89"</f>
        <v>40.89</v>
      </c>
      <c r="BZ906" t="str">
        <f>"1.158"</f>
        <v>1.158</v>
      </c>
      <c r="CA906" t="s">
        <v>495</v>
      </c>
      <c r="CR906" t="s">
        <v>1007</v>
      </c>
      <c r="CS906">
        <v>6</v>
      </c>
      <c r="CT906" t="s">
        <v>400</v>
      </c>
      <c r="CV906">
        <v>0</v>
      </c>
      <c r="CX906" t="s">
        <v>953</v>
      </c>
      <c r="CY906" t="s">
        <v>1009</v>
      </c>
      <c r="DC906">
        <v>0</v>
      </c>
      <c r="DJ906" t="s">
        <v>1010</v>
      </c>
      <c r="DK906" t="s">
        <v>17053</v>
      </c>
      <c r="DM906" t="s">
        <v>473</v>
      </c>
      <c r="DX906" t="s">
        <v>1359</v>
      </c>
      <c r="EM906" t="s">
        <v>402</v>
      </c>
      <c r="EN906">
        <v>0</v>
      </c>
      <c r="FI906">
        <v>0</v>
      </c>
      <c r="FJ906" t="s">
        <v>1012</v>
      </c>
      <c r="FP906" t="s">
        <v>402</v>
      </c>
      <c r="FR906" t="s">
        <v>453</v>
      </c>
      <c r="FT906" t="s">
        <v>433</v>
      </c>
      <c r="FV906" t="s">
        <v>17054</v>
      </c>
      <c r="FX906" t="s">
        <v>4210</v>
      </c>
      <c r="FZ906" t="s">
        <v>953</v>
      </c>
    </row>
    <row r="907" spans="1:292" x14ac:dyDescent="0.25">
      <c r="A907" t="s">
        <v>17055</v>
      </c>
      <c r="B907" t="str">
        <f>"801542993054"</f>
        <v>801542993054</v>
      </c>
      <c r="C907" t="s">
        <v>17056</v>
      </c>
      <c r="D907" t="s">
        <v>1224</v>
      </c>
      <c r="E907" t="s">
        <v>1077</v>
      </c>
      <c r="G907" t="str">
        <f>"47.5"</f>
        <v>47.5</v>
      </c>
      <c r="H907" t="str">
        <f>"47.5"</f>
        <v>47.5</v>
      </c>
      <c r="I907" t="str">
        <f>"16"</f>
        <v>16</v>
      </c>
      <c r="J907" t="str">
        <f>"136.69"</f>
        <v>136.69</v>
      </c>
      <c r="K907" t="s">
        <v>17057</v>
      </c>
      <c r="L907" t="s">
        <v>460</v>
      </c>
      <c r="M907" t="s">
        <v>17058</v>
      </c>
      <c r="N907" t="s">
        <v>1324</v>
      </c>
      <c r="O907" t="s">
        <v>461</v>
      </c>
      <c r="P907" t="s">
        <v>1121</v>
      </c>
      <c r="T907" t="s">
        <v>373</v>
      </c>
      <c r="U907" t="s">
        <v>373</v>
      </c>
      <c r="V907" t="s">
        <v>17059</v>
      </c>
      <c r="W907" t="s">
        <v>17060</v>
      </c>
      <c r="X907" t="s">
        <v>17061</v>
      </c>
      <c r="Y907" t="s">
        <v>17062</v>
      </c>
      <c r="Z907" t="s">
        <v>17063</v>
      </c>
      <c r="AA907" t="s">
        <v>17064</v>
      </c>
      <c r="AB907" t="s">
        <v>17065</v>
      </c>
      <c r="AC907" t="s">
        <v>17066</v>
      </c>
      <c r="AD907" t="s">
        <v>17067</v>
      </c>
      <c r="AE907" t="s">
        <v>17068</v>
      </c>
      <c r="AF907" t="s">
        <v>17069</v>
      </c>
      <c r="AG907" t="s">
        <v>17070</v>
      </c>
      <c r="AH907" t="s">
        <v>17071</v>
      </c>
      <c r="AI907" t="s">
        <v>17072</v>
      </c>
      <c r="AJ907" t="s">
        <v>17073</v>
      </c>
      <c r="BA907" t="str">
        <f>"2599"</f>
        <v>2599</v>
      </c>
      <c r="BB907" t="str">
        <f>"1095"</f>
        <v>1095</v>
      </c>
      <c r="BC907" t="s">
        <v>1149</v>
      </c>
      <c r="BD907" t="str">
        <f>"1"</f>
        <v>1</v>
      </c>
      <c r="BE907" t="s">
        <v>389</v>
      </c>
      <c r="BF907" t="str">
        <f>"53.15"</f>
        <v>53.15</v>
      </c>
      <c r="BG907" t="str">
        <f>"52.36"</f>
        <v>52.36</v>
      </c>
      <c r="BH907" t="str">
        <f>"22.44"</f>
        <v>22.44</v>
      </c>
      <c r="BI907" t="str">
        <f>"190.26"</f>
        <v>190.26</v>
      </c>
      <c r="BY907" t="str">
        <f>"36.13"</f>
        <v>36.13</v>
      </c>
      <c r="BZ907" t="str">
        <f>"1.023"</f>
        <v>1.023</v>
      </c>
      <c r="CA907" t="s">
        <v>431</v>
      </c>
      <c r="CR907" t="s">
        <v>400</v>
      </c>
      <c r="CS907">
        <v>0</v>
      </c>
      <c r="CT907" t="s">
        <v>400</v>
      </c>
      <c r="CV907">
        <v>0</v>
      </c>
      <c r="CX907" t="s">
        <v>953</v>
      </c>
      <c r="CY907" t="s">
        <v>400</v>
      </c>
      <c r="DC907">
        <v>0</v>
      </c>
      <c r="DJ907" t="s">
        <v>471</v>
      </c>
      <c r="DK907" t="s">
        <v>17074</v>
      </c>
      <c r="DM907" t="s">
        <v>473</v>
      </c>
      <c r="EI907" t="s">
        <v>16298</v>
      </c>
      <c r="EJ907" t="s">
        <v>1355</v>
      </c>
      <c r="EK907" t="s">
        <v>16298</v>
      </c>
      <c r="EL907" t="s">
        <v>8318</v>
      </c>
      <c r="EM907" t="s">
        <v>402</v>
      </c>
      <c r="EN907">
        <v>0</v>
      </c>
      <c r="EO907">
        <v>0</v>
      </c>
      <c r="EX907" t="s">
        <v>1040</v>
      </c>
    </row>
    <row r="908" spans="1:292" x14ac:dyDescent="0.25">
      <c r="A908" t="s">
        <v>17075</v>
      </c>
      <c r="B908" t="str">
        <f>"801542960735"</f>
        <v>801542960735</v>
      </c>
      <c r="C908" t="s">
        <v>17076</v>
      </c>
      <c r="D908" t="s">
        <v>1224</v>
      </c>
      <c r="E908" t="s">
        <v>4074</v>
      </c>
      <c r="G908" t="str">
        <f>"78"</f>
        <v>78</v>
      </c>
      <c r="H908" t="str">
        <f>"18"</f>
        <v>18</v>
      </c>
      <c r="I908" t="str">
        <f>"31"</f>
        <v>31</v>
      </c>
      <c r="J908" t="str">
        <f>"144.62"</f>
        <v>144.62</v>
      </c>
      <c r="K908" t="s">
        <v>17077</v>
      </c>
      <c r="N908" t="s">
        <v>13450</v>
      </c>
      <c r="T908" t="s">
        <v>373</v>
      </c>
      <c r="U908" t="s">
        <v>373</v>
      </c>
      <c r="V908" t="s">
        <v>17078</v>
      </c>
      <c r="W908" t="s">
        <v>17079</v>
      </c>
      <c r="X908" t="s">
        <v>17080</v>
      </c>
      <c r="Y908" t="s">
        <v>17081</v>
      </c>
      <c r="Z908" t="s">
        <v>17082</v>
      </c>
      <c r="AA908" t="s">
        <v>17083</v>
      </c>
      <c r="AB908" t="s">
        <v>17084</v>
      </c>
      <c r="AC908" t="s">
        <v>17085</v>
      </c>
      <c r="AD908" t="s">
        <v>17086</v>
      </c>
      <c r="AE908" t="s">
        <v>17087</v>
      </c>
      <c r="AF908" t="s">
        <v>17088</v>
      </c>
      <c r="BA908" t="str">
        <f>"2499"</f>
        <v>2499</v>
      </c>
      <c r="BB908" t="str">
        <f>"1050"</f>
        <v>1050</v>
      </c>
      <c r="BC908" t="s">
        <v>1149</v>
      </c>
      <c r="BD908" t="str">
        <f>"2"</f>
        <v>2</v>
      </c>
      <c r="BE908" t="s">
        <v>17089</v>
      </c>
      <c r="BF908" t="str">
        <f>"85.04"</f>
        <v>85.04</v>
      </c>
      <c r="BG908" t="str">
        <f>"24.41"</f>
        <v>24.41</v>
      </c>
      <c r="BH908" t="str">
        <f>"8.27"</f>
        <v>8.27</v>
      </c>
      <c r="BI908" t="str">
        <f>"56.48"</f>
        <v>56.48</v>
      </c>
      <c r="BJ908" t="s">
        <v>17090</v>
      </c>
      <c r="BK908" t="str">
        <f>"37.8"</f>
        <v>37.8</v>
      </c>
      <c r="BL908" t="str">
        <f>"22.05"</f>
        <v>22.05</v>
      </c>
      <c r="BM908" t="str">
        <f>"35.83"</f>
        <v>35.83</v>
      </c>
      <c r="BN908" t="str">
        <f>"134.04"</f>
        <v>134.04</v>
      </c>
      <c r="BY908" t="str">
        <f>"27.19"</f>
        <v>27.19</v>
      </c>
      <c r="BZ908" t="str">
        <f>"0.77"</f>
        <v>0.77</v>
      </c>
      <c r="CA908" t="s">
        <v>431</v>
      </c>
      <c r="CR908" t="s">
        <v>400</v>
      </c>
      <c r="CS908">
        <v>0</v>
      </c>
      <c r="CT908" t="s">
        <v>400</v>
      </c>
      <c r="CV908">
        <v>0</v>
      </c>
      <c r="CX908" t="s">
        <v>953</v>
      </c>
      <c r="CY908" t="s">
        <v>400</v>
      </c>
      <c r="DC908">
        <v>0</v>
      </c>
      <c r="DJ908" t="s">
        <v>408</v>
      </c>
      <c r="DK908" t="s">
        <v>17091</v>
      </c>
      <c r="DM908" t="s">
        <v>669</v>
      </c>
      <c r="DX908" t="s">
        <v>432</v>
      </c>
      <c r="EI908" t="s">
        <v>474</v>
      </c>
      <c r="EJ908" t="s">
        <v>432</v>
      </c>
      <c r="EK908" t="s">
        <v>822</v>
      </c>
      <c r="EL908" t="s">
        <v>827</v>
      </c>
      <c r="EM908" t="s">
        <v>402</v>
      </c>
      <c r="EN908">
        <v>0</v>
      </c>
      <c r="EO908">
        <v>0</v>
      </c>
      <c r="EX908" t="s">
        <v>1510</v>
      </c>
      <c r="FI908">
        <v>0</v>
      </c>
      <c r="FJ908" t="s">
        <v>1012</v>
      </c>
      <c r="KF908" t="s">
        <v>402</v>
      </c>
    </row>
    <row r="909" spans="1:292" x14ac:dyDescent="0.25">
      <c r="A909" t="s">
        <v>17092</v>
      </c>
      <c r="B909" t="str">
        <f>"198394124409"</f>
        <v>198394124409</v>
      </c>
      <c r="C909" t="s">
        <v>17093</v>
      </c>
      <c r="D909" t="s">
        <v>16922</v>
      </c>
      <c r="E909" t="s">
        <v>2244</v>
      </c>
      <c r="G909" t="str">
        <f>"53.25"</f>
        <v>53.25</v>
      </c>
      <c r="H909" t="str">
        <f>"76.5"</f>
        <v>76.5</v>
      </c>
      <c r="I909" t="str">
        <f>"30.75"</f>
        <v>30.75</v>
      </c>
      <c r="J909" t="str">
        <f>"153.22"</f>
        <v>153.22</v>
      </c>
      <c r="K909" t="s">
        <v>17094</v>
      </c>
      <c r="L909" t="s">
        <v>17095</v>
      </c>
      <c r="N909" t="s">
        <v>912</v>
      </c>
      <c r="O909" t="s">
        <v>913</v>
      </c>
      <c r="P909" t="s">
        <v>775</v>
      </c>
      <c r="T909" t="s">
        <v>373</v>
      </c>
      <c r="U909" t="s">
        <v>402</v>
      </c>
      <c r="V909" t="s">
        <v>17096</v>
      </c>
      <c r="W909" t="s">
        <v>17097</v>
      </c>
      <c r="X909" t="s">
        <v>17098</v>
      </c>
      <c r="Y909" t="s">
        <v>17099</v>
      </c>
      <c r="Z909" t="s">
        <v>17100</v>
      </c>
      <c r="AA909" t="s">
        <v>17101</v>
      </c>
      <c r="AB909" t="s">
        <v>17102</v>
      </c>
      <c r="AC909" t="s">
        <v>17103</v>
      </c>
      <c r="AD909" t="s">
        <v>17104</v>
      </c>
      <c r="AE909" t="s">
        <v>17105</v>
      </c>
      <c r="AF909" t="s">
        <v>17106</v>
      </c>
      <c r="AG909" t="s">
        <v>17107</v>
      </c>
      <c r="AH909" t="s">
        <v>17108</v>
      </c>
      <c r="AI909" t="s">
        <v>17109</v>
      </c>
      <c r="BA909" t="str">
        <f>"2649"</f>
        <v>2649</v>
      </c>
      <c r="BB909" t="str">
        <f>"1115"</f>
        <v>1115</v>
      </c>
      <c r="BC909" t="s">
        <v>665</v>
      </c>
      <c r="BD909" t="str">
        <f t="shared" ref="BD909:BD914" si="187">"1"</f>
        <v>1</v>
      </c>
      <c r="BE909" t="s">
        <v>389</v>
      </c>
      <c r="BF909" t="str">
        <f>"54.53"</f>
        <v>54.53</v>
      </c>
      <c r="BG909" t="str">
        <f>"77.36"</f>
        <v>77.36</v>
      </c>
      <c r="BH909" t="str">
        <f>"31.38"</f>
        <v>31.38</v>
      </c>
      <c r="BI909" t="str">
        <f>"205.03"</f>
        <v>205.03</v>
      </c>
      <c r="BY909" t="str">
        <f>"76.6"</f>
        <v>76.6</v>
      </c>
      <c r="BZ909" t="str">
        <f>"2.169"</f>
        <v>2.169</v>
      </c>
      <c r="CA909" t="s">
        <v>495</v>
      </c>
      <c r="CK909" t="s">
        <v>5145</v>
      </c>
      <c r="CL909" t="s">
        <v>5804</v>
      </c>
      <c r="CM909" t="s">
        <v>17110</v>
      </c>
      <c r="CN909">
        <v>0</v>
      </c>
      <c r="CO909">
        <v>0</v>
      </c>
      <c r="CP909" t="s">
        <v>437</v>
      </c>
      <c r="CQ909" t="s">
        <v>399</v>
      </c>
      <c r="CX909" t="s">
        <v>1241</v>
      </c>
      <c r="CY909" t="s">
        <v>400</v>
      </c>
      <c r="CZ909">
        <v>0</v>
      </c>
      <c r="DD909">
        <v>50000</v>
      </c>
      <c r="DE909" t="s">
        <v>439</v>
      </c>
      <c r="DF909" t="s">
        <v>632</v>
      </c>
      <c r="DH909">
        <v>1</v>
      </c>
      <c r="DI909">
        <v>1</v>
      </c>
      <c r="DK909" t="s">
        <v>17111</v>
      </c>
      <c r="DL909">
        <v>0</v>
      </c>
      <c r="DM909" t="s">
        <v>538</v>
      </c>
      <c r="DN909" t="s">
        <v>8234</v>
      </c>
      <c r="DO909" t="s">
        <v>546</v>
      </c>
      <c r="DP909" t="s">
        <v>17112</v>
      </c>
      <c r="DT909" t="s">
        <v>2383</v>
      </c>
      <c r="DX909" t="s">
        <v>17113</v>
      </c>
      <c r="DY909" t="s">
        <v>17114</v>
      </c>
      <c r="DZ909" t="s">
        <v>17115</v>
      </c>
      <c r="EA909" t="s">
        <v>546</v>
      </c>
      <c r="EG909" t="s">
        <v>17116</v>
      </c>
      <c r="EM909" t="s">
        <v>402</v>
      </c>
      <c r="EP909" t="s">
        <v>17117</v>
      </c>
      <c r="EQ909" t="s">
        <v>17110</v>
      </c>
    </row>
    <row r="910" spans="1:292" x14ac:dyDescent="0.25">
      <c r="A910" t="s">
        <v>17118</v>
      </c>
      <c r="B910" t="str">
        <f>"801542202385"</f>
        <v>801542202385</v>
      </c>
      <c r="C910" t="s">
        <v>17119</v>
      </c>
      <c r="D910" t="s">
        <v>1224</v>
      </c>
      <c r="E910" t="s">
        <v>367</v>
      </c>
      <c r="F910" t="s">
        <v>368</v>
      </c>
      <c r="G910" t="str">
        <f>"78"</f>
        <v>78</v>
      </c>
      <c r="H910" t="str">
        <f>"20"</f>
        <v>20</v>
      </c>
      <c r="I910" t="str">
        <f>"19"</f>
        <v>19</v>
      </c>
      <c r="J910" t="str">
        <f>"69.56"</f>
        <v>69.56</v>
      </c>
      <c r="K910" t="s">
        <v>17120</v>
      </c>
      <c r="N910" t="s">
        <v>372</v>
      </c>
      <c r="T910" t="s">
        <v>373</v>
      </c>
      <c r="U910" t="s">
        <v>373</v>
      </c>
      <c r="V910" t="s">
        <v>17121</v>
      </c>
      <c r="W910" t="s">
        <v>17122</v>
      </c>
      <c r="X910" t="s">
        <v>17123</v>
      </c>
      <c r="Y910" t="s">
        <v>17124</v>
      </c>
      <c r="Z910" t="s">
        <v>17125</v>
      </c>
      <c r="AA910" t="s">
        <v>17126</v>
      </c>
      <c r="AB910" t="s">
        <v>17127</v>
      </c>
      <c r="AC910" t="s">
        <v>17128</v>
      </c>
      <c r="AD910" t="s">
        <v>17129</v>
      </c>
      <c r="AE910" t="s">
        <v>17130</v>
      </c>
      <c r="AF910" t="s">
        <v>17131</v>
      </c>
      <c r="AG910" t="s">
        <v>17132</v>
      </c>
      <c r="AH910" t="s">
        <v>17133</v>
      </c>
      <c r="AI910" t="s">
        <v>17134</v>
      </c>
      <c r="AJ910" t="s">
        <v>17135</v>
      </c>
      <c r="AK910" t="s">
        <v>17136</v>
      </c>
      <c r="AL910" t="s">
        <v>17137</v>
      </c>
      <c r="BA910" t="str">
        <f>"2099"</f>
        <v>2099</v>
      </c>
      <c r="BB910" t="str">
        <f>"885"</f>
        <v>885</v>
      </c>
      <c r="BC910" t="s">
        <v>1149</v>
      </c>
      <c r="BD910" t="str">
        <f t="shared" si="187"/>
        <v>1</v>
      </c>
      <c r="BE910" t="s">
        <v>389</v>
      </c>
      <c r="BF910" t="str">
        <f>"84.65"</f>
        <v>84.65</v>
      </c>
      <c r="BG910" t="str">
        <f>"25.2"</f>
        <v>25.2</v>
      </c>
      <c r="BH910" t="str">
        <f>"25.2"</f>
        <v>25.2</v>
      </c>
      <c r="BI910" t="str">
        <f>"118.94"</f>
        <v>118.94</v>
      </c>
      <c r="BY910" t="str">
        <f>"31.11"</f>
        <v>31.11</v>
      </c>
      <c r="BZ910" t="str">
        <f>"0.881"</f>
        <v>0.881</v>
      </c>
      <c r="CA910" t="s">
        <v>495</v>
      </c>
      <c r="CK910" t="s">
        <v>602</v>
      </c>
      <c r="CL910" t="s">
        <v>791</v>
      </c>
      <c r="CM910" t="s">
        <v>3712</v>
      </c>
      <c r="CN910">
        <v>0</v>
      </c>
      <c r="CO910">
        <v>0</v>
      </c>
      <c r="CP910" t="s">
        <v>398</v>
      </c>
      <c r="CR910" t="s">
        <v>400</v>
      </c>
      <c r="CS910">
        <v>0</v>
      </c>
      <c r="CT910" t="s">
        <v>400</v>
      </c>
      <c r="CV910">
        <v>0</v>
      </c>
      <c r="CX910" t="s">
        <v>1980</v>
      </c>
      <c r="CY910" t="s">
        <v>400</v>
      </c>
      <c r="CZ910">
        <v>0</v>
      </c>
      <c r="DA910">
        <v>0</v>
      </c>
      <c r="DB910">
        <v>0</v>
      </c>
      <c r="DC910">
        <v>0</v>
      </c>
      <c r="DE910" t="s">
        <v>405</v>
      </c>
      <c r="DH910">
        <v>0</v>
      </c>
      <c r="DI910">
        <v>3</v>
      </c>
      <c r="DJ910" t="s">
        <v>408</v>
      </c>
      <c r="DK910" t="s">
        <v>17138</v>
      </c>
      <c r="DL910">
        <v>0</v>
      </c>
      <c r="DM910" t="s">
        <v>410</v>
      </c>
      <c r="DY910" t="s">
        <v>1055</v>
      </c>
      <c r="DZ910" t="s">
        <v>3154</v>
      </c>
      <c r="EM910" t="s">
        <v>402</v>
      </c>
    </row>
    <row r="911" spans="1:292" x14ac:dyDescent="0.25">
      <c r="A911" t="s">
        <v>17139</v>
      </c>
      <c r="B911" t="str">
        <f>"801542988296"</f>
        <v>801542988296</v>
      </c>
      <c r="C911" t="s">
        <v>17140</v>
      </c>
      <c r="D911" t="s">
        <v>6787</v>
      </c>
      <c r="E911" t="s">
        <v>1021</v>
      </c>
      <c r="G911" t="str">
        <f>"84"</f>
        <v>84</v>
      </c>
      <c r="H911" t="str">
        <f>"18"</f>
        <v>18</v>
      </c>
      <c r="I911" t="str">
        <f>"28"</f>
        <v>28</v>
      </c>
      <c r="J911" t="str">
        <f>"213.85"</f>
        <v>213.85</v>
      </c>
      <c r="K911" t="s">
        <v>6704</v>
      </c>
      <c r="N911" t="s">
        <v>1463</v>
      </c>
      <c r="O911" t="s">
        <v>372</v>
      </c>
      <c r="T911" t="s">
        <v>373</v>
      </c>
      <c r="U911" t="s">
        <v>373</v>
      </c>
      <c r="V911" t="s">
        <v>17141</v>
      </c>
      <c r="W911" t="s">
        <v>17142</v>
      </c>
      <c r="X911" t="s">
        <v>17143</v>
      </c>
      <c r="Y911" t="s">
        <v>17144</v>
      </c>
      <c r="Z911" t="s">
        <v>17145</v>
      </c>
      <c r="AA911" t="s">
        <v>17146</v>
      </c>
      <c r="AB911" t="s">
        <v>17147</v>
      </c>
      <c r="AC911" t="s">
        <v>17148</v>
      </c>
      <c r="AD911" t="s">
        <v>17149</v>
      </c>
      <c r="AE911" t="s">
        <v>17150</v>
      </c>
      <c r="AF911" t="s">
        <v>17151</v>
      </c>
      <c r="AG911" t="s">
        <v>17152</v>
      </c>
      <c r="AH911" t="s">
        <v>17153</v>
      </c>
      <c r="AI911" t="s">
        <v>17154</v>
      </c>
      <c r="AJ911" t="s">
        <v>17155</v>
      </c>
      <c r="AK911" t="s">
        <v>17156</v>
      </c>
      <c r="AL911" t="s">
        <v>17157</v>
      </c>
      <c r="AM911" t="s">
        <v>17158</v>
      </c>
      <c r="BA911" t="str">
        <f>"2499"</f>
        <v>2499</v>
      </c>
      <c r="BB911" t="str">
        <f>"1050"</f>
        <v>1050</v>
      </c>
      <c r="BC911" t="s">
        <v>665</v>
      </c>
      <c r="BD911" t="str">
        <f t="shared" si="187"/>
        <v>1</v>
      </c>
      <c r="BE911" t="s">
        <v>9942</v>
      </c>
      <c r="BF911" t="str">
        <f>"89.17"</f>
        <v>89.17</v>
      </c>
      <c r="BG911" t="str">
        <f>"23.03"</f>
        <v>23.03</v>
      </c>
      <c r="BH911" t="str">
        <f>"24.21"</f>
        <v>24.21</v>
      </c>
      <c r="BI911" t="str">
        <f>"255.74"</f>
        <v>255.74</v>
      </c>
      <c r="BY911" t="str">
        <f>"28.78"</f>
        <v>28.78</v>
      </c>
      <c r="BZ911" t="str">
        <f>"0.815"</f>
        <v>0.815</v>
      </c>
      <c r="CA911" t="s">
        <v>495</v>
      </c>
      <c r="CE911" t="s">
        <v>546</v>
      </c>
      <c r="CF911" t="s">
        <v>3983</v>
      </c>
      <c r="CG911" t="s">
        <v>13600</v>
      </c>
      <c r="CR911" t="s">
        <v>1007</v>
      </c>
      <c r="CS911">
        <v>8</v>
      </c>
      <c r="CT911" t="s">
        <v>1312</v>
      </c>
      <c r="CV911">
        <v>0</v>
      </c>
      <c r="CX911" t="s">
        <v>1980</v>
      </c>
      <c r="CY911" t="s">
        <v>954</v>
      </c>
      <c r="DA911">
        <v>18.14</v>
      </c>
      <c r="DB911">
        <v>40</v>
      </c>
      <c r="DC911">
        <v>1</v>
      </c>
      <c r="DK911" t="s">
        <v>17159</v>
      </c>
      <c r="DX911" t="s">
        <v>1641</v>
      </c>
      <c r="EM911" t="s">
        <v>402</v>
      </c>
      <c r="EN911">
        <v>1</v>
      </c>
      <c r="EZ911" t="s">
        <v>1999</v>
      </c>
      <c r="FA911" t="s">
        <v>1348</v>
      </c>
      <c r="FB911" t="s">
        <v>10916</v>
      </c>
      <c r="FC911" t="s">
        <v>546</v>
      </c>
      <c r="FD911" t="s">
        <v>956</v>
      </c>
      <c r="FE911" t="s">
        <v>13600</v>
      </c>
      <c r="FG911" t="s">
        <v>402</v>
      </c>
      <c r="FH911" t="s">
        <v>6663</v>
      </c>
      <c r="FI911">
        <v>2</v>
      </c>
      <c r="FJ911" t="s">
        <v>960</v>
      </c>
      <c r="FK911" t="s">
        <v>961</v>
      </c>
      <c r="FM911" t="s">
        <v>402</v>
      </c>
      <c r="FP911" t="s">
        <v>402</v>
      </c>
      <c r="FR911" t="s">
        <v>10030</v>
      </c>
      <c r="FS911" t="s">
        <v>10030</v>
      </c>
      <c r="FT911" t="s">
        <v>2030</v>
      </c>
      <c r="FU911" t="s">
        <v>7588</v>
      </c>
      <c r="FV911" t="s">
        <v>17160</v>
      </c>
      <c r="FW911" t="s">
        <v>6227</v>
      </c>
      <c r="FX911" t="s">
        <v>1017</v>
      </c>
      <c r="FZ911" t="s">
        <v>6455</v>
      </c>
      <c r="GA911" t="s">
        <v>402</v>
      </c>
      <c r="GE911">
        <v>0</v>
      </c>
      <c r="GX911" t="s">
        <v>392</v>
      </c>
      <c r="HI911" t="s">
        <v>402</v>
      </c>
    </row>
    <row r="912" spans="1:292" x14ac:dyDescent="0.25">
      <c r="A912" t="s">
        <v>17161</v>
      </c>
      <c r="B912" t="str">
        <f>"801542991159"</f>
        <v>801542991159</v>
      </c>
      <c r="C912" t="s">
        <v>17162</v>
      </c>
      <c r="D912" t="s">
        <v>6787</v>
      </c>
      <c r="E912" t="s">
        <v>1319</v>
      </c>
      <c r="F912" t="s">
        <v>1320</v>
      </c>
      <c r="G912" t="str">
        <f>"70"</f>
        <v>70</v>
      </c>
      <c r="H912" t="str">
        <f>"30"</f>
        <v>30</v>
      </c>
      <c r="I912" t="str">
        <f>"31"</f>
        <v>31</v>
      </c>
      <c r="J912" t="str">
        <f>"180.78"</f>
        <v>180.78</v>
      </c>
      <c r="K912" t="s">
        <v>6704</v>
      </c>
      <c r="N912" t="s">
        <v>1463</v>
      </c>
      <c r="O912" t="s">
        <v>372</v>
      </c>
      <c r="T912" t="s">
        <v>373</v>
      </c>
      <c r="U912" t="s">
        <v>373</v>
      </c>
      <c r="V912" t="s">
        <v>17163</v>
      </c>
      <c r="W912" t="s">
        <v>17164</v>
      </c>
      <c r="X912" t="s">
        <v>17165</v>
      </c>
      <c r="Y912" t="s">
        <v>17166</v>
      </c>
      <c r="Z912" t="s">
        <v>17167</v>
      </c>
      <c r="AA912" t="s">
        <v>17168</v>
      </c>
      <c r="AB912" t="s">
        <v>17169</v>
      </c>
      <c r="AC912" t="s">
        <v>17170</v>
      </c>
      <c r="AD912" t="s">
        <v>17171</v>
      </c>
      <c r="AE912" t="s">
        <v>17172</v>
      </c>
      <c r="AF912" t="s">
        <v>17173</v>
      </c>
      <c r="AG912" t="s">
        <v>17174</v>
      </c>
      <c r="AH912" t="s">
        <v>17175</v>
      </c>
      <c r="AI912" t="s">
        <v>17176</v>
      </c>
      <c r="AJ912" t="s">
        <v>17177</v>
      </c>
      <c r="AK912" t="s">
        <v>17178</v>
      </c>
      <c r="AL912" t="s">
        <v>17179</v>
      </c>
      <c r="AM912" t="s">
        <v>17180</v>
      </c>
      <c r="BA912" t="str">
        <f>"2499"</f>
        <v>2499</v>
      </c>
      <c r="BB912" t="str">
        <f>"1050"</f>
        <v>1050</v>
      </c>
      <c r="BC912" t="s">
        <v>665</v>
      </c>
      <c r="BD912" t="str">
        <f t="shared" si="187"/>
        <v>1</v>
      </c>
      <c r="BE912" t="s">
        <v>9942</v>
      </c>
      <c r="BF912" t="str">
        <f>"77.76"</f>
        <v>77.76</v>
      </c>
      <c r="BG912" t="str">
        <f>"18.9"</f>
        <v>18.9</v>
      </c>
      <c r="BH912" t="str">
        <f>"37.01"</f>
        <v>37.01</v>
      </c>
      <c r="BI912" t="str">
        <f>"224.87"</f>
        <v>224.87</v>
      </c>
      <c r="BY912" t="str">
        <f>"31.47"</f>
        <v>31.47</v>
      </c>
      <c r="BZ912" t="str">
        <f>"0.891"</f>
        <v>0.891</v>
      </c>
      <c r="CA912" t="s">
        <v>495</v>
      </c>
      <c r="CR912" t="s">
        <v>1007</v>
      </c>
      <c r="CS912">
        <v>4</v>
      </c>
      <c r="CT912" t="s">
        <v>1312</v>
      </c>
      <c r="CV912">
        <v>0</v>
      </c>
      <c r="CX912" t="s">
        <v>1980</v>
      </c>
      <c r="CY912" t="s">
        <v>1009</v>
      </c>
      <c r="DC912">
        <v>0</v>
      </c>
      <c r="DJ912" t="s">
        <v>1345</v>
      </c>
      <c r="DK912" t="s">
        <v>17159</v>
      </c>
      <c r="DM912" t="s">
        <v>473</v>
      </c>
      <c r="DX912" t="s">
        <v>8454</v>
      </c>
      <c r="DY912" t="s">
        <v>9420</v>
      </c>
      <c r="DZ912" t="s">
        <v>17181</v>
      </c>
      <c r="EL912" t="s">
        <v>637</v>
      </c>
      <c r="EM912" t="s">
        <v>402</v>
      </c>
      <c r="EN912">
        <v>0</v>
      </c>
      <c r="EW912" t="s">
        <v>8454</v>
      </c>
      <c r="FI912">
        <v>0</v>
      </c>
      <c r="FJ912" t="s">
        <v>1012</v>
      </c>
      <c r="FP912" t="s">
        <v>402</v>
      </c>
      <c r="FR912" t="s">
        <v>8173</v>
      </c>
      <c r="FT912" t="s">
        <v>1358</v>
      </c>
      <c r="FV912" t="s">
        <v>17182</v>
      </c>
      <c r="FX912" t="s">
        <v>1017</v>
      </c>
      <c r="FZ912" t="s">
        <v>6455</v>
      </c>
      <c r="GA912" t="s">
        <v>402</v>
      </c>
      <c r="GE912">
        <v>0</v>
      </c>
    </row>
    <row r="913" spans="1:217" x14ac:dyDescent="0.25">
      <c r="A913" t="s">
        <v>17183</v>
      </c>
      <c r="B913" t="str">
        <f>"801542963545"</f>
        <v>801542963545</v>
      </c>
      <c r="C913" t="s">
        <v>17184</v>
      </c>
      <c r="D913" t="s">
        <v>10298</v>
      </c>
      <c r="E913" t="s">
        <v>1021</v>
      </c>
      <c r="G913" t="str">
        <f>"78"</f>
        <v>78</v>
      </c>
      <c r="H913" t="str">
        <f>"18.25"</f>
        <v>18.25</v>
      </c>
      <c r="I913" t="str">
        <f>"30"</f>
        <v>30</v>
      </c>
      <c r="J913" t="str">
        <f>"141.3"</f>
        <v>141.3</v>
      </c>
      <c r="K913" t="s">
        <v>1462</v>
      </c>
      <c r="N913" t="s">
        <v>1463</v>
      </c>
      <c r="O913" t="s">
        <v>372</v>
      </c>
      <c r="T913" t="s">
        <v>373</v>
      </c>
      <c r="U913" t="s">
        <v>373</v>
      </c>
      <c r="V913" t="s">
        <v>17185</v>
      </c>
      <c r="W913" t="s">
        <v>17186</v>
      </c>
      <c r="X913" t="s">
        <v>17187</v>
      </c>
      <c r="Y913" t="s">
        <v>17188</v>
      </c>
      <c r="Z913" t="s">
        <v>17189</v>
      </c>
      <c r="AA913" t="s">
        <v>17190</v>
      </c>
      <c r="AB913" t="s">
        <v>17191</v>
      </c>
      <c r="AC913" t="s">
        <v>17192</v>
      </c>
      <c r="AD913" t="s">
        <v>17193</v>
      </c>
      <c r="AE913" t="s">
        <v>17194</v>
      </c>
      <c r="AF913" t="s">
        <v>17195</v>
      </c>
      <c r="AG913" t="s">
        <v>17196</v>
      </c>
      <c r="AH913" t="s">
        <v>17197</v>
      </c>
      <c r="AI913" t="s">
        <v>17198</v>
      </c>
      <c r="AJ913" t="s">
        <v>17199</v>
      </c>
      <c r="AK913" t="s">
        <v>17200</v>
      </c>
      <c r="AL913" t="s">
        <v>17201</v>
      </c>
      <c r="AM913" t="s">
        <v>17202</v>
      </c>
      <c r="AN913" t="s">
        <v>17203</v>
      </c>
      <c r="BA913" t="str">
        <f>"3999"</f>
        <v>3999</v>
      </c>
      <c r="BB913" t="str">
        <f>"1680"</f>
        <v>1680</v>
      </c>
      <c r="BC913" t="s">
        <v>388</v>
      </c>
      <c r="BD913" t="str">
        <f t="shared" si="187"/>
        <v>1</v>
      </c>
      <c r="BE913" t="s">
        <v>389</v>
      </c>
      <c r="BF913" t="str">
        <f>"81.89"</f>
        <v>81.89</v>
      </c>
      <c r="BG913" t="str">
        <f>"22.83"</f>
        <v>22.83</v>
      </c>
      <c r="BH913" t="str">
        <f>"26.38"</f>
        <v>26.38</v>
      </c>
      <c r="BI913" t="str">
        <f>"162.92"</f>
        <v>162.92</v>
      </c>
      <c r="BY913" t="str">
        <f>"28.53"</f>
        <v>28.53</v>
      </c>
      <c r="BZ913" t="str">
        <f>"0.808"</f>
        <v>0.808</v>
      </c>
      <c r="CA913" t="s">
        <v>431</v>
      </c>
      <c r="CE913" t="s">
        <v>1136</v>
      </c>
      <c r="CF913" t="s">
        <v>2073</v>
      </c>
      <c r="CG913" t="s">
        <v>16114</v>
      </c>
      <c r="CR913" t="s">
        <v>400</v>
      </c>
      <c r="CS913">
        <v>0</v>
      </c>
      <c r="CT913" t="s">
        <v>400</v>
      </c>
      <c r="CV913">
        <v>0</v>
      </c>
      <c r="CX913" t="s">
        <v>403</v>
      </c>
      <c r="CY913" t="s">
        <v>954</v>
      </c>
      <c r="DA913">
        <v>18.14</v>
      </c>
      <c r="DB913">
        <v>40</v>
      </c>
      <c r="DC913">
        <v>2</v>
      </c>
      <c r="DK913" t="s">
        <v>17204</v>
      </c>
      <c r="DX913" t="s">
        <v>7700</v>
      </c>
      <c r="EM913" t="s">
        <v>402</v>
      </c>
      <c r="EN913">
        <v>2</v>
      </c>
      <c r="EZ913" t="s">
        <v>2073</v>
      </c>
      <c r="FA913" t="s">
        <v>956</v>
      </c>
      <c r="FB913" t="s">
        <v>1136</v>
      </c>
      <c r="FC913" t="s">
        <v>1136</v>
      </c>
      <c r="FD913" t="s">
        <v>956</v>
      </c>
      <c r="FE913" t="s">
        <v>16114</v>
      </c>
      <c r="FG913" t="s">
        <v>402</v>
      </c>
      <c r="FH913" t="s">
        <v>4905</v>
      </c>
      <c r="FI913">
        <v>4</v>
      </c>
      <c r="FJ913" t="s">
        <v>960</v>
      </c>
      <c r="FK913" t="s">
        <v>1611</v>
      </c>
      <c r="FM913" t="s">
        <v>402</v>
      </c>
      <c r="FO913" t="s">
        <v>984</v>
      </c>
      <c r="GB913" t="s">
        <v>1136</v>
      </c>
      <c r="GC913" t="s">
        <v>2073</v>
      </c>
      <c r="GD913" t="s">
        <v>16114</v>
      </c>
      <c r="GE913">
        <v>0</v>
      </c>
      <c r="GX913" t="s">
        <v>675</v>
      </c>
      <c r="HI913" t="s">
        <v>402</v>
      </c>
    </row>
    <row r="914" spans="1:217" x14ac:dyDescent="0.25">
      <c r="A914" t="s">
        <v>17205</v>
      </c>
      <c r="B914" t="str">
        <f>"198394015462"</f>
        <v>198394015462</v>
      </c>
      <c r="C914" t="s">
        <v>17206</v>
      </c>
      <c r="D914" t="s">
        <v>17207</v>
      </c>
      <c r="E914" t="s">
        <v>1021</v>
      </c>
      <c r="G914" t="str">
        <f>"94"</f>
        <v>94</v>
      </c>
      <c r="H914" t="str">
        <f>"21.5"</f>
        <v>21.5</v>
      </c>
      <c r="I914" t="str">
        <f>"27.25"</f>
        <v>27.25</v>
      </c>
      <c r="J914" t="str">
        <f>"272.27"</f>
        <v>272.27</v>
      </c>
      <c r="K914" t="s">
        <v>17208</v>
      </c>
      <c r="L914" t="s">
        <v>17209</v>
      </c>
      <c r="N914" t="s">
        <v>6858</v>
      </c>
      <c r="O914" t="s">
        <v>519</v>
      </c>
      <c r="T914" t="s">
        <v>373</v>
      </c>
      <c r="U914" t="s">
        <v>373</v>
      </c>
      <c r="V914" t="s">
        <v>17210</v>
      </c>
      <c r="W914" t="s">
        <v>17211</v>
      </c>
      <c r="X914" t="s">
        <v>17212</v>
      </c>
      <c r="Y914" t="s">
        <v>17213</v>
      </c>
      <c r="Z914" t="s">
        <v>17214</v>
      </c>
      <c r="AA914" t="s">
        <v>17215</v>
      </c>
      <c r="AB914" t="s">
        <v>17216</v>
      </c>
      <c r="AC914" t="s">
        <v>17217</v>
      </c>
      <c r="AD914" t="s">
        <v>17218</v>
      </c>
      <c r="AE914" t="s">
        <v>17219</v>
      </c>
      <c r="AF914" t="s">
        <v>17220</v>
      </c>
      <c r="AG914" t="s">
        <v>17221</v>
      </c>
      <c r="AH914" t="s">
        <v>17222</v>
      </c>
      <c r="AI914" t="s">
        <v>17223</v>
      </c>
      <c r="AJ914" t="s">
        <v>17224</v>
      </c>
      <c r="AK914" t="s">
        <v>17225</v>
      </c>
      <c r="BA914" t="str">
        <f>"4099"</f>
        <v>4099</v>
      </c>
      <c r="BB914" t="str">
        <f>"1725"</f>
        <v>1725</v>
      </c>
      <c r="BC914" t="s">
        <v>665</v>
      </c>
      <c r="BD914" t="str">
        <f t="shared" si="187"/>
        <v>1</v>
      </c>
      <c r="BE914" t="s">
        <v>389</v>
      </c>
      <c r="BF914" t="str">
        <f>"99.61"</f>
        <v>99.61</v>
      </c>
      <c r="BG914" t="str">
        <f>"24.02"</f>
        <v>24.02</v>
      </c>
      <c r="BH914" t="str">
        <f>"32.87"</f>
        <v>32.87</v>
      </c>
      <c r="BI914" t="str">
        <f>"319.67"</f>
        <v>319.67</v>
      </c>
      <c r="BY914" t="str">
        <f>"45.52"</f>
        <v>45.52</v>
      </c>
      <c r="BZ914" t="str">
        <f>"1.289"</f>
        <v>1.289</v>
      </c>
      <c r="CA914" t="s">
        <v>495</v>
      </c>
      <c r="CE914" t="s">
        <v>3808</v>
      </c>
      <c r="CF914" t="s">
        <v>2124</v>
      </c>
      <c r="CG914" t="s">
        <v>9598</v>
      </c>
      <c r="CR914" t="s">
        <v>5068</v>
      </c>
      <c r="CS914">
        <v>3</v>
      </c>
      <c r="CT914" t="s">
        <v>400</v>
      </c>
      <c r="CV914">
        <v>0</v>
      </c>
      <c r="CX914" t="s">
        <v>953</v>
      </c>
      <c r="CY914" t="s">
        <v>954</v>
      </c>
      <c r="DA914">
        <v>18.14</v>
      </c>
      <c r="DB914">
        <v>40</v>
      </c>
      <c r="DC914">
        <v>2</v>
      </c>
      <c r="DK914" t="s">
        <v>17226</v>
      </c>
      <c r="DX914" t="s">
        <v>395</v>
      </c>
      <c r="EM914" t="s">
        <v>402</v>
      </c>
      <c r="EN914">
        <v>2</v>
      </c>
      <c r="EZ914" t="s">
        <v>11189</v>
      </c>
      <c r="FA914" t="s">
        <v>4614</v>
      </c>
      <c r="FB914" t="s">
        <v>15790</v>
      </c>
      <c r="FC914" t="s">
        <v>3808</v>
      </c>
      <c r="FD914" t="s">
        <v>637</v>
      </c>
      <c r="FE914" t="s">
        <v>9598</v>
      </c>
      <c r="FG914" t="s">
        <v>402</v>
      </c>
      <c r="FH914" t="s">
        <v>959</v>
      </c>
      <c r="FI914">
        <v>4</v>
      </c>
      <c r="FJ914" t="s">
        <v>960</v>
      </c>
      <c r="FK914" t="s">
        <v>1611</v>
      </c>
      <c r="FM914" t="s">
        <v>402</v>
      </c>
      <c r="FO914" t="s">
        <v>984</v>
      </c>
      <c r="FP914" t="s">
        <v>402</v>
      </c>
      <c r="FR914" t="s">
        <v>13152</v>
      </c>
      <c r="FT914" t="s">
        <v>2125</v>
      </c>
      <c r="FV914" t="s">
        <v>2073</v>
      </c>
      <c r="FX914" t="s">
        <v>4210</v>
      </c>
      <c r="FZ914" t="s">
        <v>1018</v>
      </c>
      <c r="GB914" t="s">
        <v>3808</v>
      </c>
      <c r="GC914" t="s">
        <v>2124</v>
      </c>
      <c r="GD914" t="s">
        <v>9598</v>
      </c>
      <c r="GE914">
        <v>0</v>
      </c>
      <c r="GX914" t="s">
        <v>1357</v>
      </c>
      <c r="HI914" t="s">
        <v>402</v>
      </c>
    </row>
    <row r="915" spans="1:217" x14ac:dyDescent="0.25">
      <c r="A915" t="s">
        <v>17227</v>
      </c>
      <c r="B915" t="str">
        <f>"801542988302"</f>
        <v>801542988302</v>
      </c>
      <c r="C915" t="s">
        <v>17228</v>
      </c>
      <c r="D915" t="s">
        <v>6787</v>
      </c>
      <c r="E915" t="s">
        <v>1319</v>
      </c>
      <c r="F915" t="s">
        <v>3836</v>
      </c>
      <c r="G915" t="str">
        <f>"35"</f>
        <v>35</v>
      </c>
      <c r="H915" t="str">
        <f>"18"</f>
        <v>18</v>
      </c>
      <c r="I915" t="str">
        <f>"48"</f>
        <v>48</v>
      </c>
      <c r="J915" t="str">
        <f>"120.15"</f>
        <v>120.15</v>
      </c>
      <c r="K915" t="s">
        <v>6704</v>
      </c>
      <c r="N915" t="s">
        <v>1463</v>
      </c>
      <c r="O915" t="s">
        <v>372</v>
      </c>
      <c r="T915" t="s">
        <v>373</v>
      </c>
      <c r="U915" t="s">
        <v>373</v>
      </c>
      <c r="V915" t="s">
        <v>17229</v>
      </c>
      <c r="W915" t="s">
        <v>17230</v>
      </c>
      <c r="X915" t="s">
        <v>17231</v>
      </c>
      <c r="Y915" t="s">
        <v>17232</v>
      </c>
      <c r="Z915" t="s">
        <v>17233</v>
      </c>
      <c r="AA915" t="s">
        <v>17234</v>
      </c>
      <c r="AB915" t="s">
        <v>17235</v>
      </c>
      <c r="AC915" t="s">
        <v>17236</v>
      </c>
      <c r="AD915" t="s">
        <v>17237</v>
      </c>
      <c r="AE915" t="s">
        <v>17238</v>
      </c>
      <c r="AF915" t="s">
        <v>17239</v>
      </c>
      <c r="AG915" t="s">
        <v>17240</v>
      </c>
      <c r="AH915" t="s">
        <v>17241</v>
      </c>
      <c r="AI915" t="s">
        <v>17242</v>
      </c>
      <c r="AJ915" t="s">
        <v>17243</v>
      </c>
      <c r="AK915" t="s">
        <v>17244</v>
      </c>
      <c r="AL915" t="s">
        <v>17245</v>
      </c>
      <c r="AM915" t="s">
        <v>17246</v>
      </c>
      <c r="BA915" t="str">
        <f>"1799"</f>
        <v>1799</v>
      </c>
      <c r="BB915" t="str">
        <f>"760"</f>
        <v>760</v>
      </c>
      <c r="BC915" t="s">
        <v>665</v>
      </c>
      <c r="BD915" t="str">
        <f>"2"</f>
        <v>2</v>
      </c>
      <c r="BE915" t="s">
        <v>17247</v>
      </c>
      <c r="BF915" t="str">
        <f>"39.37"</f>
        <v>39.37</v>
      </c>
      <c r="BG915" t="str">
        <f>"22.83"</f>
        <v>22.83</v>
      </c>
      <c r="BH915" t="str">
        <f>"32.09"</f>
        <v>32.09</v>
      </c>
      <c r="BI915" t="str">
        <f>"132.28"</f>
        <v>132.28</v>
      </c>
      <c r="BJ915" t="s">
        <v>17248</v>
      </c>
      <c r="BK915" t="str">
        <f>"40.16"</f>
        <v>40.16</v>
      </c>
      <c r="BL915" t="str">
        <f>"23.03"</f>
        <v>23.03</v>
      </c>
      <c r="BM915" t="str">
        <f>"28.35"</f>
        <v>28.35</v>
      </c>
      <c r="BN915" t="str">
        <f>"42.99"</f>
        <v>42.99</v>
      </c>
      <c r="BY915" t="str">
        <f>"31.89"</f>
        <v>31.89</v>
      </c>
      <c r="BZ915" t="str">
        <f>"0.903"</f>
        <v>0.903</v>
      </c>
      <c r="CA915" t="s">
        <v>390</v>
      </c>
      <c r="CE915" t="s">
        <v>391</v>
      </c>
      <c r="CF915" t="s">
        <v>5832</v>
      </c>
      <c r="CG915" t="s">
        <v>17249</v>
      </c>
      <c r="CR915" t="s">
        <v>1007</v>
      </c>
      <c r="CS915">
        <v>4</v>
      </c>
      <c r="CT915" t="s">
        <v>1312</v>
      </c>
      <c r="CV915">
        <v>0</v>
      </c>
      <c r="CX915" t="s">
        <v>1980</v>
      </c>
      <c r="CY915" t="s">
        <v>954</v>
      </c>
      <c r="DC915">
        <v>0</v>
      </c>
      <c r="DJ915" t="s">
        <v>17250</v>
      </c>
      <c r="DK915" t="s">
        <v>17159</v>
      </c>
      <c r="DM915" t="s">
        <v>473</v>
      </c>
      <c r="DX915" t="s">
        <v>446</v>
      </c>
      <c r="DY915" t="s">
        <v>17251</v>
      </c>
      <c r="DZ915" t="s">
        <v>11003</v>
      </c>
      <c r="EL915" t="s">
        <v>3518</v>
      </c>
      <c r="EM915" t="s">
        <v>402</v>
      </c>
      <c r="EN915">
        <v>1</v>
      </c>
      <c r="FG915" t="s">
        <v>402</v>
      </c>
      <c r="FI915">
        <v>1</v>
      </c>
      <c r="FJ915" t="s">
        <v>960</v>
      </c>
      <c r="FK915" t="s">
        <v>961</v>
      </c>
      <c r="FP915" t="s">
        <v>402</v>
      </c>
      <c r="FR915" t="s">
        <v>10030</v>
      </c>
      <c r="FT915" t="s">
        <v>1552</v>
      </c>
      <c r="FV915" t="s">
        <v>17252</v>
      </c>
      <c r="FX915" t="s">
        <v>1017</v>
      </c>
      <c r="FZ915" t="s">
        <v>6455</v>
      </c>
      <c r="GA915" t="s">
        <v>402</v>
      </c>
      <c r="GE915">
        <v>0</v>
      </c>
    </row>
    <row r="916" spans="1:217" x14ac:dyDescent="0.25">
      <c r="A916" t="s">
        <v>17253</v>
      </c>
      <c r="B916" t="str">
        <f>"801542811792"</f>
        <v>801542811792</v>
      </c>
      <c r="C916" t="s">
        <v>17254</v>
      </c>
      <c r="D916" t="s">
        <v>1967</v>
      </c>
      <c r="E916" t="s">
        <v>459</v>
      </c>
      <c r="G916" t="str">
        <f>"17.75"</f>
        <v>17.75</v>
      </c>
      <c r="H916" t="str">
        <f>"17.75"</f>
        <v>17.75</v>
      </c>
      <c r="I916" t="str">
        <f>"21.75"</f>
        <v>21.75</v>
      </c>
      <c r="J916" t="str">
        <f>"22.05"</f>
        <v>22.05</v>
      </c>
      <c r="K916" t="s">
        <v>17255</v>
      </c>
      <c r="N916" t="s">
        <v>17256</v>
      </c>
      <c r="T916" t="s">
        <v>373</v>
      </c>
      <c r="U916" t="s">
        <v>373</v>
      </c>
      <c r="V916" t="s">
        <v>17257</v>
      </c>
      <c r="W916" t="s">
        <v>17258</v>
      </c>
      <c r="X916" t="s">
        <v>17259</v>
      </c>
      <c r="Y916" t="s">
        <v>17260</v>
      </c>
      <c r="Z916" t="s">
        <v>17261</v>
      </c>
      <c r="AA916" t="s">
        <v>17262</v>
      </c>
      <c r="AB916" t="s">
        <v>17263</v>
      </c>
      <c r="AC916" t="s">
        <v>17264</v>
      </c>
      <c r="AD916" t="s">
        <v>17265</v>
      </c>
      <c r="AE916" t="s">
        <v>17266</v>
      </c>
      <c r="AF916" t="s">
        <v>17267</v>
      </c>
      <c r="AG916" t="s">
        <v>17268</v>
      </c>
      <c r="AH916" t="s">
        <v>17269</v>
      </c>
      <c r="BA916" t="str">
        <f>"949"</f>
        <v>949</v>
      </c>
      <c r="BB916" t="str">
        <f>"400"</f>
        <v>400</v>
      </c>
      <c r="BC916" t="s">
        <v>388</v>
      </c>
      <c r="BD916" t="str">
        <f>"1"</f>
        <v>1</v>
      </c>
      <c r="BE916" t="s">
        <v>389</v>
      </c>
      <c r="BF916" t="str">
        <f>"21.06"</f>
        <v>21.06</v>
      </c>
      <c r="BG916" t="str">
        <f>"21.06"</f>
        <v>21.06</v>
      </c>
      <c r="BH916" t="str">
        <f>"26.38"</f>
        <v>26.38</v>
      </c>
      <c r="BI916" t="str">
        <f>"33.07"</f>
        <v>33.07</v>
      </c>
      <c r="BY916" t="str">
        <f>"6.78"</f>
        <v>6.78</v>
      </c>
      <c r="BZ916" t="str">
        <f>"0.192"</f>
        <v>0.192</v>
      </c>
      <c r="CA916" t="s">
        <v>431</v>
      </c>
      <c r="CR916" t="s">
        <v>400</v>
      </c>
      <c r="CS916">
        <v>0</v>
      </c>
      <c r="CT916" t="s">
        <v>400</v>
      </c>
      <c r="CV916">
        <v>0</v>
      </c>
      <c r="CX916" t="s">
        <v>1980</v>
      </c>
      <c r="CY916" t="s">
        <v>400</v>
      </c>
      <c r="DC916">
        <v>0</v>
      </c>
      <c r="DJ916" t="s">
        <v>471</v>
      </c>
      <c r="DK916" t="s">
        <v>17270</v>
      </c>
      <c r="DM916" t="s">
        <v>473</v>
      </c>
      <c r="DX916" t="s">
        <v>1348</v>
      </c>
      <c r="EI916" t="s">
        <v>1999</v>
      </c>
      <c r="EJ916" t="s">
        <v>1348</v>
      </c>
      <c r="EK916" t="s">
        <v>1999</v>
      </c>
      <c r="EL916" t="s">
        <v>750</v>
      </c>
      <c r="EM916" t="s">
        <v>402</v>
      </c>
      <c r="EN916">
        <v>0</v>
      </c>
      <c r="EO916">
        <v>0</v>
      </c>
      <c r="EX916" t="s">
        <v>392</v>
      </c>
    </row>
    <row r="917" spans="1:217" x14ac:dyDescent="0.25">
      <c r="A917" t="s">
        <v>17271</v>
      </c>
      <c r="B917" t="str">
        <f>"801542358303"</f>
        <v>801542358303</v>
      </c>
      <c r="C917" t="s">
        <v>17272</v>
      </c>
      <c r="D917" t="s">
        <v>17207</v>
      </c>
      <c r="E917" t="s">
        <v>988</v>
      </c>
      <c r="G917" t="str">
        <f>"72"</f>
        <v>72</v>
      </c>
      <c r="H917" t="str">
        <f>"21.5"</f>
        <v>21.5</v>
      </c>
      <c r="I917" t="str">
        <f>"32.25"</f>
        <v>32.25</v>
      </c>
      <c r="J917" t="str">
        <f>"306.44"</f>
        <v>306.44</v>
      </c>
      <c r="K917" t="s">
        <v>17208</v>
      </c>
      <c r="L917" t="s">
        <v>17209</v>
      </c>
      <c r="N917" t="s">
        <v>6858</v>
      </c>
      <c r="O917" t="s">
        <v>519</v>
      </c>
      <c r="T917" t="s">
        <v>373</v>
      </c>
      <c r="U917" t="s">
        <v>373</v>
      </c>
      <c r="V917" t="s">
        <v>17273</v>
      </c>
      <c r="W917" t="s">
        <v>17274</v>
      </c>
      <c r="X917" t="s">
        <v>17275</v>
      </c>
      <c r="Y917" t="s">
        <v>17276</v>
      </c>
      <c r="Z917" t="s">
        <v>17277</v>
      </c>
      <c r="AA917" t="s">
        <v>17278</v>
      </c>
      <c r="AB917" t="s">
        <v>17279</v>
      </c>
      <c r="AC917" t="s">
        <v>17280</v>
      </c>
      <c r="AD917" t="s">
        <v>17281</v>
      </c>
      <c r="AE917" t="s">
        <v>17282</v>
      </c>
      <c r="AF917" t="s">
        <v>17283</v>
      </c>
      <c r="AG917" t="s">
        <v>17284</v>
      </c>
      <c r="AH917" t="s">
        <v>17285</v>
      </c>
      <c r="AI917" t="s">
        <v>17286</v>
      </c>
      <c r="AJ917" t="s">
        <v>17287</v>
      </c>
      <c r="AK917" t="s">
        <v>17288</v>
      </c>
      <c r="AL917" t="s">
        <v>17289</v>
      </c>
      <c r="BA917" t="str">
        <f>"3299"</f>
        <v>3299</v>
      </c>
      <c r="BB917" t="str">
        <f>"1390"</f>
        <v>1390</v>
      </c>
      <c r="BC917" t="s">
        <v>665</v>
      </c>
      <c r="BD917" t="str">
        <f>"1"</f>
        <v>1</v>
      </c>
      <c r="BE917" t="s">
        <v>389</v>
      </c>
      <c r="BF917" t="str">
        <f>"77.76"</f>
        <v>77.76</v>
      </c>
      <c r="BG917" t="str">
        <f>"24.02"</f>
        <v>24.02</v>
      </c>
      <c r="BH917" t="str">
        <f>"37.8"</f>
        <v>37.8</v>
      </c>
      <c r="BI917" t="str">
        <f>"340.61"</f>
        <v>340.61</v>
      </c>
      <c r="BY917" t="str">
        <f>"40.86"</f>
        <v>40.86</v>
      </c>
      <c r="BZ917" t="str">
        <f>"1.157"</f>
        <v>1.157</v>
      </c>
      <c r="CA917" t="s">
        <v>495</v>
      </c>
      <c r="CR917" t="s">
        <v>5068</v>
      </c>
      <c r="CS917">
        <v>6</v>
      </c>
      <c r="CT917" t="s">
        <v>400</v>
      </c>
      <c r="CV917">
        <v>0</v>
      </c>
      <c r="CX917" t="s">
        <v>953</v>
      </c>
      <c r="CY917" t="s">
        <v>1009</v>
      </c>
      <c r="DC917">
        <v>0</v>
      </c>
      <c r="DJ917" t="s">
        <v>1010</v>
      </c>
      <c r="DK917" t="s">
        <v>17226</v>
      </c>
      <c r="DM917" t="s">
        <v>669</v>
      </c>
      <c r="DX917" t="s">
        <v>395</v>
      </c>
      <c r="EM917" t="s">
        <v>402</v>
      </c>
      <c r="EN917">
        <v>0</v>
      </c>
      <c r="FI917">
        <v>0</v>
      </c>
      <c r="FJ917" t="s">
        <v>1012</v>
      </c>
      <c r="FP917" t="s">
        <v>402</v>
      </c>
      <c r="FR917" t="s">
        <v>13152</v>
      </c>
      <c r="FS917" t="s">
        <v>13152</v>
      </c>
      <c r="FT917" t="s">
        <v>2072</v>
      </c>
      <c r="FU917" t="s">
        <v>2599</v>
      </c>
      <c r="FV917" t="s">
        <v>17290</v>
      </c>
      <c r="FW917" t="s">
        <v>17290</v>
      </c>
      <c r="FX917" t="s">
        <v>4210</v>
      </c>
      <c r="FZ917" t="s">
        <v>1018</v>
      </c>
    </row>
    <row r="918" spans="1:217" x14ac:dyDescent="0.25">
      <c r="A918" t="s">
        <v>17291</v>
      </c>
      <c r="B918" t="str">
        <f>"801542996550"</f>
        <v>801542996550</v>
      </c>
      <c r="C918" t="s">
        <v>17292</v>
      </c>
      <c r="D918" t="s">
        <v>17207</v>
      </c>
      <c r="E918" t="s">
        <v>930</v>
      </c>
      <c r="G918" t="str">
        <f>"94"</f>
        <v>94</v>
      </c>
      <c r="H918" t="str">
        <f>"21.5"</f>
        <v>21.5</v>
      </c>
      <c r="I918" t="str">
        <f>"32.25"</f>
        <v>32.25</v>
      </c>
      <c r="J918" t="str">
        <f>"262.35"</f>
        <v>262.35</v>
      </c>
      <c r="K918" t="s">
        <v>17208</v>
      </c>
      <c r="L918" t="s">
        <v>17209</v>
      </c>
      <c r="N918" t="s">
        <v>6858</v>
      </c>
      <c r="O918" t="s">
        <v>519</v>
      </c>
      <c r="T918" t="s">
        <v>373</v>
      </c>
      <c r="U918" t="s">
        <v>373</v>
      </c>
      <c r="V918" t="s">
        <v>17293</v>
      </c>
      <c r="W918" t="s">
        <v>17294</v>
      </c>
      <c r="X918" t="s">
        <v>17295</v>
      </c>
      <c r="Y918" t="s">
        <v>17296</v>
      </c>
      <c r="Z918" t="s">
        <v>17297</v>
      </c>
      <c r="AA918" t="s">
        <v>17298</v>
      </c>
      <c r="AB918" t="s">
        <v>17299</v>
      </c>
      <c r="AC918" t="s">
        <v>17300</v>
      </c>
      <c r="AD918" t="s">
        <v>17301</v>
      </c>
      <c r="AE918" t="s">
        <v>17302</v>
      </c>
      <c r="AF918" t="s">
        <v>17303</v>
      </c>
      <c r="AG918" t="s">
        <v>17304</v>
      </c>
      <c r="AH918" t="s">
        <v>17305</v>
      </c>
      <c r="AI918" t="s">
        <v>17306</v>
      </c>
      <c r="AJ918" t="s">
        <v>17307</v>
      </c>
      <c r="AK918" t="s">
        <v>17308</v>
      </c>
      <c r="AL918" t="s">
        <v>17309</v>
      </c>
      <c r="AM918" t="s">
        <v>17310</v>
      </c>
      <c r="BA918" t="str">
        <f>"3999"</f>
        <v>3999</v>
      </c>
      <c r="BB918" t="str">
        <f>"1680"</f>
        <v>1680</v>
      </c>
      <c r="BC918" t="s">
        <v>665</v>
      </c>
      <c r="BD918" t="str">
        <f>"1"</f>
        <v>1</v>
      </c>
      <c r="BE918" t="s">
        <v>389</v>
      </c>
      <c r="BF918" t="str">
        <f>"99.61"</f>
        <v>99.61</v>
      </c>
      <c r="BG918" t="str">
        <f>"24.41"</f>
        <v>24.41</v>
      </c>
      <c r="BH918" t="str">
        <f>"37.8"</f>
        <v>37.8</v>
      </c>
      <c r="BI918" t="str">
        <f>"341.72"</f>
        <v>341.72</v>
      </c>
      <c r="BY918" t="str">
        <f>"53.18"</f>
        <v>53.18</v>
      </c>
      <c r="BZ918" t="str">
        <f>"1.506"</f>
        <v>1.506</v>
      </c>
      <c r="CA918" t="s">
        <v>495</v>
      </c>
      <c r="CE918" t="s">
        <v>3808</v>
      </c>
      <c r="CF918" t="s">
        <v>5829</v>
      </c>
      <c r="CG918" t="s">
        <v>17311</v>
      </c>
      <c r="CR918" t="s">
        <v>400</v>
      </c>
      <c r="CS918">
        <v>0</v>
      </c>
      <c r="CT918" t="s">
        <v>400</v>
      </c>
      <c r="CV918">
        <v>0</v>
      </c>
      <c r="CX918" t="s">
        <v>953</v>
      </c>
      <c r="CY918" t="s">
        <v>954</v>
      </c>
      <c r="DA918">
        <v>18.14</v>
      </c>
      <c r="DB918">
        <v>40</v>
      </c>
      <c r="DC918">
        <v>2</v>
      </c>
      <c r="DK918" t="s">
        <v>17226</v>
      </c>
      <c r="DM918" t="s">
        <v>669</v>
      </c>
      <c r="DX918" t="s">
        <v>395</v>
      </c>
      <c r="EM918" t="s">
        <v>402</v>
      </c>
      <c r="EN918">
        <v>2</v>
      </c>
      <c r="EZ918" t="s">
        <v>17312</v>
      </c>
      <c r="FA918" t="s">
        <v>4614</v>
      </c>
      <c r="FB918" t="s">
        <v>17313</v>
      </c>
      <c r="FC918" t="s">
        <v>3808</v>
      </c>
      <c r="FD918" t="s">
        <v>637</v>
      </c>
      <c r="FE918" t="s">
        <v>17311</v>
      </c>
      <c r="FF918">
        <v>0</v>
      </c>
      <c r="FG918" t="s">
        <v>402</v>
      </c>
      <c r="FH918" t="s">
        <v>959</v>
      </c>
      <c r="FI918">
        <v>4</v>
      </c>
      <c r="FJ918" t="s">
        <v>960</v>
      </c>
      <c r="FK918" t="s">
        <v>1611</v>
      </c>
      <c r="FL918">
        <v>0</v>
      </c>
      <c r="FM918" t="s">
        <v>402</v>
      </c>
      <c r="FO918" t="s">
        <v>984</v>
      </c>
      <c r="GB918" t="s">
        <v>3808</v>
      </c>
      <c r="GC918" t="s">
        <v>5829</v>
      </c>
      <c r="GD918" t="s">
        <v>17311</v>
      </c>
      <c r="GX918" t="s">
        <v>1357</v>
      </c>
    </row>
    <row r="919" spans="1:217" x14ac:dyDescent="0.25">
      <c r="A919" t="s">
        <v>17314</v>
      </c>
      <c r="B919" t="str">
        <f>"801542273187"</f>
        <v>801542273187</v>
      </c>
      <c r="C919" t="s">
        <v>17315</v>
      </c>
      <c r="D919" t="s">
        <v>17207</v>
      </c>
      <c r="E919" t="s">
        <v>930</v>
      </c>
      <c r="G919" t="str">
        <f>"94"</f>
        <v>94</v>
      </c>
      <c r="H919" t="str">
        <f>"20.5"</f>
        <v>20.5</v>
      </c>
      <c r="I919" t="str">
        <f>"30"</f>
        <v>30</v>
      </c>
      <c r="J919" t="str">
        <f>"259.04"</f>
        <v>259.04</v>
      </c>
      <c r="K919" t="s">
        <v>17316</v>
      </c>
      <c r="L919" t="s">
        <v>17317</v>
      </c>
      <c r="N919" t="s">
        <v>1970</v>
      </c>
      <c r="O919" t="s">
        <v>372</v>
      </c>
      <c r="T919" t="s">
        <v>373</v>
      </c>
      <c r="U919" t="s">
        <v>373</v>
      </c>
      <c r="V919" t="s">
        <v>17318</v>
      </c>
      <c r="W919" t="s">
        <v>17319</v>
      </c>
      <c r="X919" t="s">
        <v>17320</v>
      </c>
      <c r="Y919" t="s">
        <v>17321</v>
      </c>
      <c r="Z919" t="s">
        <v>17322</v>
      </c>
      <c r="AA919" t="s">
        <v>17323</v>
      </c>
      <c r="AB919" t="s">
        <v>17324</v>
      </c>
      <c r="AC919" t="s">
        <v>17325</v>
      </c>
      <c r="AD919" t="s">
        <v>17326</v>
      </c>
      <c r="AE919" t="s">
        <v>17327</v>
      </c>
      <c r="AF919" t="s">
        <v>17328</v>
      </c>
      <c r="AG919" t="s">
        <v>17329</v>
      </c>
      <c r="AH919" t="s">
        <v>17330</v>
      </c>
      <c r="AI919" t="s">
        <v>17331</v>
      </c>
      <c r="AJ919" t="s">
        <v>17332</v>
      </c>
      <c r="AK919" t="s">
        <v>17333</v>
      </c>
      <c r="AL919" t="s">
        <v>17334</v>
      </c>
      <c r="BA919" t="str">
        <f>"4299"</f>
        <v>4299</v>
      </c>
      <c r="BB919" t="str">
        <f>"1810"</f>
        <v>1810</v>
      </c>
      <c r="BC919" t="s">
        <v>665</v>
      </c>
      <c r="BD919" t="str">
        <f>"1"</f>
        <v>1</v>
      </c>
      <c r="BE919" t="s">
        <v>389</v>
      </c>
      <c r="BF919" t="str">
        <f>"97.83"</f>
        <v>97.83</v>
      </c>
      <c r="BG919" t="str">
        <f>"24.21"</f>
        <v>24.21</v>
      </c>
      <c r="BH919" t="str">
        <f>"35.63"</f>
        <v>35.63</v>
      </c>
      <c r="BI919" t="str">
        <f>"328.49"</f>
        <v>328.49</v>
      </c>
      <c r="BY919" t="str">
        <f>"48.84"</f>
        <v>48.84</v>
      </c>
      <c r="BZ919" t="str">
        <f>"1.383"</f>
        <v>1.383</v>
      </c>
      <c r="CA919" t="s">
        <v>495</v>
      </c>
      <c r="CE919" t="s">
        <v>9338</v>
      </c>
      <c r="CF919" t="s">
        <v>4095</v>
      </c>
      <c r="CG919" t="s">
        <v>17335</v>
      </c>
      <c r="CR919" t="s">
        <v>400</v>
      </c>
      <c r="CS919">
        <v>0</v>
      </c>
      <c r="CT919" t="s">
        <v>400</v>
      </c>
      <c r="CV919">
        <v>0</v>
      </c>
      <c r="CX919" t="s">
        <v>953</v>
      </c>
      <c r="CY919" t="s">
        <v>954</v>
      </c>
      <c r="DA919">
        <v>18.14</v>
      </c>
      <c r="DB919">
        <v>40</v>
      </c>
      <c r="DC919">
        <v>2</v>
      </c>
      <c r="DK919" t="s">
        <v>17336</v>
      </c>
      <c r="DM919" t="s">
        <v>669</v>
      </c>
      <c r="DX919" t="s">
        <v>2030</v>
      </c>
      <c r="EM919" t="s">
        <v>402</v>
      </c>
      <c r="EN919">
        <v>2</v>
      </c>
      <c r="EZ919" t="s">
        <v>1412</v>
      </c>
      <c r="FA919" t="s">
        <v>956</v>
      </c>
      <c r="FB919" t="s">
        <v>17337</v>
      </c>
      <c r="FC919" t="s">
        <v>9338</v>
      </c>
      <c r="FD919" t="s">
        <v>637</v>
      </c>
      <c r="FE919" t="s">
        <v>17335</v>
      </c>
      <c r="FF919">
        <v>0</v>
      </c>
      <c r="FG919" t="s">
        <v>402</v>
      </c>
      <c r="FH919" t="s">
        <v>959</v>
      </c>
      <c r="FI919">
        <v>4</v>
      </c>
      <c r="FJ919" t="s">
        <v>960</v>
      </c>
      <c r="FK919" t="s">
        <v>1611</v>
      </c>
      <c r="FL919">
        <v>0</v>
      </c>
      <c r="FM919" t="s">
        <v>402</v>
      </c>
      <c r="FO919" t="s">
        <v>984</v>
      </c>
      <c r="GB919" t="s">
        <v>9338</v>
      </c>
      <c r="GD919" t="s">
        <v>17335</v>
      </c>
      <c r="GX919" t="s">
        <v>1357</v>
      </c>
      <c r="HI919" t="s">
        <v>402</v>
      </c>
    </row>
    <row r="920" spans="1:217" x14ac:dyDescent="0.25">
      <c r="A920" t="s">
        <v>17338</v>
      </c>
      <c r="B920" t="str">
        <f>"801542373191"</f>
        <v>801542373191</v>
      </c>
      <c r="C920" t="s">
        <v>17339</v>
      </c>
      <c r="D920" t="s">
        <v>17207</v>
      </c>
      <c r="E920" t="s">
        <v>4074</v>
      </c>
      <c r="G920" t="str">
        <f>"78"</f>
        <v>78</v>
      </c>
      <c r="H920" t="str">
        <f>"18"</f>
        <v>18</v>
      </c>
      <c r="I920" t="str">
        <f>"32"</f>
        <v>32</v>
      </c>
      <c r="J920" t="str">
        <f>"108.03"</f>
        <v>108.03</v>
      </c>
      <c r="K920" t="s">
        <v>17340</v>
      </c>
      <c r="N920" t="s">
        <v>1970</v>
      </c>
      <c r="O920" t="s">
        <v>519</v>
      </c>
      <c r="T920" t="s">
        <v>373</v>
      </c>
      <c r="U920" t="s">
        <v>373</v>
      </c>
      <c r="V920" t="s">
        <v>17341</v>
      </c>
      <c r="W920" t="s">
        <v>17342</v>
      </c>
      <c r="X920" t="s">
        <v>17343</v>
      </c>
      <c r="Y920" t="s">
        <v>17344</v>
      </c>
      <c r="Z920" t="s">
        <v>17345</v>
      </c>
      <c r="AA920" t="s">
        <v>17346</v>
      </c>
      <c r="AB920" t="s">
        <v>17347</v>
      </c>
      <c r="AC920" t="s">
        <v>17348</v>
      </c>
      <c r="AD920" t="s">
        <v>17349</v>
      </c>
      <c r="AE920" t="s">
        <v>17350</v>
      </c>
      <c r="AF920" t="s">
        <v>17351</v>
      </c>
      <c r="BA920" t="str">
        <f>"1899"</f>
        <v>1899</v>
      </c>
      <c r="BB920" t="str">
        <f>"800"</f>
        <v>800</v>
      </c>
      <c r="BC920" t="s">
        <v>665</v>
      </c>
      <c r="BD920" t="str">
        <f>"1"</f>
        <v>1</v>
      </c>
      <c r="BE920" t="s">
        <v>389</v>
      </c>
      <c r="BF920" t="str">
        <f>"82.68"</f>
        <v>82.68</v>
      </c>
      <c r="BG920" t="str">
        <f>"21.65"</f>
        <v>21.65</v>
      </c>
      <c r="BH920" t="str">
        <f>"13.98"</f>
        <v>13.98</v>
      </c>
      <c r="BI920" t="str">
        <f>"134.48"</f>
        <v>134.48</v>
      </c>
      <c r="BY920" t="str">
        <f>"14.48"</f>
        <v>14.48</v>
      </c>
      <c r="BZ920" t="str">
        <f>"0.41"</f>
        <v>0.41</v>
      </c>
      <c r="CA920" t="s">
        <v>495</v>
      </c>
      <c r="CR920" t="s">
        <v>400</v>
      </c>
      <c r="CS920">
        <v>0</v>
      </c>
      <c r="CT920" t="s">
        <v>400</v>
      </c>
      <c r="CV920">
        <v>0</v>
      </c>
      <c r="CX920" t="s">
        <v>953</v>
      </c>
      <c r="CY920" t="s">
        <v>400</v>
      </c>
      <c r="DC920">
        <v>0</v>
      </c>
      <c r="DJ920" t="s">
        <v>408</v>
      </c>
      <c r="DK920" t="s">
        <v>17352</v>
      </c>
      <c r="DM920" t="s">
        <v>669</v>
      </c>
      <c r="DX920" t="s">
        <v>12374</v>
      </c>
      <c r="DY920" t="s">
        <v>17353</v>
      </c>
      <c r="DZ920" t="s">
        <v>17354</v>
      </c>
      <c r="EI920" t="s">
        <v>17355</v>
      </c>
      <c r="EJ920" t="s">
        <v>12078</v>
      </c>
      <c r="EK920" t="s">
        <v>17355</v>
      </c>
      <c r="EL920" t="s">
        <v>637</v>
      </c>
      <c r="EM920" t="s">
        <v>402</v>
      </c>
      <c r="EN920">
        <v>0</v>
      </c>
      <c r="EO920">
        <v>0</v>
      </c>
      <c r="FI920">
        <v>0</v>
      </c>
      <c r="FJ920" t="s">
        <v>1012</v>
      </c>
    </row>
    <row r="921" spans="1:217" x14ac:dyDescent="0.25">
      <c r="A921" t="s">
        <v>17356</v>
      </c>
      <c r="B921" t="str">
        <f>"801542385361"</f>
        <v>801542385361</v>
      </c>
      <c r="C921" t="s">
        <v>17357</v>
      </c>
      <c r="D921" t="s">
        <v>17207</v>
      </c>
      <c r="E921" t="s">
        <v>4074</v>
      </c>
      <c r="G921" t="str">
        <f>"78"</f>
        <v>78</v>
      </c>
      <c r="H921" t="str">
        <f>"18"</f>
        <v>18</v>
      </c>
      <c r="I921" t="str">
        <f>"32"</f>
        <v>32</v>
      </c>
      <c r="J921" t="str">
        <f>"99.21"</f>
        <v>99.21</v>
      </c>
      <c r="K921" t="s">
        <v>17316</v>
      </c>
      <c r="N921" t="s">
        <v>1970</v>
      </c>
      <c r="T921" t="s">
        <v>373</v>
      </c>
      <c r="U921" t="s">
        <v>373</v>
      </c>
      <c r="V921" t="s">
        <v>17358</v>
      </c>
      <c r="W921" t="s">
        <v>17359</v>
      </c>
      <c r="X921" t="s">
        <v>17360</v>
      </c>
      <c r="Y921" t="s">
        <v>17361</v>
      </c>
      <c r="Z921" t="s">
        <v>17362</v>
      </c>
      <c r="AA921" t="s">
        <v>17363</v>
      </c>
      <c r="AB921" t="s">
        <v>17364</v>
      </c>
      <c r="AC921" t="s">
        <v>17365</v>
      </c>
      <c r="AD921" t="s">
        <v>17366</v>
      </c>
      <c r="AE921" t="s">
        <v>17367</v>
      </c>
      <c r="AF921" t="s">
        <v>17368</v>
      </c>
      <c r="AG921" t="s">
        <v>17369</v>
      </c>
      <c r="AH921" t="s">
        <v>17370</v>
      </c>
      <c r="AI921" t="s">
        <v>2775</v>
      </c>
      <c r="AJ921" t="s">
        <v>17371</v>
      </c>
      <c r="BA921" t="str">
        <f>"2999"</f>
        <v>2999</v>
      </c>
      <c r="BB921" t="str">
        <f>"1260"</f>
        <v>1260</v>
      </c>
      <c r="BC921" t="s">
        <v>665</v>
      </c>
      <c r="BD921" t="str">
        <f>"2"</f>
        <v>2</v>
      </c>
      <c r="BE921" t="s">
        <v>7586</v>
      </c>
      <c r="BF921" t="str">
        <f>"83.27"</f>
        <v>83.27</v>
      </c>
      <c r="BG921" t="str">
        <f>"5.71"</f>
        <v>5.71</v>
      </c>
      <c r="BH921" t="str">
        <f>"22.24"</f>
        <v>22.24</v>
      </c>
      <c r="BI921" t="str">
        <f>"56.22"</f>
        <v>56.22</v>
      </c>
      <c r="BJ921" t="s">
        <v>1090</v>
      </c>
      <c r="BK921" t="str">
        <f>"31.3"</f>
        <v>31.3</v>
      </c>
      <c r="BL921" t="str">
        <f>"15.75"</f>
        <v>15.75</v>
      </c>
      <c r="BM921" t="str">
        <f>"35.83"</f>
        <v>35.83</v>
      </c>
      <c r="BN921" t="str">
        <f>"76.06"</f>
        <v>76.06</v>
      </c>
      <c r="BY921" t="str">
        <f>"16.32"</f>
        <v>16.32</v>
      </c>
      <c r="BZ921" t="str">
        <f>"0.462"</f>
        <v>0.462</v>
      </c>
      <c r="CA921" t="s">
        <v>495</v>
      </c>
      <c r="CR921" t="s">
        <v>400</v>
      </c>
      <c r="CS921">
        <v>0</v>
      </c>
      <c r="CT921" t="s">
        <v>400</v>
      </c>
      <c r="CV921">
        <v>0</v>
      </c>
      <c r="CX921" t="s">
        <v>4903</v>
      </c>
      <c r="CY921" t="s">
        <v>400</v>
      </c>
      <c r="DC921">
        <v>0</v>
      </c>
      <c r="DJ921" t="s">
        <v>408</v>
      </c>
      <c r="DK921" t="s">
        <v>17336</v>
      </c>
      <c r="DM921" t="s">
        <v>669</v>
      </c>
      <c r="DX921" t="s">
        <v>17372</v>
      </c>
      <c r="DZ921" t="s">
        <v>17373</v>
      </c>
      <c r="EI921" t="s">
        <v>17374</v>
      </c>
      <c r="EJ921" t="s">
        <v>17372</v>
      </c>
      <c r="EK921" t="s">
        <v>17374</v>
      </c>
      <c r="EL921" t="s">
        <v>1357</v>
      </c>
      <c r="EM921" t="s">
        <v>402</v>
      </c>
      <c r="EN921">
        <v>0</v>
      </c>
      <c r="EO921">
        <v>0</v>
      </c>
      <c r="EX921" t="s">
        <v>17375</v>
      </c>
      <c r="FI921">
        <v>0</v>
      </c>
      <c r="FJ921" t="s">
        <v>1012</v>
      </c>
    </row>
    <row r="922" spans="1:217" x14ac:dyDescent="0.25">
      <c r="A922" t="s">
        <v>17376</v>
      </c>
      <c r="B922" t="str">
        <f>"198394119870"</f>
        <v>198394119870</v>
      </c>
      <c r="C922" t="s">
        <v>17377</v>
      </c>
      <c r="D922" t="s">
        <v>17207</v>
      </c>
      <c r="E922" t="s">
        <v>988</v>
      </c>
      <c r="G922" t="str">
        <f>"72"</f>
        <v>72</v>
      </c>
      <c r="H922" t="str">
        <f>"20.75"</f>
        <v>20.75</v>
      </c>
      <c r="I922" t="str">
        <f>"32"</f>
        <v>32</v>
      </c>
      <c r="J922" t="str">
        <f>"260.14"</f>
        <v>260.14</v>
      </c>
      <c r="K922" t="s">
        <v>17316</v>
      </c>
      <c r="L922" t="s">
        <v>17317</v>
      </c>
      <c r="N922" t="s">
        <v>1970</v>
      </c>
      <c r="O922" t="s">
        <v>372</v>
      </c>
      <c r="T922" t="s">
        <v>373</v>
      </c>
      <c r="U922" t="s">
        <v>373</v>
      </c>
      <c r="V922" t="s">
        <v>17378</v>
      </c>
      <c r="W922" t="s">
        <v>17379</v>
      </c>
      <c r="X922" t="s">
        <v>17380</v>
      </c>
      <c r="Y922" t="s">
        <v>17381</v>
      </c>
      <c r="Z922" t="s">
        <v>17382</v>
      </c>
      <c r="AA922" t="s">
        <v>17383</v>
      </c>
      <c r="AB922" t="s">
        <v>17384</v>
      </c>
      <c r="AC922" t="s">
        <v>17385</v>
      </c>
      <c r="AD922" t="s">
        <v>17386</v>
      </c>
      <c r="AE922" t="s">
        <v>17387</v>
      </c>
      <c r="AF922" t="s">
        <v>17388</v>
      </c>
      <c r="AG922" t="s">
        <v>17389</v>
      </c>
      <c r="AH922" t="s">
        <v>17390</v>
      </c>
      <c r="AI922" t="s">
        <v>17391</v>
      </c>
      <c r="BA922" t="str">
        <f>"3899"</f>
        <v>3899</v>
      </c>
      <c r="BB922" t="str">
        <f>"1640"</f>
        <v>1640</v>
      </c>
      <c r="BC922" t="s">
        <v>665</v>
      </c>
      <c r="BD922" t="str">
        <f t="shared" ref="BD922:BD951" si="188">"1"</f>
        <v>1</v>
      </c>
      <c r="BE922" t="s">
        <v>389</v>
      </c>
      <c r="BF922" t="str">
        <f>"76.18"</f>
        <v>76.18</v>
      </c>
      <c r="BG922" t="str">
        <f>"23.82"</f>
        <v>23.82</v>
      </c>
      <c r="BH922" t="str">
        <f>"37.8"</f>
        <v>37.8</v>
      </c>
      <c r="BI922" t="str">
        <f>"316.36"</f>
        <v>316.36</v>
      </c>
      <c r="BY922" t="str">
        <f>"39.69"</f>
        <v>39.69</v>
      </c>
      <c r="BZ922" t="str">
        <f>"1.124"</f>
        <v>1.124</v>
      </c>
      <c r="CA922" t="s">
        <v>495</v>
      </c>
      <c r="CR922" t="s">
        <v>5068</v>
      </c>
      <c r="CS922">
        <v>6</v>
      </c>
      <c r="CT922" t="s">
        <v>400</v>
      </c>
      <c r="CV922">
        <v>0</v>
      </c>
      <c r="CX922" t="s">
        <v>953</v>
      </c>
      <c r="CY922" t="s">
        <v>1009</v>
      </c>
      <c r="DC922">
        <v>0</v>
      </c>
      <c r="DJ922" t="s">
        <v>1010</v>
      </c>
      <c r="DK922" t="s">
        <v>17336</v>
      </c>
      <c r="DM922" t="s">
        <v>669</v>
      </c>
      <c r="DX922" t="s">
        <v>2030</v>
      </c>
      <c r="EM922" t="s">
        <v>402</v>
      </c>
      <c r="EN922">
        <v>0</v>
      </c>
      <c r="FI922">
        <v>0</v>
      </c>
      <c r="FJ922" t="s">
        <v>1012</v>
      </c>
      <c r="FP922" t="s">
        <v>402</v>
      </c>
      <c r="FR922" t="s">
        <v>13152</v>
      </c>
      <c r="FS922" t="s">
        <v>13152</v>
      </c>
      <c r="FT922" t="s">
        <v>1015</v>
      </c>
      <c r="FU922" t="s">
        <v>7923</v>
      </c>
      <c r="FV922" t="s">
        <v>17392</v>
      </c>
      <c r="FW922" t="s">
        <v>17392</v>
      </c>
      <c r="FX922" t="s">
        <v>4210</v>
      </c>
      <c r="FZ922" t="s">
        <v>1018</v>
      </c>
    </row>
    <row r="923" spans="1:217" x14ac:dyDescent="0.25">
      <c r="A923" t="s">
        <v>17393</v>
      </c>
      <c r="B923" t="str">
        <f>"801542980290"</f>
        <v>801542980290</v>
      </c>
      <c r="C923" t="s">
        <v>17394</v>
      </c>
      <c r="D923" t="s">
        <v>10298</v>
      </c>
      <c r="E923" t="s">
        <v>930</v>
      </c>
      <c r="G923" t="str">
        <f>"84"</f>
        <v>84</v>
      </c>
      <c r="H923" t="str">
        <f>"19"</f>
        <v>19</v>
      </c>
      <c r="I923" t="str">
        <f>"35"</f>
        <v>35</v>
      </c>
      <c r="J923" t="str">
        <f>"120.4"</f>
        <v>120.4</v>
      </c>
      <c r="K923" t="s">
        <v>10816</v>
      </c>
      <c r="L923" t="s">
        <v>13030</v>
      </c>
      <c r="N923" t="s">
        <v>461</v>
      </c>
      <c r="O923" t="s">
        <v>13031</v>
      </c>
      <c r="T923" t="s">
        <v>373</v>
      </c>
      <c r="U923" t="s">
        <v>373</v>
      </c>
      <c r="V923" t="s">
        <v>17395</v>
      </c>
      <c r="W923" t="s">
        <v>17396</v>
      </c>
      <c r="X923" t="s">
        <v>17397</v>
      </c>
      <c r="Y923" t="s">
        <v>17398</v>
      </c>
      <c r="Z923" t="s">
        <v>17399</v>
      </c>
      <c r="AA923" t="s">
        <v>17400</v>
      </c>
      <c r="AB923" t="s">
        <v>17401</v>
      </c>
      <c r="AC923" t="s">
        <v>17402</v>
      </c>
      <c r="AD923" t="s">
        <v>17403</v>
      </c>
      <c r="AE923" t="s">
        <v>17404</v>
      </c>
      <c r="AF923" t="s">
        <v>17405</v>
      </c>
      <c r="AG923" t="s">
        <v>17406</v>
      </c>
      <c r="AH923" t="s">
        <v>17407</v>
      </c>
      <c r="AI923" t="s">
        <v>17408</v>
      </c>
      <c r="AJ923" t="s">
        <v>17409</v>
      </c>
      <c r="AK923" t="s">
        <v>17410</v>
      </c>
      <c r="AL923" t="s">
        <v>17411</v>
      </c>
      <c r="BA923" t="str">
        <f>"3099"</f>
        <v>3099</v>
      </c>
      <c r="BB923" t="str">
        <f>"1305"</f>
        <v>1305</v>
      </c>
      <c r="BC923" t="s">
        <v>388</v>
      </c>
      <c r="BD923" t="str">
        <f t="shared" si="188"/>
        <v>1</v>
      </c>
      <c r="BE923" t="s">
        <v>389</v>
      </c>
      <c r="BF923" t="str">
        <f>"87.8"</f>
        <v>87.8</v>
      </c>
      <c r="BG923" t="str">
        <f>"23.23"</f>
        <v>23.23</v>
      </c>
      <c r="BH923" t="str">
        <f>"39.37"</f>
        <v>39.37</v>
      </c>
      <c r="BI923" t="str">
        <f>"157.41"</f>
        <v>157.41</v>
      </c>
      <c r="BY923" t="str">
        <f>"46.47"</f>
        <v>46.47</v>
      </c>
      <c r="BZ923" t="str">
        <f>"1.316"</f>
        <v>1.316</v>
      </c>
      <c r="CA923" t="s">
        <v>495</v>
      </c>
      <c r="CB923" t="s">
        <v>2122</v>
      </c>
      <c r="CC923" t="s">
        <v>956</v>
      </c>
      <c r="CD923" t="s">
        <v>3253</v>
      </c>
      <c r="CE923" t="s">
        <v>6161</v>
      </c>
      <c r="CF923" t="s">
        <v>2286</v>
      </c>
      <c r="CG923" t="s">
        <v>17412</v>
      </c>
      <c r="CR923" t="s">
        <v>400</v>
      </c>
      <c r="CS923">
        <v>0</v>
      </c>
      <c r="CT923" t="s">
        <v>400</v>
      </c>
      <c r="CV923">
        <v>1</v>
      </c>
      <c r="CW923" t="s">
        <v>402</v>
      </c>
      <c r="CX923" t="s">
        <v>403</v>
      </c>
      <c r="CY923" t="s">
        <v>954</v>
      </c>
      <c r="DA923">
        <v>18.14</v>
      </c>
      <c r="DB923">
        <v>40</v>
      </c>
      <c r="DC923">
        <v>2</v>
      </c>
      <c r="DK923" t="s">
        <v>17413</v>
      </c>
      <c r="DM923" t="s">
        <v>669</v>
      </c>
      <c r="DX923" t="s">
        <v>2030</v>
      </c>
      <c r="EM923" t="s">
        <v>402</v>
      </c>
      <c r="EN923">
        <v>3</v>
      </c>
      <c r="EZ923" t="s">
        <v>2286</v>
      </c>
      <c r="FA923" t="s">
        <v>956</v>
      </c>
      <c r="FB923" t="s">
        <v>17414</v>
      </c>
      <c r="FC923" t="s">
        <v>6161</v>
      </c>
      <c r="FD923" t="s">
        <v>1040</v>
      </c>
      <c r="FE923" t="s">
        <v>17415</v>
      </c>
      <c r="FF923">
        <v>0</v>
      </c>
      <c r="FG923" t="s">
        <v>402</v>
      </c>
      <c r="FI923">
        <v>4</v>
      </c>
      <c r="FJ923" t="s">
        <v>960</v>
      </c>
      <c r="FK923" t="s">
        <v>1246</v>
      </c>
      <c r="FL923">
        <v>0</v>
      </c>
      <c r="FM923" t="s">
        <v>402</v>
      </c>
      <c r="FO923" t="s">
        <v>984</v>
      </c>
      <c r="GB923" t="s">
        <v>6161</v>
      </c>
      <c r="GC923" t="s">
        <v>2286</v>
      </c>
      <c r="GD923" t="s">
        <v>17412</v>
      </c>
      <c r="GR923" t="s">
        <v>2122</v>
      </c>
      <c r="GT923" t="s">
        <v>3188</v>
      </c>
      <c r="GV923" t="s">
        <v>3253</v>
      </c>
      <c r="GX923" t="s">
        <v>675</v>
      </c>
      <c r="HI923" t="s">
        <v>402</v>
      </c>
    </row>
    <row r="924" spans="1:217" x14ac:dyDescent="0.25">
      <c r="A924" t="s">
        <v>17416</v>
      </c>
      <c r="B924" t="str">
        <f>"801542976880"</f>
        <v>801542976880</v>
      </c>
      <c r="C924" t="s">
        <v>17417</v>
      </c>
      <c r="D924" t="s">
        <v>17418</v>
      </c>
      <c r="E924" t="s">
        <v>17419</v>
      </c>
      <c r="F924" t="s">
        <v>17420</v>
      </c>
      <c r="G924" t="str">
        <f t="shared" ref="G924:H927" si="189">"22"</f>
        <v>22</v>
      </c>
      <c r="H924" t="str">
        <f t="shared" si="189"/>
        <v>22</v>
      </c>
      <c r="I924" t="str">
        <f>"18.5"</f>
        <v>18.5</v>
      </c>
      <c r="J924" t="str">
        <f>"13.23"</f>
        <v>13.23</v>
      </c>
      <c r="K924" t="s">
        <v>17421</v>
      </c>
      <c r="L924" t="s">
        <v>17422</v>
      </c>
      <c r="N924" t="s">
        <v>16098</v>
      </c>
      <c r="O924" t="s">
        <v>17423</v>
      </c>
      <c r="T924" t="s">
        <v>373</v>
      </c>
      <c r="U924" t="s">
        <v>373</v>
      </c>
      <c r="V924" t="s">
        <v>17424</v>
      </c>
      <c r="W924" t="s">
        <v>17425</v>
      </c>
      <c r="X924" t="s">
        <v>17426</v>
      </c>
      <c r="Y924" t="s">
        <v>17427</v>
      </c>
      <c r="Z924" t="s">
        <v>17428</v>
      </c>
      <c r="AA924" t="s">
        <v>17429</v>
      </c>
      <c r="AB924" t="s">
        <v>17430</v>
      </c>
      <c r="AC924" t="s">
        <v>17431</v>
      </c>
      <c r="BA924" t="str">
        <f>"699"</f>
        <v>699</v>
      </c>
      <c r="BB924" t="str">
        <f>"295"</f>
        <v>295</v>
      </c>
      <c r="BC924" t="s">
        <v>6158</v>
      </c>
      <c r="BD924" t="str">
        <f t="shared" si="188"/>
        <v>1</v>
      </c>
      <c r="BE924" t="s">
        <v>389</v>
      </c>
      <c r="BF924" t="str">
        <f t="shared" ref="BF924:BG927" si="190">"24.8"</f>
        <v>24.8</v>
      </c>
      <c r="BG924" t="str">
        <f t="shared" si="190"/>
        <v>24.8</v>
      </c>
      <c r="BH924" t="str">
        <f>"21.65"</f>
        <v>21.65</v>
      </c>
      <c r="BI924" t="str">
        <f>"24.91"</f>
        <v>24.91</v>
      </c>
      <c r="BY924" t="str">
        <f>"7.7"</f>
        <v>7.7</v>
      </c>
      <c r="BZ924" t="str">
        <f>"0.218"</f>
        <v>0.218</v>
      </c>
      <c r="CA924" t="s">
        <v>495</v>
      </c>
      <c r="CK924" t="s">
        <v>6907</v>
      </c>
      <c r="CL924" t="s">
        <v>17432</v>
      </c>
      <c r="CM924" t="s">
        <v>6907</v>
      </c>
      <c r="CO924">
        <v>0</v>
      </c>
      <c r="CQ924" t="s">
        <v>399</v>
      </c>
      <c r="CX924" t="s">
        <v>1980</v>
      </c>
      <c r="CY924" t="s">
        <v>400</v>
      </c>
      <c r="CZ924">
        <v>0</v>
      </c>
      <c r="DD924">
        <v>30000</v>
      </c>
      <c r="DE924" t="s">
        <v>570</v>
      </c>
      <c r="DH924">
        <v>0</v>
      </c>
      <c r="DI924">
        <v>1</v>
      </c>
      <c r="DJ924" t="s">
        <v>471</v>
      </c>
      <c r="DK924" t="s">
        <v>2399</v>
      </c>
      <c r="DL924">
        <v>0</v>
      </c>
      <c r="DM924" t="s">
        <v>538</v>
      </c>
      <c r="DX924" t="s">
        <v>1358</v>
      </c>
      <c r="EM924" t="s">
        <v>402</v>
      </c>
    </row>
    <row r="925" spans="1:217" x14ac:dyDescent="0.25">
      <c r="A925" t="s">
        <v>17433</v>
      </c>
      <c r="B925" t="str">
        <f>"801542976873"</f>
        <v>801542976873</v>
      </c>
      <c r="C925" t="s">
        <v>17434</v>
      </c>
      <c r="D925" t="s">
        <v>17418</v>
      </c>
      <c r="E925" t="s">
        <v>17419</v>
      </c>
      <c r="F925" t="s">
        <v>17420</v>
      </c>
      <c r="G925" t="str">
        <f t="shared" si="189"/>
        <v>22</v>
      </c>
      <c r="H925" t="str">
        <f t="shared" si="189"/>
        <v>22</v>
      </c>
      <c r="I925" t="str">
        <f>"18.5"</f>
        <v>18.5</v>
      </c>
      <c r="J925" t="str">
        <f>"12.57"</f>
        <v>12.57</v>
      </c>
      <c r="K925" t="s">
        <v>17435</v>
      </c>
      <c r="L925" t="s">
        <v>17436</v>
      </c>
      <c r="N925" t="s">
        <v>16098</v>
      </c>
      <c r="O925" t="s">
        <v>1121</v>
      </c>
      <c r="T925" t="s">
        <v>373</v>
      </c>
      <c r="U925" t="s">
        <v>373</v>
      </c>
      <c r="V925" t="s">
        <v>17424</v>
      </c>
      <c r="W925" t="s">
        <v>17437</v>
      </c>
      <c r="X925" t="s">
        <v>17438</v>
      </c>
      <c r="Y925" t="s">
        <v>17439</v>
      </c>
      <c r="Z925" t="s">
        <v>17440</v>
      </c>
      <c r="AA925" t="s">
        <v>17441</v>
      </c>
      <c r="AB925" t="s">
        <v>17442</v>
      </c>
      <c r="AC925" t="s">
        <v>17443</v>
      </c>
      <c r="AD925" t="s">
        <v>17444</v>
      </c>
      <c r="AE925" t="s">
        <v>17445</v>
      </c>
      <c r="AF925" t="s">
        <v>17446</v>
      </c>
      <c r="AG925" t="s">
        <v>17447</v>
      </c>
      <c r="BA925" t="str">
        <f>"699"</f>
        <v>699</v>
      </c>
      <c r="BB925" t="str">
        <f>"295"</f>
        <v>295</v>
      </c>
      <c r="BC925" t="s">
        <v>6158</v>
      </c>
      <c r="BD925" t="str">
        <f t="shared" si="188"/>
        <v>1</v>
      </c>
      <c r="BE925" t="s">
        <v>389</v>
      </c>
      <c r="BF925" t="str">
        <f t="shared" si="190"/>
        <v>24.8</v>
      </c>
      <c r="BG925" t="str">
        <f t="shared" si="190"/>
        <v>24.8</v>
      </c>
      <c r="BH925" t="str">
        <f>"21.65"</f>
        <v>21.65</v>
      </c>
      <c r="BI925" t="str">
        <f>"24.47"</f>
        <v>24.47</v>
      </c>
      <c r="BY925" t="str">
        <f>"7.7"</f>
        <v>7.7</v>
      </c>
      <c r="BZ925" t="str">
        <f>"0.218"</f>
        <v>0.218</v>
      </c>
      <c r="CA925" t="s">
        <v>495</v>
      </c>
      <c r="CK925" t="s">
        <v>6907</v>
      </c>
      <c r="CL925" t="s">
        <v>17432</v>
      </c>
      <c r="CM925" t="s">
        <v>6907</v>
      </c>
      <c r="CO925">
        <v>0</v>
      </c>
      <c r="CQ925" t="s">
        <v>399</v>
      </c>
      <c r="CX925" t="s">
        <v>1980</v>
      </c>
      <c r="CY925" t="s">
        <v>400</v>
      </c>
      <c r="CZ925">
        <v>0</v>
      </c>
      <c r="DD925">
        <v>30000</v>
      </c>
      <c r="DE925" t="s">
        <v>570</v>
      </c>
      <c r="DH925">
        <v>0</v>
      </c>
      <c r="DI925">
        <v>1</v>
      </c>
      <c r="DJ925" t="s">
        <v>471</v>
      </c>
      <c r="DK925" t="s">
        <v>2399</v>
      </c>
      <c r="DL925">
        <v>0</v>
      </c>
      <c r="DM925" t="s">
        <v>538</v>
      </c>
      <c r="DX925" t="s">
        <v>1358</v>
      </c>
      <c r="EM925" t="s">
        <v>402</v>
      </c>
    </row>
    <row r="926" spans="1:217" x14ac:dyDescent="0.25">
      <c r="A926" t="s">
        <v>17448</v>
      </c>
      <c r="B926" t="str">
        <f>"801542982294"</f>
        <v>801542982294</v>
      </c>
      <c r="C926" t="s">
        <v>17449</v>
      </c>
      <c r="D926" t="s">
        <v>17418</v>
      </c>
      <c r="E926" t="s">
        <v>17419</v>
      </c>
      <c r="F926" t="s">
        <v>17420</v>
      </c>
      <c r="G926" t="str">
        <f t="shared" si="189"/>
        <v>22</v>
      </c>
      <c r="H926" t="str">
        <f t="shared" si="189"/>
        <v>22</v>
      </c>
      <c r="I926" t="str">
        <f>"18.5"</f>
        <v>18.5</v>
      </c>
      <c r="J926" t="str">
        <f>"12.57"</f>
        <v>12.57</v>
      </c>
      <c r="K926" t="s">
        <v>17450</v>
      </c>
      <c r="L926" t="s">
        <v>17436</v>
      </c>
      <c r="N926" t="s">
        <v>17451</v>
      </c>
      <c r="O926" t="s">
        <v>1121</v>
      </c>
      <c r="T926" t="s">
        <v>373</v>
      </c>
      <c r="U926" t="s">
        <v>373</v>
      </c>
      <c r="V926" t="s">
        <v>17424</v>
      </c>
      <c r="W926" t="s">
        <v>17452</v>
      </c>
      <c r="X926" t="s">
        <v>17453</v>
      </c>
      <c r="Y926" t="s">
        <v>17454</v>
      </c>
      <c r="Z926" t="s">
        <v>17455</v>
      </c>
      <c r="AA926" t="s">
        <v>17456</v>
      </c>
      <c r="AB926" t="s">
        <v>17457</v>
      </c>
      <c r="AC926" t="s">
        <v>17458</v>
      </c>
      <c r="AD926" t="s">
        <v>17459</v>
      </c>
      <c r="AE926" t="s">
        <v>17460</v>
      </c>
      <c r="AF926" t="s">
        <v>17461</v>
      </c>
      <c r="AG926" t="s">
        <v>17462</v>
      </c>
      <c r="BA926" t="str">
        <f>"599"</f>
        <v>599</v>
      </c>
      <c r="BB926" t="str">
        <f>"255"</f>
        <v>255</v>
      </c>
      <c r="BC926" t="s">
        <v>6158</v>
      </c>
      <c r="BD926" t="str">
        <f t="shared" si="188"/>
        <v>1</v>
      </c>
      <c r="BE926" t="s">
        <v>389</v>
      </c>
      <c r="BF926" t="str">
        <f t="shared" si="190"/>
        <v>24.8</v>
      </c>
      <c r="BG926" t="str">
        <f t="shared" si="190"/>
        <v>24.8</v>
      </c>
      <c r="BH926" t="str">
        <f>"21.65"</f>
        <v>21.65</v>
      </c>
      <c r="BI926" t="str">
        <f>"24.47"</f>
        <v>24.47</v>
      </c>
      <c r="BY926" t="str">
        <f>"7.7"</f>
        <v>7.7</v>
      </c>
      <c r="BZ926" t="str">
        <f>"0.218"</f>
        <v>0.218</v>
      </c>
      <c r="CA926" t="s">
        <v>495</v>
      </c>
      <c r="CK926" t="s">
        <v>6907</v>
      </c>
      <c r="CL926" t="s">
        <v>17432</v>
      </c>
      <c r="CM926" t="s">
        <v>6907</v>
      </c>
      <c r="CO926">
        <v>0</v>
      </c>
      <c r="CQ926" t="s">
        <v>399</v>
      </c>
      <c r="CX926" t="s">
        <v>1980</v>
      </c>
      <c r="CY926" t="s">
        <v>400</v>
      </c>
      <c r="CZ926">
        <v>0</v>
      </c>
      <c r="DD926">
        <v>35000</v>
      </c>
      <c r="DE926" t="s">
        <v>570</v>
      </c>
      <c r="DH926">
        <v>0</v>
      </c>
      <c r="DI926">
        <v>1</v>
      </c>
      <c r="DJ926" t="s">
        <v>471</v>
      </c>
      <c r="DK926" t="s">
        <v>2399</v>
      </c>
      <c r="DL926">
        <v>0</v>
      </c>
      <c r="DM926" t="s">
        <v>538</v>
      </c>
      <c r="DX926" t="s">
        <v>1358</v>
      </c>
      <c r="EM926" t="s">
        <v>402</v>
      </c>
    </row>
    <row r="927" spans="1:217" x14ac:dyDescent="0.25">
      <c r="A927" t="s">
        <v>17463</v>
      </c>
      <c r="B927" t="str">
        <f>"801542982300"</f>
        <v>801542982300</v>
      </c>
      <c r="C927" t="s">
        <v>17464</v>
      </c>
      <c r="D927" t="s">
        <v>17418</v>
      </c>
      <c r="E927" t="s">
        <v>17419</v>
      </c>
      <c r="F927" t="s">
        <v>17420</v>
      </c>
      <c r="G927" t="str">
        <f t="shared" si="189"/>
        <v>22</v>
      </c>
      <c r="H927" t="str">
        <f t="shared" si="189"/>
        <v>22</v>
      </c>
      <c r="I927" t="str">
        <f>"18.5"</f>
        <v>18.5</v>
      </c>
      <c r="J927" t="str">
        <f>"13.23"</f>
        <v>13.23</v>
      </c>
      <c r="K927" t="s">
        <v>17465</v>
      </c>
      <c r="L927" t="s">
        <v>17466</v>
      </c>
      <c r="N927" t="s">
        <v>17451</v>
      </c>
      <c r="O927" t="s">
        <v>17423</v>
      </c>
      <c r="T927" t="s">
        <v>373</v>
      </c>
      <c r="U927" t="s">
        <v>373</v>
      </c>
      <c r="V927" t="s">
        <v>17424</v>
      </c>
      <c r="W927" t="s">
        <v>17467</v>
      </c>
      <c r="X927" t="s">
        <v>17468</v>
      </c>
      <c r="Y927" t="s">
        <v>17469</v>
      </c>
      <c r="Z927" t="s">
        <v>17470</v>
      </c>
      <c r="AA927" t="s">
        <v>17471</v>
      </c>
      <c r="AB927" t="s">
        <v>17472</v>
      </c>
      <c r="AC927" t="s">
        <v>17473</v>
      </c>
      <c r="AD927" t="s">
        <v>17474</v>
      </c>
      <c r="AE927" t="s">
        <v>17475</v>
      </c>
      <c r="AF927" t="s">
        <v>17476</v>
      </c>
      <c r="AG927" t="s">
        <v>17477</v>
      </c>
      <c r="AH927" t="s">
        <v>17478</v>
      </c>
      <c r="BA927" t="str">
        <f>"599"</f>
        <v>599</v>
      </c>
      <c r="BB927" t="str">
        <f>"255"</f>
        <v>255</v>
      </c>
      <c r="BC927" t="s">
        <v>6158</v>
      </c>
      <c r="BD927" t="str">
        <f t="shared" si="188"/>
        <v>1</v>
      </c>
      <c r="BE927" t="s">
        <v>389</v>
      </c>
      <c r="BF927" t="str">
        <f t="shared" si="190"/>
        <v>24.8</v>
      </c>
      <c r="BG927" t="str">
        <f t="shared" si="190"/>
        <v>24.8</v>
      </c>
      <c r="BH927" t="str">
        <f>"21.65"</f>
        <v>21.65</v>
      </c>
      <c r="BI927" t="str">
        <f>"24.91"</f>
        <v>24.91</v>
      </c>
      <c r="BY927" t="str">
        <f>"7.7"</f>
        <v>7.7</v>
      </c>
      <c r="BZ927" t="str">
        <f>"0.218"</f>
        <v>0.218</v>
      </c>
      <c r="CA927" t="s">
        <v>431</v>
      </c>
      <c r="CK927" t="s">
        <v>6907</v>
      </c>
      <c r="CL927" t="s">
        <v>17432</v>
      </c>
      <c r="CM927" t="s">
        <v>6907</v>
      </c>
      <c r="CO927">
        <v>0</v>
      </c>
      <c r="CQ927" t="s">
        <v>399</v>
      </c>
      <c r="CX927" t="s">
        <v>1980</v>
      </c>
      <c r="CY927" t="s">
        <v>400</v>
      </c>
      <c r="CZ927">
        <v>0</v>
      </c>
      <c r="DD927">
        <v>35000</v>
      </c>
      <c r="DE927" t="s">
        <v>570</v>
      </c>
      <c r="DH927">
        <v>0</v>
      </c>
      <c r="DI927">
        <v>1</v>
      </c>
      <c r="DJ927" t="s">
        <v>471</v>
      </c>
      <c r="DK927" t="s">
        <v>2399</v>
      </c>
      <c r="DL927">
        <v>0</v>
      </c>
      <c r="DM927" t="s">
        <v>538</v>
      </c>
      <c r="DX927" t="s">
        <v>1358</v>
      </c>
      <c r="EM927" t="s">
        <v>402</v>
      </c>
    </row>
    <row r="928" spans="1:217" x14ac:dyDescent="0.25">
      <c r="A928" t="s">
        <v>17479</v>
      </c>
      <c r="B928" t="str">
        <f>"801542962913"</f>
        <v>801542962913</v>
      </c>
      <c r="C928" t="s">
        <v>17480</v>
      </c>
      <c r="D928" t="s">
        <v>1420</v>
      </c>
      <c r="E928" t="s">
        <v>3813</v>
      </c>
      <c r="G928" t="str">
        <f>"60"</f>
        <v>60</v>
      </c>
      <c r="H928" t="str">
        <f>"18"</f>
        <v>18</v>
      </c>
      <c r="I928" t="str">
        <f>"84"</f>
        <v>84</v>
      </c>
      <c r="J928" t="str">
        <f>"207.23"</f>
        <v>207.23</v>
      </c>
      <c r="K928" t="s">
        <v>15013</v>
      </c>
      <c r="N928" t="s">
        <v>1463</v>
      </c>
      <c r="O928" t="s">
        <v>372</v>
      </c>
      <c r="T928" t="s">
        <v>373</v>
      </c>
      <c r="U928" t="s">
        <v>373</v>
      </c>
      <c r="V928" t="s">
        <v>17481</v>
      </c>
      <c r="W928" t="s">
        <v>17482</v>
      </c>
      <c r="X928" t="s">
        <v>17483</v>
      </c>
      <c r="Y928" t="s">
        <v>17484</v>
      </c>
      <c r="Z928" t="s">
        <v>17485</v>
      </c>
      <c r="AA928" t="s">
        <v>17486</v>
      </c>
      <c r="AB928" t="s">
        <v>17487</v>
      </c>
      <c r="AC928" t="s">
        <v>17488</v>
      </c>
      <c r="AD928" t="s">
        <v>17489</v>
      </c>
      <c r="AE928" t="s">
        <v>17490</v>
      </c>
      <c r="AF928" t="s">
        <v>17491</v>
      </c>
      <c r="AG928" t="s">
        <v>17492</v>
      </c>
      <c r="AH928" t="s">
        <v>17493</v>
      </c>
      <c r="AI928" t="s">
        <v>16278</v>
      </c>
      <c r="BA928" t="str">
        <f>"3199"</f>
        <v>3199</v>
      </c>
      <c r="BB928" t="str">
        <f>"1345"</f>
        <v>1345</v>
      </c>
      <c r="BC928" t="s">
        <v>665</v>
      </c>
      <c r="BD928" t="str">
        <f t="shared" si="188"/>
        <v>1</v>
      </c>
      <c r="BE928" t="s">
        <v>6522</v>
      </c>
      <c r="BF928" t="str">
        <f>"66.54"</f>
        <v>66.54</v>
      </c>
      <c r="BG928" t="str">
        <f>"23.43"</f>
        <v>23.43</v>
      </c>
      <c r="BH928" t="str">
        <f>"92.52"</f>
        <v>92.52</v>
      </c>
      <c r="BI928" t="str">
        <f>"272.27"</f>
        <v>272.27</v>
      </c>
      <c r="BY928" t="str">
        <f>"83.45"</f>
        <v>83.45</v>
      </c>
      <c r="BZ928" t="str">
        <f>"2.363"</f>
        <v>2.363</v>
      </c>
      <c r="CA928" t="s">
        <v>495</v>
      </c>
      <c r="CB928" t="s">
        <v>2595</v>
      </c>
      <c r="CC928" t="s">
        <v>1350</v>
      </c>
      <c r="CD928" t="s">
        <v>17494</v>
      </c>
      <c r="CE928" t="s">
        <v>2595</v>
      </c>
      <c r="CF928" t="s">
        <v>17495</v>
      </c>
      <c r="CG928" t="s">
        <v>17494</v>
      </c>
      <c r="CR928" t="s">
        <v>400</v>
      </c>
      <c r="CS928">
        <v>0</v>
      </c>
      <c r="CT928" t="s">
        <v>400</v>
      </c>
      <c r="CV928">
        <v>4</v>
      </c>
      <c r="CW928" t="s">
        <v>402</v>
      </c>
      <c r="CX928" t="s">
        <v>1241</v>
      </c>
      <c r="CY928" t="s">
        <v>404</v>
      </c>
      <c r="DA928">
        <v>18.14</v>
      </c>
      <c r="DB928">
        <v>40</v>
      </c>
      <c r="DC928">
        <v>0</v>
      </c>
      <c r="DJ928" t="s">
        <v>5762</v>
      </c>
      <c r="DK928" t="s">
        <v>17496</v>
      </c>
      <c r="DX928" t="s">
        <v>3079</v>
      </c>
      <c r="EM928" t="s">
        <v>402</v>
      </c>
      <c r="EN928">
        <v>4</v>
      </c>
      <c r="FI928">
        <v>0</v>
      </c>
      <c r="FJ928" t="s">
        <v>1012</v>
      </c>
      <c r="GB928" t="s">
        <v>2595</v>
      </c>
      <c r="GC928" t="s">
        <v>453</v>
      </c>
      <c r="GD928" t="s">
        <v>17494</v>
      </c>
      <c r="GR928" t="s">
        <v>2595</v>
      </c>
      <c r="GS928" t="s">
        <v>2595</v>
      </c>
      <c r="GT928" t="s">
        <v>453</v>
      </c>
      <c r="GU928" t="s">
        <v>453</v>
      </c>
      <c r="GV928" t="s">
        <v>17494</v>
      </c>
      <c r="GW928" t="s">
        <v>17494</v>
      </c>
      <c r="HH928" t="s">
        <v>402</v>
      </c>
    </row>
    <row r="929" spans="1:297" x14ac:dyDescent="0.25">
      <c r="A929" t="s">
        <v>17497</v>
      </c>
      <c r="B929" t="str">
        <f>"198394015479"</f>
        <v>198394015479</v>
      </c>
      <c r="C929" t="s">
        <v>17498</v>
      </c>
      <c r="D929" t="s">
        <v>6787</v>
      </c>
      <c r="E929" t="s">
        <v>930</v>
      </c>
      <c r="G929" t="str">
        <f>"82"</f>
        <v>82</v>
      </c>
      <c r="H929" t="str">
        <f>"20"</f>
        <v>20</v>
      </c>
      <c r="I929" t="str">
        <f>"34.75"</f>
        <v>34.75</v>
      </c>
      <c r="J929" t="str">
        <f>"203.93"</f>
        <v>203.93</v>
      </c>
      <c r="K929" t="s">
        <v>11031</v>
      </c>
      <c r="N929" t="s">
        <v>1463</v>
      </c>
      <c r="O929" t="s">
        <v>372</v>
      </c>
      <c r="T929" t="s">
        <v>373</v>
      </c>
      <c r="U929" t="s">
        <v>373</v>
      </c>
      <c r="V929" t="s">
        <v>17499</v>
      </c>
      <c r="W929" t="s">
        <v>17500</v>
      </c>
      <c r="X929" t="s">
        <v>17501</v>
      </c>
      <c r="Y929" t="s">
        <v>17502</v>
      </c>
      <c r="Z929" t="s">
        <v>17503</v>
      </c>
      <c r="AA929" t="s">
        <v>17504</v>
      </c>
      <c r="AB929" t="s">
        <v>17505</v>
      </c>
      <c r="AC929" t="s">
        <v>17506</v>
      </c>
      <c r="AD929" t="s">
        <v>17507</v>
      </c>
      <c r="AE929" t="s">
        <v>17508</v>
      </c>
      <c r="AF929" t="s">
        <v>17509</v>
      </c>
      <c r="AG929" t="s">
        <v>17510</v>
      </c>
      <c r="AH929" t="s">
        <v>17511</v>
      </c>
      <c r="AI929" t="s">
        <v>17512</v>
      </c>
      <c r="AJ929" t="s">
        <v>17513</v>
      </c>
      <c r="AK929" t="s">
        <v>17514</v>
      </c>
      <c r="AL929" t="s">
        <v>17515</v>
      </c>
      <c r="AM929" t="s">
        <v>17516</v>
      </c>
      <c r="BA929" t="str">
        <f>"2699"</f>
        <v>2699</v>
      </c>
      <c r="BB929" t="str">
        <f>"1135"</f>
        <v>1135</v>
      </c>
      <c r="BC929" t="s">
        <v>665</v>
      </c>
      <c r="BD929" t="str">
        <f t="shared" si="188"/>
        <v>1</v>
      </c>
      <c r="BE929" t="s">
        <v>9942</v>
      </c>
      <c r="BF929" t="str">
        <f>"87.4"</f>
        <v>87.4</v>
      </c>
      <c r="BG929" t="str">
        <f>"24.61"</f>
        <v>24.61</v>
      </c>
      <c r="BH929" t="str">
        <f>"35.43"</f>
        <v>35.43</v>
      </c>
      <c r="BI929" t="str">
        <f>"249.12"</f>
        <v>249.12</v>
      </c>
      <c r="BY929" t="str">
        <f>"44.11"</f>
        <v>44.11</v>
      </c>
      <c r="BZ929" t="str">
        <f>"1.249"</f>
        <v>1.249</v>
      </c>
      <c r="CA929" t="s">
        <v>431</v>
      </c>
      <c r="CE929" t="s">
        <v>2122</v>
      </c>
      <c r="CF929" t="s">
        <v>17517</v>
      </c>
      <c r="CG929" t="s">
        <v>15031</v>
      </c>
      <c r="CR929" t="s">
        <v>400</v>
      </c>
      <c r="CS929">
        <v>0</v>
      </c>
      <c r="CT929" t="s">
        <v>400</v>
      </c>
      <c r="CV929">
        <v>0</v>
      </c>
      <c r="CX929" t="s">
        <v>403</v>
      </c>
      <c r="CY929" t="s">
        <v>954</v>
      </c>
      <c r="DA929">
        <v>18.14</v>
      </c>
      <c r="DB929">
        <v>40</v>
      </c>
      <c r="DC929">
        <v>2</v>
      </c>
      <c r="DK929" t="s">
        <v>17518</v>
      </c>
      <c r="DM929" t="s">
        <v>669</v>
      </c>
      <c r="DX929" t="s">
        <v>5070</v>
      </c>
      <c r="EM929" t="s">
        <v>402</v>
      </c>
      <c r="EN929">
        <v>2</v>
      </c>
      <c r="EZ929" t="s">
        <v>2598</v>
      </c>
      <c r="FA929" t="s">
        <v>3518</v>
      </c>
      <c r="FB929" t="s">
        <v>17519</v>
      </c>
      <c r="FC929" t="s">
        <v>2122</v>
      </c>
      <c r="FD929" t="s">
        <v>4614</v>
      </c>
      <c r="FE929" t="s">
        <v>15031</v>
      </c>
      <c r="FF929">
        <v>0</v>
      </c>
      <c r="FG929" t="s">
        <v>402</v>
      </c>
      <c r="FH929" t="s">
        <v>6663</v>
      </c>
      <c r="FI929">
        <v>4</v>
      </c>
      <c r="FJ929" t="s">
        <v>960</v>
      </c>
      <c r="FK929" t="s">
        <v>961</v>
      </c>
      <c r="FL929">
        <v>0</v>
      </c>
      <c r="FM929" t="s">
        <v>402</v>
      </c>
      <c r="FO929" t="s">
        <v>984</v>
      </c>
      <c r="GB929" t="s">
        <v>2122</v>
      </c>
      <c r="GD929" t="s">
        <v>15031</v>
      </c>
      <c r="GX929" t="s">
        <v>1357</v>
      </c>
      <c r="HI929" t="s">
        <v>402</v>
      </c>
    </row>
    <row r="930" spans="1:297" x14ac:dyDescent="0.25">
      <c r="A930" t="s">
        <v>17520</v>
      </c>
      <c r="B930" t="str">
        <f>"801542970765"</f>
        <v>801542970765</v>
      </c>
      <c r="C930" t="s">
        <v>17521</v>
      </c>
      <c r="D930" t="s">
        <v>15654</v>
      </c>
      <c r="E930" t="s">
        <v>930</v>
      </c>
      <c r="G930" t="str">
        <f>"82"</f>
        <v>82</v>
      </c>
      <c r="H930" t="str">
        <f>"19"</f>
        <v>19</v>
      </c>
      <c r="I930" t="str">
        <f>"34.75"</f>
        <v>34.75</v>
      </c>
      <c r="J930" t="str">
        <f>"268.96"</f>
        <v>268.96</v>
      </c>
      <c r="K930" t="s">
        <v>17522</v>
      </c>
      <c r="L930" t="s">
        <v>17523</v>
      </c>
      <c r="N930" t="s">
        <v>1463</v>
      </c>
      <c r="O930" t="s">
        <v>372</v>
      </c>
      <c r="P930" t="s">
        <v>1876</v>
      </c>
      <c r="T930" t="s">
        <v>373</v>
      </c>
      <c r="U930" t="s">
        <v>373</v>
      </c>
      <c r="V930" t="s">
        <v>17524</v>
      </c>
      <c r="W930" t="s">
        <v>17525</v>
      </c>
      <c r="X930" t="s">
        <v>17526</v>
      </c>
      <c r="Y930" t="s">
        <v>17527</v>
      </c>
      <c r="Z930" t="s">
        <v>17528</v>
      </c>
      <c r="AA930" t="s">
        <v>17529</v>
      </c>
      <c r="AB930" t="s">
        <v>17530</v>
      </c>
      <c r="AC930" t="s">
        <v>17531</v>
      </c>
      <c r="AD930" t="s">
        <v>17532</v>
      </c>
      <c r="AE930" t="s">
        <v>17533</v>
      </c>
      <c r="AF930" t="s">
        <v>17534</v>
      </c>
      <c r="AG930" t="s">
        <v>17535</v>
      </c>
      <c r="AH930" t="s">
        <v>17536</v>
      </c>
      <c r="AI930" t="s">
        <v>17537</v>
      </c>
      <c r="AJ930" t="s">
        <v>17538</v>
      </c>
      <c r="AK930" t="s">
        <v>17539</v>
      </c>
      <c r="AL930" t="s">
        <v>17540</v>
      </c>
      <c r="BA930" t="str">
        <f>"2499"</f>
        <v>2499</v>
      </c>
      <c r="BB930" t="str">
        <f>"1050"</f>
        <v>1050</v>
      </c>
      <c r="BC930" t="s">
        <v>665</v>
      </c>
      <c r="BD930" t="str">
        <f t="shared" si="188"/>
        <v>1</v>
      </c>
      <c r="BE930" t="s">
        <v>389</v>
      </c>
      <c r="BF930" t="str">
        <f>"87.99"</f>
        <v>87.99</v>
      </c>
      <c r="BG930" t="str">
        <f>"25"</f>
        <v>25</v>
      </c>
      <c r="BH930" t="str">
        <f>"40.94"</f>
        <v>40.94</v>
      </c>
      <c r="BI930" t="str">
        <f>"297.62"</f>
        <v>297.62</v>
      </c>
      <c r="BY930" t="str">
        <f>"52.12"</f>
        <v>52.12</v>
      </c>
      <c r="BZ930" t="str">
        <f>"1.476"</f>
        <v>1.476</v>
      </c>
      <c r="CA930" t="s">
        <v>495</v>
      </c>
      <c r="CE930" t="s">
        <v>17541</v>
      </c>
      <c r="CF930" t="s">
        <v>17542</v>
      </c>
      <c r="CG930" t="s">
        <v>17543</v>
      </c>
      <c r="CR930" t="s">
        <v>5068</v>
      </c>
      <c r="CS930">
        <v>4</v>
      </c>
      <c r="CT930" t="s">
        <v>400</v>
      </c>
      <c r="CV930">
        <v>0</v>
      </c>
      <c r="CX930" t="s">
        <v>2398</v>
      </c>
      <c r="CY930" t="s">
        <v>954</v>
      </c>
      <c r="DA930">
        <v>18.14</v>
      </c>
      <c r="DB930">
        <v>40</v>
      </c>
      <c r="DC930">
        <v>2</v>
      </c>
      <c r="DK930" t="s">
        <v>17544</v>
      </c>
      <c r="DM930" t="s">
        <v>669</v>
      </c>
      <c r="DX930" t="s">
        <v>1639</v>
      </c>
      <c r="EM930" t="s">
        <v>402</v>
      </c>
      <c r="EN930">
        <v>2</v>
      </c>
      <c r="EZ930" t="s">
        <v>13191</v>
      </c>
      <c r="FA930" t="s">
        <v>956</v>
      </c>
      <c r="FB930" t="s">
        <v>3805</v>
      </c>
      <c r="FC930" t="s">
        <v>17541</v>
      </c>
      <c r="FD930" t="s">
        <v>956</v>
      </c>
      <c r="FE930" t="s">
        <v>17543</v>
      </c>
      <c r="FF930">
        <v>0</v>
      </c>
      <c r="FG930" t="s">
        <v>402</v>
      </c>
      <c r="FH930" t="s">
        <v>959</v>
      </c>
      <c r="FI930">
        <v>4</v>
      </c>
      <c r="FJ930" t="s">
        <v>960</v>
      </c>
      <c r="FK930" t="s">
        <v>1246</v>
      </c>
      <c r="FL930">
        <v>0</v>
      </c>
      <c r="FM930" t="s">
        <v>402</v>
      </c>
      <c r="FO930" t="s">
        <v>984</v>
      </c>
      <c r="FP930" t="s">
        <v>402</v>
      </c>
      <c r="FR930" t="s">
        <v>546</v>
      </c>
      <c r="FT930" t="s">
        <v>8085</v>
      </c>
      <c r="FV930" t="s">
        <v>17545</v>
      </c>
      <c r="FX930" t="s">
        <v>4210</v>
      </c>
      <c r="FZ930" t="s">
        <v>953</v>
      </c>
      <c r="GB930" t="s">
        <v>17541</v>
      </c>
      <c r="GC930" t="s">
        <v>17542</v>
      </c>
      <c r="GD930" t="s">
        <v>17543</v>
      </c>
      <c r="GX930" t="s">
        <v>392</v>
      </c>
      <c r="HI930" t="s">
        <v>402</v>
      </c>
    </row>
    <row r="931" spans="1:297" x14ac:dyDescent="0.25">
      <c r="A931" t="s">
        <v>17546</v>
      </c>
      <c r="B931" t="str">
        <f>"198394060189"</f>
        <v>198394060189</v>
      </c>
      <c r="C931" t="s">
        <v>17547</v>
      </c>
      <c r="D931" t="s">
        <v>1420</v>
      </c>
      <c r="E931" t="s">
        <v>988</v>
      </c>
      <c r="G931" t="str">
        <f>"76"</f>
        <v>76</v>
      </c>
      <c r="H931" t="str">
        <f>"23"</f>
        <v>23</v>
      </c>
      <c r="I931" t="str">
        <f>"32.25"</f>
        <v>32.25</v>
      </c>
      <c r="J931" t="str">
        <f>"211.644"</f>
        <v>211.644</v>
      </c>
      <c r="K931" t="s">
        <v>17548</v>
      </c>
      <c r="N931" t="s">
        <v>1399</v>
      </c>
      <c r="T931" t="s">
        <v>373</v>
      </c>
      <c r="U931" t="s">
        <v>373</v>
      </c>
      <c r="V931" t="s">
        <v>17549</v>
      </c>
      <c r="W931" t="s">
        <v>17550</v>
      </c>
      <c r="X931" t="s">
        <v>17551</v>
      </c>
      <c r="Y931" t="s">
        <v>17552</v>
      </c>
      <c r="Z931" t="s">
        <v>17553</v>
      </c>
      <c r="AA931" t="s">
        <v>17554</v>
      </c>
      <c r="AB931" t="s">
        <v>17555</v>
      </c>
      <c r="AC931" t="s">
        <v>17556</v>
      </c>
      <c r="AD931" t="s">
        <v>17557</v>
      </c>
      <c r="AE931" t="s">
        <v>17558</v>
      </c>
      <c r="AF931" t="s">
        <v>17559</v>
      </c>
      <c r="AG931" t="s">
        <v>17560</v>
      </c>
      <c r="AH931" t="s">
        <v>17561</v>
      </c>
      <c r="AI931" t="s">
        <v>17562</v>
      </c>
      <c r="AJ931" t="s">
        <v>17563</v>
      </c>
      <c r="AK931" t="s">
        <v>17564</v>
      </c>
      <c r="BA931" t="str">
        <f>"2399"</f>
        <v>2399</v>
      </c>
      <c r="BB931" t="str">
        <f>"1010"</f>
        <v>1010</v>
      </c>
      <c r="BC931" t="s">
        <v>665</v>
      </c>
      <c r="BD931" t="str">
        <f t="shared" si="188"/>
        <v>1</v>
      </c>
      <c r="BE931" t="s">
        <v>389</v>
      </c>
      <c r="BF931" t="str">
        <f>"81.1"</f>
        <v>81.1</v>
      </c>
      <c r="BG931" t="str">
        <f>"28.15"</f>
        <v>28.15</v>
      </c>
      <c r="BH931" t="str">
        <f>"39.57"</f>
        <v>39.57</v>
      </c>
      <c r="BI931" t="str">
        <f>"255.74"</f>
        <v>255.74</v>
      </c>
      <c r="BY931" t="str">
        <f>"52.27"</f>
        <v>52.27</v>
      </c>
      <c r="BZ931" t="str">
        <f>"1.48"</f>
        <v>1.48</v>
      </c>
      <c r="CA931" t="s">
        <v>495</v>
      </c>
      <c r="CR931" t="s">
        <v>5068</v>
      </c>
      <c r="CS931">
        <v>6</v>
      </c>
      <c r="CT931" t="s">
        <v>400</v>
      </c>
      <c r="CV931">
        <v>0</v>
      </c>
      <c r="CX931" t="s">
        <v>1414</v>
      </c>
      <c r="CY931" t="s">
        <v>1009</v>
      </c>
      <c r="DC931">
        <v>0</v>
      </c>
      <c r="DJ931" t="s">
        <v>1010</v>
      </c>
      <c r="DK931" t="s">
        <v>17565</v>
      </c>
      <c r="DM931" t="s">
        <v>669</v>
      </c>
      <c r="DX931" t="s">
        <v>1290</v>
      </c>
      <c r="EM931" t="s">
        <v>402</v>
      </c>
      <c r="EN931">
        <v>0</v>
      </c>
      <c r="FI931">
        <v>0</v>
      </c>
      <c r="FJ931" t="s">
        <v>1012</v>
      </c>
      <c r="FR931" t="s">
        <v>14092</v>
      </c>
      <c r="FT931" t="s">
        <v>9945</v>
      </c>
      <c r="FV931" t="s">
        <v>17566</v>
      </c>
      <c r="FX931" t="s">
        <v>17567</v>
      </c>
      <c r="FZ931" t="s">
        <v>1018</v>
      </c>
    </row>
    <row r="932" spans="1:297" x14ac:dyDescent="0.25">
      <c r="A932" t="s">
        <v>17568</v>
      </c>
      <c r="B932" t="str">
        <f>"198394060196"</f>
        <v>198394060196</v>
      </c>
      <c r="C932" t="s">
        <v>17569</v>
      </c>
      <c r="D932" t="s">
        <v>1420</v>
      </c>
      <c r="E932" t="s">
        <v>1043</v>
      </c>
      <c r="G932" t="str">
        <f>"34"</f>
        <v>34</v>
      </c>
      <c r="H932" t="str">
        <f>"22"</f>
        <v>22</v>
      </c>
      <c r="I932" t="str">
        <f>"24.75"</f>
        <v>24.75</v>
      </c>
      <c r="J932" t="str">
        <f>"73.85"</f>
        <v>73.85</v>
      </c>
      <c r="K932" t="s">
        <v>17548</v>
      </c>
      <c r="N932" t="s">
        <v>1399</v>
      </c>
      <c r="T932" t="s">
        <v>373</v>
      </c>
      <c r="U932" t="s">
        <v>373</v>
      </c>
      <c r="V932" t="s">
        <v>17570</v>
      </c>
      <c r="W932" t="s">
        <v>17571</v>
      </c>
      <c r="X932" t="s">
        <v>17572</v>
      </c>
      <c r="Y932" t="s">
        <v>17573</v>
      </c>
      <c r="Z932" t="s">
        <v>17574</v>
      </c>
      <c r="AA932" t="s">
        <v>17575</v>
      </c>
      <c r="AB932" t="s">
        <v>17576</v>
      </c>
      <c r="AC932" t="s">
        <v>17577</v>
      </c>
      <c r="AD932" t="s">
        <v>17578</v>
      </c>
      <c r="AE932" t="s">
        <v>17579</v>
      </c>
      <c r="AF932" t="s">
        <v>17580</v>
      </c>
      <c r="AG932" t="s">
        <v>17581</v>
      </c>
      <c r="AH932" t="s">
        <v>17582</v>
      </c>
      <c r="AI932" t="s">
        <v>17583</v>
      </c>
      <c r="AJ932" t="s">
        <v>17584</v>
      </c>
      <c r="BA932" t="str">
        <f>"899"</f>
        <v>899</v>
      </c>
      <c r="BB932" t="str">
        <f>"380"</f>
        <v>380</v>
      </c>
      <c r="BC932" t="s">
        <v>665</v>
      </c>
      <c r="BD932" t="str">
        <f t="shared" si="188"/>
        <v>1</v>
      </c>
      <c r="BE932" t="s">
        <v>389</v>
      </c>
      <c r="BF932" t="str">
        <f>"37.8"</f>
        <v>37.8</v>
      </c>
      <c r="BG932" t="str">
        <f>"25.79"</f>
        <v>25.79</v>
      </c>
      <c r="BH932" t="str">
        <f>"30.71"</f>
        <v>30.71</v>
      </c>
      <c r="BI932" t="str">
        <f>"97"</f>
        <v>97</v>
      </c>
      <c r="BY932" t="str">
        <f>"17.3"</f>
        <v>17.3</v>
      </c>
      <c r="BZ932" t="str">
        <f>"0.49"</f>
        <v>0.49</v>
      </c>
      <c r="CA932" t="s">
        <v>495</v>
      </c>
      <c r="CR932" t="s">
        <v>5068</v>
      </c>
      <c r="CS932">
        <v>2</v>
      </c>
      <c r="CT932" t="s">
        <v>400</v>
      </c>
      <c r="CV932">
        <v>0</v>
      </c>
      <c r="CX932" t="s">
        <v>667</v>
      </c>
      <c r="CY932" t="s">
        <v>1009</v>
      </c>
      <c r="DC932">
        <v>0</v>
      </c>
      <c r="DJ932" t="s">
        <v>408</v>
      </c>
      <c r="DK932" t="s">
        <v>17565</v>
      </c>
      <c r="DM932" t="s">
        <v>473</v>
      </c>
      <c r="DX932" t="s">
        <v>2072</v>
      </c>
      <c r="EM932" t="s">
        <v>402</v>
      </c>
      <c r="EN932">
        <v>0</v>
      </c>
      <c r="FI932">
        <v>0</v>
      </c>
      <c r="FJ932" t="s">
        <v>1012</v>
      </c>
      <c r="FR932" t="s">
        <v>3983</v>
      </c>
      <c r="FT932" t="s">
        <v>17585</v>
      </c>
      <c r="FV932" t="s">
        <v>17586</v>
      </c>
      <c r="FX932" t="s">
        <v>17567</v>
      </c>
      <c r="FZ932" t="s">
        <v>1018</v>
      </c>
    </row>
    <row r="933" spans="1:297" x14ac:dyDescent="0.25">
      <c r="A933" t="s">
        <v>17587</v>
      </c>
      <c r="B933" t="str">
        <f>"801542991661"</f>
        <v>801542991661</v>
      </c>
      <c r="C933" t="s">
        <v>17588</v>
      </c>
      <c r="D933" t="s">
        <v>1276</v>
      </c>
      <c r="E933" t="s">
        <v>3813</v>
      </c>
      <c r="G933" t="str">
        <f>"84"</f>
        <v>84</v>
      </c>
      <c r="H933" t="str">
        <f>"18"</f>
        <v>18</v>
      </c>
      <c r="I933" t="str">
        <f>"77"</f>
        <v>77</v>
      </c>
      <c r="J933" t="str">
        <f>"326.28"</f>
        <v>326.28</v>
      </c>
      <c r="K933" t="s">
        <v>12823</v>
      </c>
      <c r="L933" t="s">
        <v>15308</v>
      </c>
      <c r="N933" t="s">
        <v>372</v>
      </c>
      <c r="O933" t="s">
        <v>1463</v>
      </c>
      <c r="T933" t="s">
        <v>373</v>
      </c>
      <c r="U933" t="s">
        <v>373</v>
      </c>
      <c r="V933" t="s">
        <v>17589</v>
      </c>
      <c r="W933" t="s">
        <v>17590</v>
      </c>
      <c r="X933" t="s">
        <v>17591</v>
      </c>
      <c r="Y933" t="s">
        <v>17592</v>
      </c>
      <c r="Z933" t="s">
        <v>17593</v>
      </c>
      <c r="AA933" t="s">
        <v>17594</v>
      </c>
      <c r="AB933" t="s">
        <v>17595</v>
      </c>
      <c r="AC933" t="s">
        <v>17596</v>
      </c>
      <c r="AD933" t="s">
        <v>17597</v>
      </c>
      <c r="AE933" t="s">
        <v>17598</v>
      </c>
      <c r="AF933" t="s">
        <v>17599</v>
      </c>
      <c r="AG933" t="s">
        <v>17600</v>
      </c>
      <c r="AH933" t="s">
        <v>17601</v>
      </c>
      <c r="BA933" t="str">
        <f>"4499"</f>
        <v>4499</v>
      </c>
      <c r="BB933" t="str">
        <f>"1890"</f>
        <v>1890</v>
      </c>
      <c r="BC933" t="s">
        <v>665</v>
      </c>
      <c r="BD933" t="str">
        <f t="shared" si="188"/>
        <v>1</v>
      </c>
      <c r="BE933" t="s">
        <v>389</v>
      </c>
      <c r="BF933" t="str">
        <f>"89.76"</f>
        <v>89.76</v>
      </c>
      <c r="BG933" t="str">
        <f>"23.62"</f>
        <v>23.62</v>
      </c>
      <c r="BH933" t="str">
        <f>"82.28"</f>
        <v>82.28</v>
      </c>
      <c r="BI933" t="str">
        <f>"455.25"</f>
        <v>455.25</v>
      </c>
      <c r="BY933" t="str">
        <f>"100.96"</f>
        <v>100.96</v>
      </c>
      <c r="BZ933" t="str">
        <f>"2.859"</f>
        <v>2.859</v>
      </c>
      <c r="CA933" t="s">
        <v>431</v>
      </c>
      <c r="CB933" t="s">
        <v>7532</v>
      </c>
      <c r="CC933" t="s">
        <v>674</v>
      </c>
      <c r="CD933" t="s">
        <v>17029</v>
      </c>
      <c r="CE933" t="s">
        <v>7532</v>
      </c>
      <c r="CF933" t="s">
        <v>8173</v>
      </c>
      <c r="CG933" t="s">
        <v>17029</v>
      </c>
      <c r="CR933" t="s">
        <v>400</v>
      </c>
      <c r="CS933">
        <v>0</v>
      </c>
      <c r="CT933" t="s">
        <v>400</v>
      </c>
      <c r="CV933">
        <v>2</v>
      </c>
      <c r="CW933" t="s">
        <v>402</v>
      </c>
      <c r="CX933" t="s">
        <v>953</v>
      </c>
      <c r="CY933" t="s">
        <v>954</v>
      </c>
      <c r="DA933">
        <v>18.14</v>
      </c>
      <c r="DB933">
        <v>40</v>
      </c>
      <c r="DC933">
        <v>0</v>
      </c>
      <c r="DJ933" t="s">
        <v>5762</v>
      </c>
      <c r="DK933" t="s">
        <v>17602</v>
      </c>
      <c r="DX933" t="s">
        <v>3079</v>
      </c>
      <c r="EM933" t="s">
        <v>402</v>
      </c>
      <c r="EN933">
        <v>3</v>
      </c>
      <c r="EZ933" t="s">
        <v>535</v>
      </c>
      <c r="FA933" t="s">
        <v>956</v>
      </c>
      <c r="FB933" t="s">
        <v>17603</v>
      </c>
      <c r="FH933" t="s">
        <v>1245</v>
      </c>
      <c r="FI933">
        <v>8</v>
      </c>
      <c r="FJ933" t="s">
        <v>960</v>
      </c>
      <c r="FK933" t="s">
        <v>1246</v>
      </c>
      <c r="GB933" t="s">
        <v>7532</v>
      </c>
      <c r="GC933" t="s">
        <v>8173</v>
      </c>
      <c r="GD933" t="s">
        <v>17029</v>
      </c>
      <c r="GR933" t="s">
        <v>7532</v>
      </c>
      <c r="GS933" t="s">
        <v>17604</v>
      </c>
      <c r="GT933" t="s">
        <v>8173</v>
      </c>
      <c r="GU933" t="s">
        <v>9338</v>
      </c>
      <c r="GV933" t="s">
        <v>17029</v>
      </c>
      <c r="GW933" t="s">
        <v>17415</v>
      </c>
      <c r="HH933" t="s">
        <v>402</v>
      </c>
      <c r="JY933" t="s">
        <v>17604</v>
      </c>
      <c r="JZ933" t="s">
        <v>9338</v>
      </c>
      <c r="KA933" t="s">
        <v>17415</v>
      </c>
    </row>
    <row r="934" spans="1:297" x14ac:dyDescent="0.25">
      <c r="A934" t="s">
        <v>17605</v>
      </c>
      <c r="B934" t="str">
        <f>"198394013185"</f>
        <v>198394013185</v>
      </c>
      <c r="C934" t="s">
        <v>17606</v>
      </c>
      <c r="D934" t="s">
        <v>1276</v>
      </c>
      <c r="E934" t="s">
        <v>3813</v>
      </c>
      <c r="G934" t="str">
        <f>"84"</f>
        <v>84</v>
      </c>
      <c r="H934" t="str">
        <f>"18"</f>
        <v>18</v>
      </c>
      <c r="I934" t="str">
        <f>"77"</f>
        <v>77</v>
      </c>
      <c r="J934" t="str">
        <f>"326.28"</f>
        <v>326.28</v>
      </c>
      <c r="K934" t="s">
        <v>10432</v>
      </c>
      <c r="L934" t="s">
        <v>1462</v>
      </c>
      <c r="N934" t="s">
        <v>372</v>
      </c>
      <c r="O934" t="s">
        <v>1970</v>
      </c>
      <c r="T934" t="s">
        <v>373</v>
      </c>
      <c r="U934" t="s">
        <v>373</v>
      </c>
      <c r="V934" t="s">
        <v>17607</v>
      </c>
      <c r="W934" t="s">
        <v>17608</v>
      </c>
      <c r="X934" t="s">
        <v>17609</v>
      </c>
      <c r="Y934" t="s">
        <v>17610</v>
      </c>
      <c r="Z934" t="s">
        <v>17611</v>
      </c>
      <c r="AA934" t="s">
        <v>17612</v>
      </c>
      <c r="AB934" t="s">
        <v>17613</v>
      </c>
      <c r="AC934" t="s">
        <v>17614</v>
      </c>
      <c r="AD934" t="s">
        <v>17615</v>
      </c>
      <c r="AE934" t="s">
        <v>17616</v>
      </c>
      <c r="AF934" t="s">
        <v>17617</v>
      </c>
      <c r="AG934" t="s">
        <v>17618</v>
      </c>
      <c r="AH934" t="s">
        <v>17619</v>
      </c>
      <c r="AI934" t="s">
        <v>17620</v>
      </c>
      <c r="BA934" t="str">
        <f>"4599"</f>
        <v>4599</v>
      </c>
      <c r="BB934" t="str">
        <f>"1935"</f>
        <v>1935</v>
      </c>
      <c r="BC934" t="s">
        <v>665</v>
      </c>
      <c r="BD934" t="str">
        <f t="shared" si="188"/>
        <v>1</v>
      </c>
      <c r="BE934" t="s">
        <v>389</v>
      </c>
      <c r="BF934" t="str">
        <f>"89.76"</f>
        <v>89.76</v>
      </c>
      <c r="BG934" t="str">
        <f>"23.62"</f>
        <v>23.62</v>
      </c>
      <c r="BH934" t="str">
        <f>"82.28"</f>
        <v>82.28</v>
      </c>
      <c r="BI934" t="str">
        <f>"455.25"</f>
        <v>455.25</v>
      </c>
      <c r="BY934" t="str">
        <f>"100.96"</f>
        <v>100.96</v>
      </c>
      <c r="BZ934" t="str">
        <f>"2.859"</f>
        <v>2.859</v>
      </c>
      <c r="CA934" t="s">
        <v>495</v>
      </c>
      <c r="CB934" t="s">
        <v>7532</v>
      </c>
      <c r="CC934" t="s">
        <v>674</v>
      </c>
      <c r="CD934" t="s">
        <v>17029</v>
      </c>
      <c r="CE934" t="s">
        <v>7532</v>
      </c>
      <c r="CF934" t="s">
        <v>8173</v>
      </c>
      <c r="CG934" t="s">
        <v>17029</v>
      </c>
      <c r="CR934" t="s">
        <v>400</v>
      </c>
      <c r="CS934">
        <v>0</v>
      </c>
      <c r="CT934" t="s">
        <v>400</v>
      </c>
      <c r="CV934">
        <v>2</v>
      </c>
      <c r="CW934" t="s">
        <v>402</v>
      </c>
      <c r="CX934" t="s">
        <v>953</v>
      </c>
      <c r="CY934" t="s">
        <v>954</v>
      </c>
      <c r="DA934">
        <v>18.14</v>
      </c>
      <c r="DB934">
        <v>40</v>
      </c>
      <c r="DC934">
        <v>0</v>
      </c>
      <c r="DJ934" t="s">
        <v>5762</v>
      </c>
      <c r="DK934" t="s">
        <v>17602</v>
      </c>
      <c r="DX934" t="s">
        <v>3079</v>
      </c>
      <c r="EM934" t="s">
        <v>402</v>
      </c>
      <c r="EN934">
        <v>3</v>
      </c>
      <c r="EZ934" t="s">
        <v>535</v>
      </c>
      <c r="FA934" t="s">
        <v>956</v>
      </c>
      <c r="FB934" t="s">
        <v>17603</v>
      </c>
      <c r="FH934" t="s">
        <v>1245</v>
      </c>
      <c r="FI934">
        <v>8</v>
      </c>
      <c r="FJ934" t="s">
        <v>960</v>
      </c>
      <c r="FK934" t="s">
        <v>1246</v>
      </c>
      <c r="GB934" t="s">
        <v>7532</v>
      </c>
      <c r="GC934" t="s">
        <v>8173</v>
      </c>
      <c r="GD934" t="s">
        <v>17029</v>
      </c>
      <c r="GR934" t="s">
        <v>7532</v>
      </c>
      <c r="GS934" t="s">
        <v>17604</v>
      </c>
      <c r="GT934" t="s">
        <v>8173</v>
      </c>
      <c r="GU934" t="s">
        <v>9338</v>
      </c>
      <c r="GV934" t="s">
        <v>17029</v>
      </c>
      <c r="GW934" t="s">
        <v>17415</v>
      </c>
      <c r="HH934" t="s">
        <v>402</v>
      </c>
      <c r="JY934" t="s">
        <v>17604</v>
      </c>
      <c r="JZ934" t="s">
        <v>9338</v>
      </c>
      <c r="KA934" t="s">
        <v>17415</v>
      </c>
    </row>
    <row r="935" spans="1:297" x14ac:dyDescent="0.25">
      <c r="A935" t="s">
        <v>17621</v>
      </c>
      <c r="B935" t="str">
        <f>"198394060219"</f>
        <v>198394060219</v>
      </c>
      <c r="C935" t="s">
        <v>17622</v>
      </c>
      <c r="D935" t="s">
        <v>1420</v>
      </c>
      <c r="E935" t="s">
        <v>4074</v>
      </c>
      <c r="G935" t="str">
        <f>"78"</f>
        <v>78</v>
      </c>
      <c r="H935" t="str">
        <f>"18"</f>
        <v>18</v>
      </c>
      <c r="I935" t="str">
        <f>"32"</f>
        <v>32</v>
      </c>
      <c r="J935" t="str">
        <f>"88.18"</f>
        <v>88.18</v>
      </c>
      <c r="K935" t="s">
        <v>17548</v>
      </c>
      <c r="N935" t="s">
        <v>1399</v>
      </c>
      <c r="T935" t="s">
        <v>373</v>
      </c>
      <c r="U935" t="s">
        <v>373</v>
      </c>
      <c r="V935" t="s">
        <v>17623</v>
      </c>
      <c r="W935" t="s">
        <v>17624</v>
      </c>
      <c r="X935" t="s">
        <v>17625</v>
      </c>
      <c r="Y935" t="s">
        <v>17626</v>
      </c>
      <c r="Z935" t="s">
        <v>17627</v>
      </c>
      <c r="AA935" t="s">
        <v>17628</v>
      </c>
      <c r="AB935" t="s">
        <v>17629</v>
      </c>
      <c r="AC935" t="s">
        <v>17630</v>
      </c>
      <c r="AD935" t="s">
        <v>17631</v>
      </c>
      <c r="AE935" t="s">
        <v>17632</v>
      </c>
      <c r="AF935" t="s">
        <v>17633</v>
      </c>
      <c r="AG935" t="s">
        <v>17634</v>
      </c>
      <c r="BA935" t="str">
        <f>"1049"</f>
        <v>1049</v>
      </c>
      <c r="BB935" t="str">
        <f>"445"</f>
        <v>445</v>
      </c>
      <c r="BC935" t="s">
        <v>665</v>
      </c>
      <c r="BD935" t="str">
        <f t="shared" si="188"/>
        <v>1</v>
      </c>
      <c r="BE935" t="s">
        <v>389</v>
      </c>
      <c r="BF935" t="str">
        <f>"82.09"</f>
        <v>82.09</v>
      </c>
      <c r="BG935" t="str">
        <f>"21.85"</f>
        <v>21.85</v>
      </c>
      <c r="BH935" t="str">
        <f>"22.05"</f>
        <v>22.05</v>
      </c>
      <c r="BI935" t="str">
        <f>"125.66"</f>
        <v>125.66</v>
      </c>
      <c r="BY935" t="str">
        <f>"22.88"</f>
        <v>22.88</v>
      </c>
      <c r="BZ935" t="str">
        <f>"0.648"</f>
        <v>0.648</v>
      </c>
      <c r="CA935" t="s">
        <v>495</v>
      </c>
      <c r="CR935" t="s">
        <v>400</v>
      </c>
      <c r="CS935">
        <v>0</v>
      </c>
      <c r="CT935" t="s">
        <v>400</v>
      </c>
      <c r="CV935">
        <v>0</v>
      </c>
      <c r="CX935" t="s">
        <v>1414</v>
      </c>
      <c r="CY935" t="s">
        <v>400</v>
      </c>
      <c r="DC935">
        <v>0</v>
      </c>
      <c r="DJ935" t="s">
        <v>408</v>
      </c>
      <c r="DK935" t="s">
        <v>17565</v>
      </c>
      <c r="DM935" t="s">
        <v>669</v>
      </c>
      <c r="DX935" t="s">
        <v>2598</v>
      </c>
      <c r="DZ935" t="s">
        <v>9963</v>
      </c>
      <c r="EI935" t="s">
        <v>2595</v>
      </c>
      <c r="EJ935" t="s">
        <v>1273</v>
      </c>
      <c r="EK935" t="s">
        <v>446</v>
      </c>
      <c r="EL935" t="s">
        <v>1357</v>
      </c>
      <c r="EM935" t="s">
        <v>402</v>
      </c>
      <c r="EN935">
        <v>0</v>
      </c>
      <c r="EO935">
        <v>0</v>
      </c>
      <c r="EX935" t="s">
        <v>635</v>
      </c>
      <c r="FI935">
        <v>0</v>
      </c>
      <c r="FJ935" t="s">
        <v>1012</v>
      </c>
    </row>
    <row r="936" spans="1:297" x14ac:dyDescent="0.25">
      <c r="A936" t="s">
        <v>17635</v>
      </c>
      <c r="B936" t="str">
        <f>"801542086503"</f>
        <v>801542086503</v>
      </c>
      <c r="C936" t="s">
        <v>17636</v>
      </c>
      <c r="D936" t="s">
        <v>5460</v>
      </c>
      <c r="E936" t="s">
        <v>930</v>
      </c>
      <c r="G936" t="str">
        <f>"85"</f>
        <v>85</v>
      </c>
      <c r="H936" t="str">
        <f>"20.25"</f>
        <v>20.25</v>
      </c>
      <c r="I936" t="str">
        <f>"34"</f>
        <v>34</v>
      </c>
      <c r="J936" t="str">
        <f>"240.3"</f>
        <v>240.3</v>
      </c>
      <c r="K936" t="s">
        <v>13090</v>
      </c>
      <c r="N936" t="s">
        <v>1463</v>
      </c>
      <c r="O936" t="s">
        <v>372</v>
      </c>
      <c r="T936" t="s">
        <v>373</v>
      </c>
      <c r="U936" t="s">
        <v>373</v>
      </c>
      <c r="V936" t="s">
        <v>17637</v>
      </c>
      <c r="W936" t="s">
        <v>17638</v>
      </c>
      <c r="X936" t="s">
        <v>17639</v>
      </c>
      <c r="Y936" t="s">
        <v>17640</v>
      </c>
      <c r="Z936" t="s">
        <v>17641</v>
      </c>
      <c r="AA936" t="s">
        <v>17642</v>
      </c>
      <c r="AB936" t="s">
        <v>17643</v>
      </c>
      <c r="AC936" t="s">
        <v>17644</v>
      </c>
      <c r="AD936" t="s">
        <v>17645</v>
      </c>
      <c r="AE936" t="s">
        <v>17646</v>
      </c>
      <c r="AF936" t="s">
        <v>17647</v>
      </c>
      <c r="AG936" t="s">
        <v>17648</v>
      </c>
      <c r="AH936" t="s">
        <v>17649</v>
      </c>
      <c r="AI936" t="s">
        <v>17650</v>
      </c>
      <c r="AJ936" t="s">
        <v>17651</v>
      </c>
      <c r="AK936" t="s">
        <v>14693</v>
      </c>
      <c r="BA936" t="str">
        <f>"2599"</f>
        <v>2599</v>
      </c>
      <c r="BB936" t="str">
        <f>"1095"</f>
        <v>1095</v>
      </c>
      <c r="BC936" t="s">
        <v>665</v>
      </c>
      <c r="BD936" t="str">
        <f t="shared" si="188"/>
        <v>1</v>
      </c>
      <c r="BE936" t="s">
        <v>9060</v>
      </c>
      <c r="BF936" t="str">
        <f>"89.37"</f>
        <v>89.37</v>
      </c>
      <c r="BG936" t="str">
        <f>"24.61"</f>
        <v>24.61</v>
      </c>
      <c r="BH936" t="str">
        <f>"44.29"</f>
        <v>44.29</v>
      </c>
      <c r="BI936" t="str">
        <f>"308.65"</f>
        <v>308.65</v>
      </c>
      <c r="BY936" t="str">
        <f>"56.36"</f>
        <v>56.36</v>
      </c>
      <c r="BZ936" t="str">
        <f>"1.596"</f>
        <v>1.596</v>
      </c>
      <c r="CA936" t="s">
        <v>495</v>
      </c>
      <c r="CE936" t="s">
        <v>5804</v>
      </c>
      <c r="CF936" t="s">
        <v>1412</v>
      </c>
      <c r="CG936" t="s">
        <v>15860</v>
      </c>
      <c r="CR936" t="s">
        <v>400</v>
      </c>
      <c r="CS936">
        <v>0</v>
      </c>
      <c r="CT936" t="s">
        <v>400</v>
      </c>
      <c r="CV936">
        <v>0</v>
      </c>
      <c r="CX936" t="s">
        <v>1241</v>
      </c>
      <c r="CY936" t="s">
        <v>954</v>
      </c>
      <c r="DA936">
        <v>18.14</v>
      </c>
      <c r="DB936">
        <v>40</v>
      </c>
      <c r="DC936">
        <v>3</v>
      </c>
      <c r="DK936" t="s">
        <v>17652</v>
      </c>
      <c r="DM936" t="s">
        <v>669</v>
      </c>
      <c r="DX936" t="s">
        <v>446</v>
      </c>
      <c r="EM936" t="s">
        <v>402</v>
      </c>
      <c r="EN936">
        <v>3</v>
      </c>
      <c r="EZ936" t="s">
        <v>5014</v>
      </c>
      <c r="FA936" t="s">
        <v>1348</v>
      </c>
      <c r="FB936" t="s">
        <v>1633</v>
      </c>
      <c r="FC936" t="s">
        <v>5804</v>
      </c>
      <c r="FD936" t="s">
        <v>4614</v>
      </c>
      <c r="FE936" t="s">
        <v>15860</v>
      </c>
      <c r="FF936">
        <v>0</v>
      </c>
      <c r="FG936" t="s">
        <v>402</v>
      </c>
      <c r="FH936" t="s">
        <v>959</v>
      </c>
      <c r="FI936">
        <v>4</v>
      </c>
      <c r="FJ936" t="s">
        <v>960</v>
      </c>
      <c r="FK936" t="s">
        <v>961</v>
      </c>
      <c r="FL936">
        <v>0</v>
      </c>
      <c r="FM936" t="s">
        <v>402</v>
      </c>
      <c r="FO936" t="s">
        <v>984</v>
      </c>
      <c r="GB936" t="s">
        <v>7702</v>
      </c>
      <c r="GC936" t="s">
        <v>1412</v>
      </c>
      <c r="GD936" t="s">
        <v>2600</v>
      </c>
      <c r="GR936" t="s">
        <v>7702</v>
      </c>
      <c r="GT936" t="s">
        <v>1412</v>
      </c>
      <c r="GV936" t="s">
        <v>2600</v>
      </c>
      <c r="GX936" t="s">
        <v>392</v>
      </c>
      <c r="HE936" t="s">
        <v>7702</v>
      </c>
      <c r="HF936" t="s">
        <v>4614</v>
      </c>
      <c r="HG936" t="s">
        <v>2600</v>
      </c>
      <c r="HI936" t="s">
        <v>402</v>
      </c>
      <c r="KI936" t="s">
        <v>5014</v>
      </c>
      <c r="KJ936" t="s">
        <v>956</v>
      </c>
      <c r="KK936" t="s">
        <v>17653</v>
      </c>
    </row>
    <row r="937" spans="1:297" x14ac:dyDescent="0.25">
      <c r="A937" t="s">
        <v>17654</v>
      </c>
      <c r="B937" t="str">
        <f>"198394060226"</f>
        <v>198394060226</v>
      </c>
      <c r="C937" t="s">
        <v>17655</v>
      </c>
      <c r="D937" t="s">
        <v>1420</v>
      </c>
      <c r="E937" t="s">
        <v>930</v>
      </c>
      <c r="G937" t="str">
        <f>"94"</f>
        <v>94</v>
      </c>
      <c r="H937" t="str">
        <f>"20"</f>
        <v>20</v>
      </c>
      <c r="I937" t="str">
        <f>"32"</f>
        <v>32</v>
      </c>
      <c r="J937" t="str">
        <f>"191.8"</f>
        <v>191.8</v>
      </c>
      <c r="K937" t="s">
        <v>17548</v>
      </c>
      <c r="N937" t="s">
        <v>1399</v>
      </c>
      <c r="T937" t="s">
        <v>373</v>
      </c>
      <c r="U937" t="s">
        <v>373</v>
      </c>
      <c r="V937" t="s">
        <v>17656</v>
      </c>
      <c r="W937" t="s">
        <v>17657</v>
      </c>
      <c r="X937" t="s">
        <v>17658</v>
      </c>
      <c r="Y937" t="s">
        <v>17659</v>
      </c>
      <c r="Z937" t="s">
        <v>17660</v>
      </c>
      <c r="AA937" t="s">
        <v>17661</v>
      </c>
      <c r="AB937" t="s">
        <v>17662</v>
      </c>
      <c r="AC937" t="s">
        <v>17663</v>
      </c>
      <c r="AD937" t="s">
        <v>17664</v>
      </c>
      <c r="AE937" t="s">
        <v>17665</v>
      </c>
      <c r="AF937" t="s">
        <v>17666</v>
      </c>
      <c r="AG937" t="s">
        <v>17667</v>
      </c>
      <c r="AH937" t="s">
        <v>17668</v>
      </c>
      <c r="AI937" t="s">
        <v>17669</v>
      </c>
      <c r="AJ937" t="s">
        <v>17670</v>
      </c>
      <c r="BA937" t="str">
        <f>"2199"</f>
        <v>2199</v>
      </c>
      <c r="BB937" t="str">
        <f>"925"</f>
        <v>925</v>
      </c>
      <c r="BC937" t="s">
        <v>665</v>
      </c>
      <c r="BD937" t="str">
        <f t="shared" si="188"/>
        <v>1</v>
      </c>
      <c r="BE937" t="s">
        <v>389</v>
      </c>
      <c r="BF937" t="str">
        <f>"99.41"</f>
        <v>99.41</v>
      </c>
      <c r="BG937" t="str">
        <f>"25.39"</f>
        <v>25.39</v>
      </c>
      <c r="BH937" t="str">
        <f>"39.57"</f>
        <v>39.57</v>
      </c>
      <c r="BI937" t="str">
        <f>"237"</f>
        <v>237</v>
      </c>
      <c r="BY937" t="str">
        <f>"57.81"</f>
        <v>57.81</v>
      </c>
      <c r="BZ937" t="str">
        <f>"1.637"</f>
        <v>1.637</v>
      </c>
      <c r="CA937" t="s">
        <v>431</v>
      </c>
      <c r="CE937" t="s">
        <v>4675</v>
      </c>
      <c r="CF937" t="s">
        <v>13191</v>
      </c>
      <c r="CG937" t="s">
        <v>17671</v>
      </c>
      <c r="CR937" t="s">
        <v>400</v>
      </c>
      <c r="CS937">
        <v>0</v>
      </c>
      <c r="CT937" t="s">
        <v>400</v>
      </c>
      <c r="CV937">
        <v>0</v>
      </c>
      <c r="CX937" t="s">
        <v>1241</v>
      </c>
      <c r="CY937" t="s">
        <v>954</v>
      </c>
      <c r="DA937">
        <v>18.14</v>
      </c>
      <c r="DB937">
        <v>40</v>
      </c>
      <c r="DC937">
        <v>2</v>
      </c>
      <c r="DK937" t="s">
        <v>17565</v>
      </c>
      <c r="DM937" t="s">
        <v>669</v>
      </c>
      <c r="DX937" t="s">
        <v>13151</v>
      </c>
      <c r="EM937" t="s">
        <v>402</v>
      </c>
      <c r="EN937">
        <v>2</v>
      </c>
      <c r="EZ937" t="s">
        <v>539</v>
      </c>
      <c r="FA937" t="s">
        <v>4614</v>
      </c>
      <c r="FB937" t="s">
        <v>17672</v>
      </c>
      <c r="FC937" t="s">
        <v>4675</v>
      </c>
      <c r="FD937" t="s">
        <v>4614</v>
      </c>
      <c r="FE937" t="s">
        <v>17671</v>
      </c>
      <c r="FF937">
        <v>0</v>
      </c>
      <c r="FH937" t="s">
        <v>1245</v>
      </c>
      <c r="FI937">
        <v>4</v>
      </c>
      <c r="FJ937" t="s">
        <v>960</v>
      </c>
      <c r="FK937" t="s">
        <v>961</v>
      </c>
      <c r="FL937">
        <v>0</v>
      </c>
      <c r="FM937" t="s">
        <v>402</v>
      </c>
      <c r="FO937" t="s">
        <v>984</v>
      </c>
      <c r="GB937" t="s">
        <v>4675</v>
      </c>
      <c r="GC937" t="s">
        <v>13191</v>
      </c>
      <c r="GD937" t="s">
        <v>17671</v>
      </c>
      <c r="GX937" t="s">
        <v>392</v>
      </c>
      <c r="HI937" t="s">
        <v>402</v>
      </c>
    </row>
    <row r="938" spans="1:297" x14ac:dyDescent="0.25">
      <c r="A938" t="s">
        <v>17673</v>
      </c>
      <c r="B938" t="str">
        <f>"801542995836"</f>
        <v>801542995836</v>
      </c>
      <c r="C938" t="s">
        <v>17674</v>
      </c>
      <c r="D938" t="s">
        <v>769</v>
      </c>
      <c r="E938" t="s">
        <v>515</v>
      </c>
      <c r="F938" t="s">
        <v>516</v>
      </c>
      <c r="G938" t="str">
        <f>"45"</f>
        <v>45</v>
      </c>
      <c r="H938" t="str">
        <f>"40"</f>
        <v>40</v>
      </c>
      <c r="I938" t="str">
        <f>"31.5"</f>
        <v>31.5</v>
      </c>
      <c r="J938" t="str">
        <f>"91.49"</f>
        <v>91.49</v>
      </c>
      <c r="K938" t="s">
        <v>17675</v>
      </c>
      <c r="N938" t="s">
        <v>17676</v>
      </c>
      <c r="O938" t="s">
        <v>14953</v>
      </c>
      <c r="P938" t="s">
        <v>9230</v>
      </c>
      <c r="T938" t="s">
        <v>373</v>
      </c>
      <c r="U938" t="s">
        <v>373</v>
      </c>
      <c r="V938" t="s">
        <v>17677</v>
      </c>
      <c r="W938" t="s">
        <v>17678</v>
      </c>
      <c r="X938" t="s">
        <v>17679</v>
      </c>
      <c r="Y938" t="s">
        <v>17680</v>
      </c>
      <c r="Z938" t="s">
        <v>17681</v>
      </c>
      <c r="AA938" t="s">
        <v>17682</v>
      </c>
      <c r="AB938" t="s">
        <v>17683</v>
      </c>
      <c r="AC938" t="s">
        <v>17684</v>
      </c>
      <c r="AD938" t="s">
        <v>17685</v>
      </c>
      <c r="AE938" t="s">
        <v>17686</v>
      </c>
      <c r="AF938" t="s">
        <v>17687</v>
      </c>
      <c r="AG938" t="s">
        <v>17688</v>
      </c>
      <c r="AH938" t="s">
        <v>17689</v>
      </c>
      <c r="AI938" t="s">
        <v>17225</v>
      </c>
      <c r="BA938" t="str">
        <f>"1599"</f>
        <v>1599</v>
      </c>
      <c r="BB938" t="str">
        <f>"675"</f>
        <v>675</v>
      </c>
      <c r="BC938" t="s">
        <v>388</v>
      </c>
      <c r="BD938" t="str">
        <f t="shared" si="188"/>
        <v>1</v>
      </c>
      <c r="BE938" t="s">
        <v>1662</v>
      </c>
      <c r="BF938" t="str">
        <f>"45.67"</f>
        <v>45.67</v>
      </c>
      <c r="BG938" t="str">
        <f>"40.94"</f>
        <v>40.94</v>
      </c>
      <c r="BH938" t="str">
        <f>"33.07"</f>
        <v>33.07</v>
      </c>
      <c r="BI938" t="str">
        <f>"108.03"</f>
        <v>108.03</v>
      </c>
      <c r="BY938" t="str">
        <f>"30.69"</f>
        <v>30.69</v>
      </c>
      <c r="BZ938" t="str">
        <f>"0.869"</f>
        <v>0.869</v>
      </c>
      <c r="CA938" t="s">
        <v>495</v>
      </c>
      <c r="CK938" t="s">
        <v>1553</v>
      </c>
      <c r="CL938" t="s">
        <v>511</v>
      </c>
      <c r="CN938">
        <v>0</v>
      </c>
      <c r="CO938">
        <v>0</v>
      </c>
      <c r="CP938" t="s">
        <v>437</v>
      </c>
      <c r="CQ938" t="s">
        <v>631</v>
      </c>
      <c r="CX938" t="s">
        <v>403</v>
      </c>
      <c r="CY938" t="s">
        <v>1753</v>
      </c>
      <c r="CZ938">
        <v>0</v>
      </c>
      <c r="DD938">
        <v>25000</v>
      </c>
      <c r="DE938" t="s">
        <v>439</v>
      </c>
      <c r="DH938">
        <v>0</v>
      </c>
      <c r="DI938">
        <v>1</v>
      </c>
      <c r="DK938" t="s">
        <v>17690</v>
      </c>
      <c r="DL938">
        <v>0</v>
      </c>
      <c r="DM938" t="s">
        <v>538</v>
      </c>
      <c r="DN938" t="s">
        <v>435</v>
      </c>
      <c r="DO938" t="s">
        <v>1852</v>
      </c>
      <c r="DP938" t="s">
        <v>856</v>
      </c>
      <c r="DT938" t="s">
        <v>1037</v>
      </c>
      <c r="DX938" t="s">
        <v>6662</v>
      </c>
      <c r="EA938" t="s">
        <v>950</v>
      </c>
      <c r="EG938" t="s">
        <v>749</v>
      </c>
      <c r="EP938" t="s">
        <v>600</v>
      </c>
      <c r="EQ938" t="s">
        <v>2079</v>
      </c>
      <c r="ER938">
        <v>0</v>
      </c>
      <c r="ES938">
        <v>0</v>
      </c>
      <c r="EU938">
        <v>0</v>
      </c>
      <c r="HM938" t="s">
        <v>1754</v>
      </c>
    </row>
    <row r="939" spans="1:297" x14ac:dyDescent="0.25">
      <c r="A939" t="s">
        <v>17691</v>
      </c>
      <c r="B939" t="str">
        <f>"801542995829"</f>
        <v>801542995829</v>
      </c>
      <c r="C939" t="s">
        <v>17692</v>
      </c>
      <c r="D939" t="s">
        <v>769</v>
      </c>
      <c r="E939" t="s">
        <v>515</v>
      </c>
      <c r="F939" t="s">
        <v>516</v>
      </c>
      <c r="G939" t="str">
        <f>"45"</f>
        <v>45</v>
      </c>
      <c r="H939" t="str">
        <f>"40"</f>
        <v>40</v>
      </c>
      <c r="I939" t="str">
        <f>"31.5"</f>
        <v>31.5</v>
      </c>
      <c r="J939" t="str">
        <f>"91.49"</f>
        <v>91.49</v>
      </c>
      <c r="K939" t="s">
        <v>17693</v>
      </c>
      <c r="N939" t="s">
        <v>14256</v>
      </c>
      <c r="O939" t="s">
        <v>14257</v>
      </c>
      <c r="T939" t="s">
        <v>373</v>
      </c>
      <c r="U939" t="s">
        <v>373</v>
      </c>
      <c r="V939" t="s">
        <v>17694</v>
      </c>
      <c r="W939" t="s">
        <v>17695</v>
      </c>
      <c r="X939" t="s">
        <v>17696</v>
      </c>
      <c r="Y939" t="s">
        <v>17697</v>
      </c>
      <c r="Z939" t="s">
        <v>17698</v>
      </c>
      <c r="AA939" t="s">
        <v>17699</v>
      </c>
      <c r="AB939" t="s">
        <v>17700</v>
      </c>
      <c r="AC939" t="s">
        <v>17701</v>
      </c>
      <c r="AD939" t="s">
        <v>17702</v>
      </c>
      <c r="AE939" t="s">
        <v>17703</v>
      </c>
      <c r="AF939" t="s">
        <v>17704</v>
      </c>
      <c r="AG939" t="s">
        <v>17705</v>
      </c>
      <c r="AH939" t="s">
        <v>17706</v>
      </c>
      <c r="AI939" t="s">
        <v>17707</v>
      </c>
      <c r="AJ939" t="s">
        <v>17708</v>
      </c>
      <c r="BA939" t="str">
        <f>"1899"</f>
        <v>1899</v>
      </c>
      <c r="BB939" t="str">
        <f>"800"</f>
        <v>800</v>
      </c>
      <c r="BC939" t="s">
        <v>388</v>
      </c>
      <c r="BD939" t="str">
        <f t="shared" si="188"/>
        <v>1</v>
      </c>
      <c r="BE939" t="s">
        <v>1662</v>
      </c>
      <c r="BF939" t="str">
        <f>"45.67"</f>
        <v>45.67</v>
      </c>
      <c r="BG939" t="str">
        <f>"40.94"</f>
        <v>40.94</v>
      </c>
      <c r="BH939" t="str">
        <f>"33.07"</f>
        <v>33.07</v>
      </c>
      <c r="BI939" t="str">
        <f>"108.03"</f>
        <v>108.03</v>
      </c>
      <c r="BY939" t="str">
        <f>"30.69"</f>
        <v>30.69</v>
      </c>
      <c r="BZ939" t="str">
        <f>"0.869"</f>
        <v>0.869</v>
      </c>
      <c r="CA939" t="s">
        <v>495</v>
      </c>
      <c r="CK939" t="s">
        <v>1553</v>
      </c>
      <c r="CL939" t="s">
        <v>511</v>
      </c>
      <c r="CN939">
        <v>0</v>
      </c>
      <c r="CO939">
        <v>0</v>
      </c>
      <c r="CP939" t="s">
        <v>437</v>
      </c>
      <c r="CQ939" t="s">
        <v>631</v>
      </c>
      <c r="CX939" t="s">
        <v>403</v>
      </c>
      <c r="CY939" t="s">
        <v>1753</v>
      </c>
      <c r="CZ939">
        <v>0</v>
      </c>
      <c r="DD939">
        <v>25000</v>
      </c>
      <c r="DE939" t="s">
        <v>439</v>
      </c>
      <c r="DH939">
        <v>0</v>
      </c>
      <c r="DI939">
        <v>1</v>
      </c>
      <c r="DK939" t="s">
        <v>17690</v>
      </c>
      <c r="DL939">
        <v>0</v>
      </c>
      <c r="DM939" t="s">
        <v>538</v>
      </c>
      <c r="DN939" t="s">
        <v>435</v>
      </c>
      <c r="DO939" t="s">
        <v>1852</v>
      </c>
      <c r="DP939" t="s">
        <v>856</v>
      </c>
      <c r="DT939" t="s">
        <v>1037</v>
      </c>
      <c r="DX939" t="s">
        <v>6662</v>
      </c>
      <c r="EA939" t="s">
        <v>950</v>
      </c>
      <c r="EG939" t="s">
        <v>749</v>
      </c>
      <c r="EP939" t="s">
        <v>600</v>
      </c>
      <c r="EQ939" t="s">
        <v>2079</v>
      </c>
      <c r="ER939">
        <v>0</v>
      </c>
      <c r="ES939">
        <v>0</v>
      </c>
      <c r="EU939">
        <v>0</v>
      </c>
      <c r="HM939" t="s">
        <v>1754</v>
      </c>
    </row>
    <row r="940" spans="1:297" x14ac:dyDescent="0.25">
      <c r="A940" t="s">
        <v>17709</v>
      </c>
      <c r="B940" t="str">
        <f>"801542432140"</f>
        <v>801542432140</v>
      </c>
      <c r="C940" t="s">
        <v>17710</v>
      </c>
      <c r="D940" t="s">
        <v>583</v>
      </c>
      <c r="E940" t="s">
        <v>515</v>
      </c>
      <c r="F940" t="s">
        <v>516</v>
      </c>
      <c r="G940" t="str">
        <f>"29"</f>
        <v>29</v>
      </c>
      <c r="H940" t="str">
        <f>"33.5"</f>
        <v>33.5</v>
      </c>
      <c r="I940" t="str">
        <f>"29"</f>
        <v>29</v>
      </c>
      <c r="J940" t="str">
        <f>"32.41"</f>
        <v>32.41</v>
      </c>
      <c r="K940" t="s">
        <v>17693</v>
      </c>
      <c r="L940" t="s">
        <v>1857</v>
      </c>
      <c r="N940" t="s">
        <v>14256</v>
      </c>
      <c r="O940" t="s">
        <v>14257</v>
      </c>
      <c r="P940" t="s">
        <v>372</v>
      </c>
      <c r="T940" t="s">
        <v>373</v>
      </c>
      <c r="U940" t="s">
        <v>373</v>
      </c>
      <c r="V940" t="s">
        <v>17711</v>
      </c>
      <c r="W940" t="s">
        <v>17712</v>
      </c>
      <c r="X940" t="s">
        <v>17713</v>
      </c>
      <c r="Y940" t="s">
        <v>17714</v>
      </c>
      <c r="Z940" t="s">
        <v>17715</v>
      </c>
      <c r="AA940" t="s">
        <v>17716</v>
      </c>
      <c r="AB940" t="s">
        <v>17717</v>
      </c>
      <c r="AC940" t="s">
        <v>17718</v>
      </c>
      <c r="AD940" t="s">
        <v>17719</v>
      </c>
      <c r="AE940" t="s">
        <v>17720</v>
      </c>
      <c r="AF940" t="s">
        <v>17721</v>
      </c>
      <c r="AG940" t="s">
        <v>17722</v>
      </c>
      <c r="AH940" t="s">
        <v>17723</v>
      </c>
      <c r="AI940" t="s">
        <v>17724</v>
      </c>
      <c r="AJ940" t="s">
        <v>17725</v>
      </c>
      <c r="BA940" t="str">
        <f>"1299"</f>
        <v>1299</v>
      </c>
      <c r="BB940" t="str">
        <f>"550"</f>
        <v>550</v>
      </c>
      <c r="BC940" t="s">
        <v>388</v>
      </c>
      <c r="BD940" t="str">
        <f t="shared" si="188"/>
        <v>1</v>
      </c>
      <c r="BE940" t="s">
        <v>1662</v>
      </c>
      <c r="BF940" t="str">
        <f>"29.92"</f>
        <v>29.92</v>
      </c>
      <c r="BG940" t="str">
        <f>"34.65"</f>
        <v>34.65</v>
      </c>
      <c r="BH940" t="str">
        <f>"31.1"</f>
        <v>31.1</v>
      </c>
      <c r="BI940" t="str">
        <f>"48.72"</f>
        <v>48.72</v>
      </c>
      <c r="BY940" t="str">
        <f>"15.82"</f>
        <v>15.82</v>
      </c>
      <c r="BZ940" t="str">
        <f>"0.448"</f>
        <v>0.448</v>
      </c>
      <c r="CA940" t="s">
        <v>495</v>
      </c>
      <c r="CH940" t="s">
        <v>638</v>
      </c>
      <c r="CI940" t="s">
        <v>3025</v>
      </c>
      <c r="CJ940" t="s">
        <v>432</v>
      </c>
      <c r="CK940" t="s">
        <v>1553</v>
      </c>
      <c r="CL940" t="s">
        <v>2073</v>
      </c>
      <c r="CN940">
        <v>0</v>
      </c>
      <c r="CO940">
        <v>1</v>
      </c>
      <c r="CP940" t="s">
        <v>398</v>
      </c>
      <c r="CQ940" t="s">
        <v>631</v>
      </c>
      <c r="CX940" t="s">
        <v>403</v>
      </c>
      <c r="CY940" t="s">
        <v>400</v>
      </c>
      <c r="CZ940">
        <v>0</v>
      </c>
      <c r="DD940">
        <v>25000</v>
      </c>
      <c r="DE940" t="s">
        <v>405</v>
      </c>
      <c r="DF940" t="s">
        <v>632</v>
      </c>
      <c r="DG940" t="s">
        <v>1808</v>
      </c>
      <c r="DH940">
        <v>1</v>
      </c>
      <c r="DI940">
        <v>1</v>
      </c>
      <c r="DK940" t="s">
        <v>17726</v>
      </c>
      <c r="DL940">
        <v>0</v>
      </c>
      <c r="DM940" t="s">
        <v>538</v>
      </c>
      <c r="DU940" t="s">
        <v>446</v>
      </c>
      <c r="DV940" t="s">
        <v>474</v>
      </c>
      <c r="DW940" t="s">
        <v>634</v>
      </c>
      <c r="DX940" t="s">
        <v>448</v>
      </c>
      <c r="DY940" t="s">
        <v>600</v>
      </c>
      <c r="DZ940" t="s">
        <v>2083</v>
      </c>
      <c r="EA940" t="s">
        <v>1056</v>
      </c>
      <c r="ED940" t="s">
        <v>632</v>
      </c>
      <c r="EE940" t="s">
        <v>1808</v>
      </c>
      <c r="EG940" t="s">
        <v>641</v>
      </c>
      <c r="EP940" t="s">
        <v>796</v>
      </c>
      <c r="EQ940" t="s">
        <v>432</v>
      </c>
      <c r="ER940">
        <v>0</v>
      </c>
      <c r="ES940">
        <v>0</v>
      </c>
      <c r="EU940">
        <v>0</v>
      </c>
    </row>
    <row r="941" spans="1:297" x14ac:dyDescent="0.25">
      <c r="A941" t="s">
        <v>17727</v>
      </c>
      <c r="B941" t="str">
        <f>"801542959326"</f>
        <v>801542959326</v>
      </c>
      <c r="C941" t="s">
        <v>17728</v>
      </c>
      <c r="D941" t="s">
        <v>10600</v>
      </c>
      <c r="E941" t="s">
        <v>1043</v>
      </c>
      <c r="G941" t="str">
        <f>"26"</f>
        <v>26</v>
      </c>
      <c r="H941" t="str">
        <f>"20"</f>
        <v>20</v>
      </c>
      <c r="I941" t="str">
        <f>"24"</f>
        <v>24</v>
      </c>
      <c r="J941" t="str">
        <f>"87.08"</f>
        <v>87.08</v>
      </c>
      <c r="K941" t="s">
        <v>17729</v>
      </c>
      <c r="N941" t="s">
        <v>11622</v>
      </c>
      <c r="T941" t="s">
        <v>373</v>
      </c>
      <c r="U941" t="s">
        <v>373</v>
      </c>
      <c r="V941" t="s">
        <v>17730</v>
      </c>
      <c r="W941" t="s">
        <v>17731</v>
      </c>
      <c r="X941" t="s">
        <v>17732</v>
      </c>
      <c r="Y941" t="s">
        <v>17733</v>
      </c>
      <c r="Z941" t="s">
        <v>17734</v>
      </c>
      <c r="AA941" t="s">
        <v>17735</v>
      </c>
      <c r="AB941" t="s">
        <v>17736</v>
      </c>
      <c r="AC941" t="s">
        <v>17737</v>
      </c>
      <c r="AD941" t="s">
        <v>17738</v>
      </c>
      <c r="AE941" t="s">
        <v>17739</v>
      </c>
      <c r="AF941" t="s">
        <v>17740</v>
      </c>
      <c r="AG941" t="s">
        <v>17741</v>
      </c>
      <c r="AH941" t="s">
        <v>17742</v>
      </c>
      <c r="AI941" t="s">
        <v>17743</v>
      </c>
      <c r="AJ941" t="s">
        <v>17744</v>
      </c>
      <c r="AK941" t="s">
        <v>17745</v>
      </c>
      <c r="AL941" t="s">
        <v>17024</v>
      </c>
      <c r="BA941" t="str">
        <f>"1299"</f>
        <v>1299</v>
      </c>
      <c r="BB941" t="str">
        <f>"550"</f>
        <v>550</v>
      </c>
      <c r="BC941" t="s">
        <v>6158</v>
      </c>
      <c r="BD941" t="str">
        <f t="shared" si="188"/>
        <v>1</v>
      </c>
      <c r="BE941" t="s">
        <v>389</v>
      </c>
      <c r="BF941" t="str">
        <f>"31.3"</f>
        <v>31.3</v>
      </c>
      <c r="BG941" t="str">
        <f>"25.79"</f>
        <v>25.79</v>
      </c>
      <c r="BH941" t="str">
        <f>"31.89"</f>
        <v>31.89</v>
      </c>
      <c r="BI941" t="str">
        <f>"112.21"</f>
        <v>112.21</v>
      </c>
      <c r="BY941" t="str">
        <f>"14.9"</f>
        <v>14.9</v>
      </c>
      <c r="BZ941" t="str">
        <f>"0.422"</f>
        <v>0.422</v>
      </c>
      <c r="CA941" t="s">
        <v>431</v>
      </c>
      <c r="CR941" t="s">
        <v>5068</v>
      </c>
      <c r="CS941">
        <v>4</v>
      </c>
      <c r="CT941" t="s">
        <v>1312</v>
      </c>
      <c r="CV941">
        <v>0</v>
      </c>
      <c r="CX941" t="s">
        <v>1980</v>
      </c>
      <c r="CY941" t="s">
        <v>1009</v>
      </c>
      <c r="DC941">
        <v>0</v>
      </c>
      <c r="DJ941" t="s">
        <v>1437</v>
      </c>
      <c r="DK941" t="s">
        <v>17746</v>
      </c>
      <c r="DM941" t="s">
        <v>473</v>
      </c>
      <c r="DX941" t="s">
        <v>1040</v>
      </c>
      <c r="EM941" t="s">
        <v>402</v>
      </c>
      <c r="EN941">
        <v>0</v>
      </c>
      <c r="FI941">
        <v>0</v>
      </c>
      <c r="FJ941" t="s">
        <v>1012</v>
      </c>
      <c r="FP941" t="s">
        <v>402</v>
      </c>
      <c r="FR941" t="s">
        <v>4976</v>
      </c>
      <c r="FT941" t="s">
        <v>7985</v>
      </c>
      <c r="FV941" t="s">
        <v>17747</v>
      </c>
      <c r="FX941" t="s">
        <v>4210</v>
      </c>
      <c r="FZ941" t="s">
        <v>6455</v>
      </c>
      <c r="GA941" t="s">
        <v>402</v>
      </c>
    </row>
    <row r="942" spans="1:297" x14ac:dyDescent="0.25">
      <c r="A942" t="s">
        <v>17748</v>
      </c>
      <c r="B942" t="str">
        <f>"198394000932"</f>
        <v>198394000932</v>
      </c>
      <c r="C942" t="s">
        <v>17749</v>
      </c>
      <c r="D942" t="s">
        <v>10600</v>
      </c>
      <c r="E942" t="s">
        <v>1043</v>
      </c>
      <c r="G942" t="str">
        <f>"26"</f>
        <v>26</v>
      </c>
      <c r="H942" t="str">
        <f>"20"</f>
        <v>20</v>
      </c>
      <c r="I942" t="str">
        <f>"24"</f>
        <v>24</v>
      </c>
      <c r="J942" t="str">
        <f>"87.08"</f>
        <v>87.08</v>
      </c>
      <c r="K942" t="s">
        <v>17750</v>
      </c>
      <c r="N942" t="s">
        <v>11622</v>
      </c>
      <c r="T942" t="s">
        <v>373</v>
      </c>
      <c r="U942" t="s">
        <v>373</v>
      </c>
      <c r="V942" t="s">
        <v>17751</v>
      </c>
      <c r="W942" t="s">
        <v>17752</v>
      </c>
      <c r="X942" t="s">
        <v>17753</v>
      </c>
      <c r="Y942" t="s">
        <v>17754</v>
      </c>
      <c r="Z942" t="s">
        <v>17755</v>
      </c>
      <c r="AA942" t="s">
        <v>17756</v>
      </c>
      <c r="AB942" t="s">
        <v>17757</v>
      </c>
      <c r="AC942" t="s">
        <v>17758</v>
      </c>
      <c r="AD942" t="s">
        <v>17759</v>
      </c>
      <c r="AE942" t="s">
        <v>17760</v>
      </c>
      <c r="AF942" t="s">
        <v>17761</v>
      </c>
      <c r="AG942" t="s">
        <v>17762</v>
      </c>
      <c r="BA942" t="str">
        <f>"1299"</f>
        <v>1299</v>
      </c>
      <c r="BB942" t="str">
        <f>"550"</f>
        <v>550</v>
      </c>
      <c r="BC942" t="s">
        <v>6158</v>
      </c>
      <c r="BD942" t="str">
        <f t="shared" si="188"/>
        <v>1</v>
      </c>
      <c r="BE942" t="s">
        <v>389</v>
      </c>
      <c r="BF942" t="str">
        <f>"31.3"</f>
        <v>31.3</v>
      </c>
      <c r="BG942" t="str">
        <f>"25.79"</f>
        <v>25.79</v>
      </c>
      <c r="BH942" t="str">
        <f>"31.89"</f>
        <v>31.89</v>
      </c>
      <c r="BI942" t="str">
        <f>"112.21"</f>
        <v>112.21</v>
      </c>
      <c r="BY942" t="str">
        <f>"14.9"</f>
        <v>14.9</v>
      </c>
      <c r="BZ942" t="str">
        <f>"0.422"</f>
        <v>0.422</v>
      </c>
      <c r="CA942" t="s">
        <v>431</v>
      </c>
      <c r="CR942" t="s">
        <v>5068</v>
      </c>
      <c r="CS942">
        <v>4</v>
      </c>
      <c r="CT942" t="s">
        <v>1312</v>
      </c>
      <c r="CV942">
        <v>0</v>
      </c>
      <c r="CX942" t="s">
        <v>1980</v>
      </c>
      <c r="CY942" t="s">
        <v>1009</v>
      </c>
      <c r="DC942">
        <v>0</v>
      </c>
      <c r="DJ942" t="s">
        <v>1437</v>
      </c>
      <c r="DK942" t="s">
        <v>17746</v>
      </c>
      <c r="DM942" t="s">
        <v>473</v>
      </c>
      <c r="DX942" t="s">
        <v>1040</v>
      </c>
      <c r="EM942" t="s">
        <v>402</v>
      </c>
      <c r="EN942">
        <v>0</v>
      </c>
      <c r="FI942">
        <v>0</v>
      </c>
      <c r="FJ942" t="s">
        <v>1012</v>
      </c>
      <c r="FP942" t="s">
        <v>402</v>
      </c>
      <c r="FR942" t="s">
        <v>4976</v>
      </c>
      <c r="FT942" t="s">
        <v>7985</v>
      </c>
      <c r="FV942" t="s">
        <v>17747</v>
      </c>
      <c r="FX942" t="s">
        <v>4210</v>
      </c>
      <c r="FZ942" t="s">
        <v>6455</v>
      </c>
      <c r="GA942" t="s">
        <v>402</v>
      </c>
    </row>
    <row r="943" spans="1:297" x14ac:dyDescent="0.25">
      <c r="A943" t="s">
        <v>17763</v>
      </c>
      <c r="B943" t="str">
        <f>"801542972554"</f>
        <v>801542972554</v>
      </c>
      <c r="C943" t="s">
        <v>17764</v>
      </c>
      <c r="D943" t="s">
        <v>15654</v>
      </c>
      <c r="E943" t="s">
        <v>1043</v>
      </c>
      <c r="G943" t="str">
        <f>"30"</f>
        <v>30</v>
      </c>
      <c r="H943" t="str">
        <f>"17"</f>
        <v>17</v>
      </c>
      <c r="I943" t="str">
        <f>"24"</f>
        <v>24</v>
      </c>
      <c r="J943" t="str">
        <f>"83.77"</f>
        <v>83.77</v>
      </c>
      <c r="K943" t="s">
        <v>14203</v>
      </c>
      <c r="L943" t="s">
        <v>15656</v>
      </c>
      <c r="N943" t="s">
        <v>6002</v>
      </c>
      <c r="O943" t="s">
        <v>1970</v>
      </c>
      <c r="T943" t="s">
        <v>373</v>
      </c>
      <c r="U943" t="s">
        <v>373</v>
      </c>
      <c r="V943" t="s">
        <v>17765</v>
      </c>
      <c r="W943" t="s">
        <v>17766</v>
      </c>
      <c r="X943" t="s">
        <v>17767</v>
      </c>
      <c r="Y943" t="s">
        <v>17768</v>
      </c>
      <c r="Z943" t="s">
        <v>17769</v>
      </c>
      <c r="AA943" t="s">
        <v>17770</v>
      </c>
      <c r="AB943" t="s">
        <v>17771</v>
      </c>
      <c r="AC943" t="s">
        <v>17772</v>
      </c>
      <c r="AD943" t="s">
        <v>17773</v>
      </c>
      <c r="AE943" t="s">
        <v>17774</v>
      </c>
      <c r="AF943" t="s">
        <v>17775</v>
      </c>
      <c r="AG943" t="s">
        <v>17776</v>
      </c>
      <c r="AH943" t="s">
        <v>17777</v>
      </c>
      <c r="AI943" t="s">
        <v>17778</v>
      </c>
      <c r="AJ943" t="s">
        <v>17779</v>
      </c>
      <c r="AK943" t="s">
        <v>17780</v>
      </c>
      <c r="AL943" t="s">
        <v>17781</v>
      </c>
      <c r="AM943" t="s">
        <v>17782</v>
      </c>
      <c r="BA943" t="str">
        <f>"1199"</f>
        <v>1199</v>
      </c>
      <c r="BB943" t="str">
        <f>"505"</f>
        <v>505</v>
      </c>
      <c r="BC943" t="s">
        <v>665</v>
      </c>
      <c r="BD943" t="str">
        <f t="shared" si="188"/>
        <v>1</v>
      </c>
      <c r="BE943" t="s">
        <v>389</v>
      </c>
      <c r="BF943" t="str">
        <f>"35.83"</f>
        <v>35.83</v>
      </c>
      <c r="BG943" t="str">
        <f>"21.65"</f>
        <v>21.65</v>
      </c>
      <c r="BH943" t="str">
        <f>"29.53"</f>
        <v>29.53</v>
      </c>
      <c r="BI943" t="str">
        <f>"99.21"</f>
        <v>99.21</v>
      </c>
      <c r="BY943" t="str">
        <f>"13.24"</f>
        <v>13.24</v>
      </c>
      <c r="BZ943" t="str">
        <f>"0.375"</f>
        <v>0.375</v>
      </c>
      <c r="CA943" t="s">
        <v>431</v>
      </c>
      <c r="CE943" t="s">
        <v>3983</v>
      </c>
      <c r="CF943" t="s">
        <v>4164</v>
      </c>
      <c r="CG943" t="s">
        <v>2379</v>
      </c>
      <c r="CR943" t="s">
        <v>5068</v>
      </c>
      <c r="CS943">
        <v>1</v>
      </c>
      <c r="CT943" t="s">
        <v>400</v>
      </c>
      <c r="CV943">
        <v>0</v>
      </c>
      <c r="CX943" t="s">
        <v>4903</v>
      </c>
      <c r="CY943" t="s">
        <v>954</v>
      </c>
      <c r="DC943">
        <v>1</v>
      </c>
      <c r="DJ943" t="s">
        <v>1437</v>
      </c>
      <c r="DK943" t="s">
        <v>17783</v>
      </c>
      <c r="DM943" t="s">
        <v>473</v>
      </c>
      <c r="DX943" t="s">
        <v>3518</v>
      </c>
      <c r="EM943" t="s">
        <v>402</v>
      </c>
      <c r="EN943">
        <v>1</v>
      </c>
      <c r="EZ943" t="s">
        <v>17784</v>
      </c>
      <c r="FA943" t="s">
        <v>3599</v>
      </c>
      <c r="FB943" t="s">
        <v>17785</v>
      </c>
      <c r="FC943" t="s">
        <v>1442</v>
      </c>
      <c r="FD943" t="s">
        <v>3599</v>
      </c>
      <c r="FE943" t="s">
        <v>3857</v>
      </c>
      <c r="FG943" t="s">
        <v>402</v>
      </c>
      <c r="FH943" t="s">
        <v>959</v>
      </c>
      <c r="FI943">
        <v>2</v>
      </c>
      <c r="FJ943" t="s">
        <v>960</v>
      </c>
      <c r="FK943" t="s">
        <v>1246</v>
      </c>
      <c r="FM943" t="s">
        <v>402</v>
      </c>
      <c r="FO943" t="s">
        <v>984</v>
      </c>
      <c r="FP943" t="s">
        <v>402</v>
      </c>
      <c r="FR943" t="s">
        <v>13152</v>
      </c>
      <c r="FT943" t="s">
        <v>17786</v>
      </c>
      <c r="FV943" t="s">
        <v>2595</v>
      </c>
      <c r="FX943" t="s">
        <v>4210</v>
      </c>
      <c r="FZ943" t="s">
        <v>6455</v>
      </c>
      <c r="GX943" t="s">
        <v>1350</v>
      </c>
      <c r="HI943" t="s">
        <v>402</v>
      </c>
    </row>
    <row r="944" spans="1:297" x14ac:dyDescent="0.25">
      <c r="A944" t="s">
        <v>17787</v>
      </c>
      <c r="B944" t="str">
        <f>"801542972561"</f>
        <v>801542972561</v>
      </c>
      <c r="C944" t="s">
        <v>17788</v>
      </c>
      <c r="D944" t="s">
        <v>15654</v>
      </c>
      <c r="E944" t="s">
        <v>1043</v>
      </c>
      <c r="G944" t="str">
        <f>"30"</f>
        <v>30</v>
      </c>
      <c r="H944" t="str">
        <f>"17"</f>
        <v>17</v>
      </c>
      <c r="I944" t="str">
        <f>"24"</f>
        <v>24</v>
      </c>
      <c r="J944" t="str">
        <f>"74.96"</f>
        <v>74.96</v>
      </c>
      <c r="K944" t="s">
        <v>17789</v>
      </c>
      <c r="N944" t="s">
        <v>17256</v>
      </c>
      <c r="T944" t="s">
        <v>373</v>
      </c>
      <c r="U944" t="s">
        <v>373</v>
      </c>
      <c r="V944" t="s">
        <v>17790</v>
      </c>
      <c r="W944" t="s">
        <v>17791</v>
      </c>
      <c r="X944" t="s">
        <v>17792</v>
      </c>
      <c r="Y944" t="s">
        <v>17793</v>
      </c>
      <c r="Z944" t="s">
        <v>17794</v>
      </c>
      <c r="AA944" t="s">
        <v>17795</v>
      </c>
      <c r="AB944" t="s">
        <v>17796</v>
      </c>
      <c r="AC944" t="s">
        <v>17797</v>
      </c>
      <c r="AD944" t="s">
        <v>17798</v>
      </c>
      <c r="BA944" t="str">
        <f>"1199"</f>
        <v>1199</v>
      </c>
      <c r="BB944" t="str">
        <f>"505"</f>
        <v>505</v>
      </c>
      <c r="BC944" t="s">
        <v>665</v>
      </c>
      <c r="BD944" t="str">
        <f t="shared" si="188"/>
        <v>1</v>
      </c>
      <c r="BE944" t="s">
        <v>389</v>
      </c>
      <c r="BF944" t="str">
        <f>"35.83"</f>
        <v>35.83</v>
      </c>
      <c r="BG944" t="str">
        <f>"21.65"</f>
        <v>21.65</v>
      </c>
      <c r="BH944" t="str">
        <f>"29.53"</f>
        <v>29.53</v>
      </c>
      <c r="BI944" t="str">
        <f>"90.39"</f>
        <v>90.39</v>
      </c>
      <c r="BY944" t="str">
        <f>"13.24"</f>
        <v>13.24</v>
      </c>
      <c r="BZ944" t="str">
        <f>"0.375"</f>
        <v>0.375</v>
      </c>
      <c r="CA944" t="s">
        <v>431</v>
      </c>
      <c r="CE944" t="s">
        <v>3983</v>
      </c>
      <c r="CF944" t="s">
        <v>4164</v>
      </c>
      <c r="CG944" t="s">
        <v>2379</v>
      </c>
      <c r="CR944" t="s">
        <v>5068</v>
      </c>
      <c r="CS944">
        <v>1</v>
      </c>
      <c r="CT944" t="s">
        <v>400</v>
      </c>
      <c r="CV944">
        <v>0</v>
      </c>
      <c r="CX944" t="s">
        <v>4903</v>
      </c>
      <c r="CY944" t="s">
        <v>954</v>
      </c>
      <c r="DC944">
        <v>1</v>
      </c>
      <c r="DJ944" t="s">
        <v>1437</v>
      </c>
      <c r="DK944" t="s">
        <v>17783</v>
      </c>
      <c r="DM944" t="s">
        <v>473</v>
      </c>
      <c r="DX944" t="s">
        <v>3518</v>
      </c>
      <c r="EM944" t="s">
        <v>402</v>
      </c>
      <c r="EN944">
        <v>1</v>
      </c>
      <c r="EZ944" t="s">
        <v>17784</v>
      </c>
      <c r="FA944" t="s">
        <v>3599</v>
      </c>
      <c r="FB944" t="s">
        <v>17785</v>
      </c>
      <c r="FC944" t="s">
        <v>1442</v>
      </c>
      <c r="FD944" t="s">
        <v>3599</v>
      </c>
      <c r="FE944" t="s">
        <v>3857</v>
      </c>
      <c r="FG944" t="s">
        <v>402</v>
      </c>
      <c r="FH944" t="s">
        <v>959</v>
      </c>
      <c r="FI944">
        <v>2</v>
      </c>
      <c r="FJ944" t="s">
        <v>960</v>
      </c>
      <c r="FK944" t="s">
        <v>1246</v>
      </c>
      <c r="FM944" t="s">
        <v>402</v>
      </c>
      <c r="FO944" t="s">
        <v>984</v>
      </c>
      <c r="FP944" t="s">
        <v>402</v>
      </c>
      <c r="FR944" t="s">
        <v>13152</v>
      </c>
      <c r="FT944" t="s">
        <v>17786</v>
      </c>
      <c r="FV944" t="s">
        <v>2595</v>
      </c>
      <c r="FX944" t="s">
        <v>4210</v>
      </c>
      <c r="FZ944" t="s">
        <v>6455</v>
      </c>
      <c r="GX944" t="s">
        <v>1350</v>
      </c>
      <c r="HI944" t="s">
        <v>402</v>
      </c>
    </row>
    <row r="945" spans="1:345" x14ac:dyDescent="0.25">
      <c r="A945" t="s">
        <v>17799</v>
      </c>
      <c r="B945" t="str">
        <f>"801542962562"</f>
        <v>801542962562</v>
      </c>
      <c r="C945" t="s">
        <v>17800</v>
      </c>
      <c r="D945" t="s">
        <v>1420</v>
      </c>
      <c r="E945" t="s">
        <v>1021</v>
      </c>
      <c r="G945" t="str">
        <f>"78"</f>
        <v>78</v>
      </c>
      <c r="H945" t="str">
        <f>"18"</f>
        <v>18</v>
      </c>
      <c r="I945" t="str">
        <f>"25.75"</f>
        <v>25.75</v>
      </c>
      <c r="J945" t="str">
        <f>"205.03"</f>
        <v>205.03</v>
      </c>
      <c r="K945" t="s">
        <v>5461</v>
      </c>
      <c r="N945" t="s">
        <v>1970</v>
      </c>
      <c r="O945" t="s">
        <v>372</v>
      </c>
      <c r="T945" t="s">
        <v>373</v>
      </c>
      <c r="U945" t="s">
        <v>373</v>
      </c>
      <c r="V945" t="s">
        <v>17801</v>
      </c>
      <c r="W945" t="s">
        <v>17802</v>
      </c>
      <c r="X945" t="s">
        <v>17803</v>
      </c>
      <c r="Y945" t="s">
        <v>17804</v>
      </c>
      <c r="Z945" t="s">
        <v>17805</v>
      </c>
      <c r="AA945" t="s">
        <v>17806</v>
      </c>
      <c r="AB945" t="s">
        <v>17807</v>
      </c>
      <c r="AC945" t="s">
        <v>17808</v>
      </c>
      <c r="AD945" t="s">
        <v>17809</v>
      </c>
      <c r="AE945" t="s">
        <v>17810</v>
      </c>
      <c r="AF945" t="s">
        <v>17811</v>
      </c>
      <c r="AG945" t="s">
        <v>17812</v>
      </c>
      <c r="AH945" t="s">
        <v>17813</v>
      </c>
      <c r="AI945" t="s">
        <v>17814</v>
      </c>
      <c r="AJ945" t="s">
        <v>17815</v>
      </c>
      <c r="AK945" t="s">
        <v>17816</v>
      </c>
      <c r="AL945" t="s">
        <v>17817</v>
      </c>
      <c r="BA945" t="str">
        <f>"1999"</f>
        <v>1999</v>
      </c>
      <c r="BB945" t="str">
        <f>"840"</f>
        <v>840</v>
      </c>
      <c r="BC945" t="s">
        <v>665</v>
      </c>
      <c r="BD945" t="str">
        <f t="shared" si="188"/>
        <v>1</v>
      </c>
      <c r="BE945" t="s">
        <v>10090</v>
      </c>
      <c r="BF945" t="str">
        <f>"83.46"</f>
        <v>83.46</v>
      </c>
      <c r="BG945" t="str">
        <f>"23.23"</f>
        <v>23.23</v>
      </c>
      <c r="BH945" t="str">
        <f>"33.27"</f>
        <v>33.27</v>
      </c>
      <c r="BI945" t="str">
        <f>"245.82"</f>
        <v>245.82</v>
      </c>
      <c r="BY945" t="str">
        <f>"37.33"</f>
        <v>37.33</v>
      </c>
      <c r="BZ945" t="str">
        <f>"1.057"</f>
        <v>1.057</v>
      </c>
      <c r="CA945" t="s">
        <v>495</v>
      </c>
      <c r="CE945" t="s">
        <v>11190</v>
      </c>
      <c r="CF945" t="s">
        <v>4245</v>
      </c>
      <c r="CG945" t="s">
        <v>17818</v>
      </c>
      <c r="CR945" t="s">
        <v>5068</v>
      </c>
      <c r="CS945">
        <v>8</v>
      </c>
      <c r="CT945" t="s">
        <v>400</v>
      </c>
      <c r="CV945">
        <v>0</v>
      </c>
      <c r="CX945" t="s">
        <v>1241</v>
      </c>
      <c r="CY945" t="s">
        <v>1009</v>
      </c>
      <c r="DA945">
        <v>18.14</v>
      </c>
      <c r="DB945">
        <v>40</v>
      </c>
      <c r="DC945">
        <v>1</v>
      </c>
      <c r="DK945" t="s">
        <v>17819</v>
      </c>
      <c r="DX945" t="s">
        <v>17820</v>
      </c>
      <c r="EM945" t="s">
        <v>402</v>
      </c>
      <c r="EN945">
        <v>1</v>
      </c>
      <c r="EZ945" t="s">
        <v>17821</v>
      </c>
      <c r="FA945" t="s">
        <v>1348</v>
      </c>
      <c r="FB945" t="s">
        <v>17822</v>
      </c>
      <c r="FC945" t="s">
        <v>11190</v>
      </c>
      <c r="FD945" t="s">
        <v>4614</v>
      </c>
      <c r="FE945" t="s">
        <v>17818</v>
      </c>
      <c r="FG945" t="s">
        <v>402</v>
      </c>
      <c r="FI945">
        <v>2</v>
      </c>
      <c r="FJ945" t="s">
        <v>13867</v>
      </c>
      <c r="FM945" t="s">
        <v>402</v>
      </c>
      <c r="FO945" t="s">
        <v>984</v>
      </c>
      <c r="FP945" t="s">
        <v>402</v>
      </c>
      <c r="FR945" t="s">
        <v>13496</v>
      </c>
      <c r="FS945" t="s">
        <v>13496</v>
      </c>
      <c r="FT945" t="s">
        <v>1014</v>
      </c>
      <c r="FU945" t="s">
        <v>2383</v>
      </c>
      <c r="FV945" t="s">
        <v>14092</v>
      </c>
      <c r="FW945" t="s">
        <v>14092</v>
      </c>
      <c r="FX945" t="s">
        <v>4210</v>
      </c>
      <c r="FZ945" t="s">
        <v>1018</v>
      </c>
      <c r="GE945">
        <v>0</v>
      </c>
      <c r="GX945" t="s">
        <v>392</v>
      </c>
      <c r="HI945" t="s">
        <v>402</v>
      </c>
      <c r="KG945" t="s">
        <v>1312</v>
      </c>
    </row>
    <row r="946" spans="1:345" x14ac:dyDescent="0.25">
      <c r="A946" t="s">
        <v>17823</v>
      </c>
      <c r="B946" t="str">
        <f>"801542951696"</f>
        <v>801542951696</v>
      </c>
      <c r="C946" t="s">
        <v>17824</v>
      </c>
      <c r="D946" t="s">
        <v>1139</v>
      </c>
      <c r="E946" t="s">
        <v>515</v>
      </c>
      <c r="F946" t="s">
        <v>516</v>
      </c>
      <c r="G946" t="str">
        <f>"53"</f>
        <v>53</v>
      </c>
      <c r="H946" t="str">
        <f>"38"</f>
        <v>38</v>
      </c>
      <c r="I946" t="str">
        <f>"34"</f>
        <v>34</v>
      </c>
      <c r="J946" t="str">
        <f>"114.64"</f>
        <v>114.64</v>
      </c>
      <c r="K946" t="s">
        <v>3643</v>
      </c>
      <c r="L946" t="s">
        <v>17825</v>
      </c>
      <c r="N946" t="s">
        <v>3646</v>
      </c>
      <c r="O946" t="s">
        <v>3647</v>
      </c>
      <c r="P946" t="s">
        <v>3648</v>
      </c>
      <c r="Q946" t="s">
        <v>3787</v>
      </c>
      <c r="T946" t="s">
        <v>373</v>
      </c>
      <c r="U946" t="s">
        <v>402</v>
      </c>
      <c r="V946" t="s">
        <v>17826</v>
      </c>
      <c r="W946" t="s">
        <v>17827</v>
      </c>
      <c r="X946" t="s">
        <v>17828</v>
      </c>
      <c r="Y946" t="s">
        <v>17829</v>
      </c>
      <c r="Z946" t="s">
        <v>17830</v>
      </c>
      <c r="AA946" t="s">
        <v>17831</v>
      </c>
      <c r="AB946" t="s">
        <v>17832</v>
      </c>
      <c r="AC946" t="s">
        <v>17833</v>
      </c>
      <c r="AD946" t="s">
        <v>17834</v>
      </c>
      <c r="AE946" t="s">
        <v>17835</v>
      </c>
      <c r="AF946" t="s">
        <v>17836</v>
      </c>
      <c r="AG946" t="s">
        <v>17837</v>
      </c>
      <c r="AH946" t="s">
        <v>17838</v>
      </c>
      <c r="BA946" t="str">
        <f>"2599"</f>
        <v>2599</v>
      </c>
      <c r="BB946" t="str">
        <f>"1095"</f>
        <v>1095</v>
      </c>
      <c r="BC946" t="s">
        <v>1149</v>
      </c>
      <c r="BD946" t="str">
        <f t="shared" si="188"/>
        <v>1</v>
      </c>
      <c r="BE946" t="s">
        <v>389</v>
      </c>
      <c r="BF946" t="str">
        <f>"56"</f>
        <v>56</v>
      </c>
      <c r="BG946" t="str">
        <f>"42"</f>
        <v>42</v>
      </c>
      <c r="BH946" t="str">
        <f>"31.5"</f>
        <v>31.5</v>
      </c>
      <c r="BI946" t="str">
        <f>"125.66"</f>
        <v>125.66</v>
      </c>
      <c r="BY946" t="str">
        <f>"42.87"</f>
        <v>42.87</v>
      </c>
      <c r="BZ946" t="str">
        <f>"1.214"</f>
        <v>1.214</v>
      </c>
      <c r="CA946" t="s">
        <v>390</v>
      </c>
      <c r="CH946" t="s">
        <v>451</v>
      </c>
      <c r="CI946" t="s">
        <v>610</v>
      </c>
      <c r="CJ946" t="s">
        <v>6873</v>
      </c>
      <c r="CK946" t="s">
        <v>979</v>
      </c>
      <c r="CL946" t="s">
        <v>1554</v>
      </c>
      <c r="CM946" t="s">
        <v>6873</v>
      </c>
      <c r="CN946">
        <v>0</v>
      </c>
      <c r="CO946">
        <v>1</v>
      </c>
      <c r="CP946" t="s">
        <v>437</v>
      </c>
      <c r="CQ946" t="s">
        <v>1152</v>
      </c>
      <c r="CU946" t="s">
        <v>2143</v>
      </c>
      <c r="CX946" t="s">
        <v>403</v>
      </c>
      <c r="CY946" t="s">
        <v>3672</v>
      </c>
      <c r="CZ946">
        <v>0</v>
      </c>
      <c r="DD946">
        <v>33000</v>
      </c>
      <c r="DE946" t="s">
        <v>5385</v>
      </c>
      <c r="DF946" t="s">
        <v>406</v>
      </c>
      <c r="DG946" t="s">
        <v>407</v>
      </c>
      <c r="DH946">
        <v>1</v>
      </c>
      <c r="DI946">
        <v>2</v>
      </c>
      <c r="DK946" t="s">
        <v>17839</v>
      </c>
      <c r="DL946">
        <v>0</v>
      </c>
      <c r="DM946" t="s">
        <v>538</v>
      </c>
      <c r="DN946" t="s">
        <v>1553</v>
      </c>
      <c r="DO946" t="s">
        <v>446</v>
      </c>
      <c r="DP946" t="s">
        <v>790</v>
      </c>
      <c r="DT946" t="s">
        <v>799</v>
      </c>
      <c r="DU946" t="s">
        <v>1037</v>
      </c>
      <c r="DV946" t="s">
        <v>474</v>
      </c>
      <c r="DW946" t="s">
        <v>6873</v>
      </c>
      <c r="DX946" t="s">
        <v>450</v>
      </c>
      <c r="DZ946" t="s">
        <v>2145</v>
      </c>
      <c r="EA946" t="s">
        <v>950</v>
      </c>
      <c r="ED946" t="s">
        <v>406</v>
      </c>
      <c r="EE946" t="s">
        <v>407</v>
      </c>
      <c r="EF946" t="s">
        <v>831</v>
      </c>
      <c r="EG946" t="s">
        <v>1710</v>
      </c>
      <c r="ER946">
        <v>0</v>
      </c>
      <c r="ES946">
        <v>0</v>
      </c>
      <c r="ET946" t="s">
        <v>832</v>
      </c>
      <c r="EU946">
        <v>0</v>
      </c>
      <c r="IG946" t="s">
        <v>2981</v>
      </c>
      <c r="JD946" t="s">
        <v>1151</v>
      </c>
      <c r="JE946" t="s">
        <v>6582</v>
      </c>
      <c r="JF946" t="s">
        <v>434</v>
      </c>
      <c r="KW946" t="s">
        <v>17840</v>
      </c>
      <c r="KX946" t="s">
        <v>799</v>
      </c>
      <c r="KY946" t="s">
        <v>510</v>
      </c>
      <c r="LO946" t="s">
        <v>635</v>
      </c>
    </row>
    <row r="947" spans="1:345" x14ac:dyDescent="0.25">
      <c r="A947" t="s">
        <v>17841</v>
      </c>
      <c r="B947" t="str">
        <f>"801542987633"</f>
        <v>801542987633</v>
      </c>
      <c r="C947" t="s">
        <v>17842</v>
      </c>
      <c r="D947" t="s">
        <v>1139</v>
      </c>
      <c r="E947" t="s">
        <v>413</v>
      </c>
      <c r="G947" t="str">
        <f>"76"</f>
        <v>76</v>
      </c>
      <c r="H947" t="str">
        <f>"38"</f>
        <v>38</v>
      </c>
      <c r="I947" t="str">
        <f>"33"</f>
        <v>33</v>
      </c>
      <c r="J947" t="str">
        <f>"196.21"</f>
        <v>196.21</v>
      </c>
      <c r="K947" t="s">
        <v>3643</v>
      </c>
      <c r="L947" t="s">
        <v>17825</v>
      </c>
      <c r="N947" t="s">
        <v>3646</v>
      </c>
      <c r="O947" t="s">
        <v>3647</v>
      </c>
      <c r="P947" t="s">
        <v>3648</v>
      </c>
      <c r="Q947" t="s">
        <v>3787</v>
      </c>
      <c r="T947" t="s">
        <v>373</v>
      </c>
      <c r="U947" t="s">
        <v>402</v>
      </c>
      <c r="V947" t="s">
        <v>17843</v>
      </c>
      <c r="W947" t="s">
        <v>17844</v>
      </c>
      <c r="X947" t="s">
        <v>17845</v>
      </c>
      <c r="Y947" t="s">
        <v>17846</v>
      </c>
      <c r="Z947" t="s">
        <v>17847</v>
      </c>
      <c r="AA947" t="s">
        <v>17848</v>
      </c>
      <c r="AB947" t="s">
        <v>17849</v>
      </c>
      <c r="AC947" t="s">
        <v>17850</v>
      </c>
      <c r="AD947" t="s">
        <v>17851</v>
      </c>
      <c r="AE947" t="s">
        <v>17852</v>
      </c>
      <c r="AF947" t="s">
        <v>17853</v>
      </c>
      <c r="AG947" t="s">
        <v>17854</v>
      </c>
      <c r="AH947" t="s">
        <v>17855</v>
      </c>
      <c r="AI947" t="s">
        <v>17856</v>
      </c>
      <c r="AJ947" t="s">
        <v>17857</v>
      </c>
      <c r="AK947" t="s">
        <v>17858</v>
      </c>
      <c r="AL947" t="s">
        <v>17859</v>
      </c>
      <c r="AM947" t="s">
        <v>17860</v>
      </c>
      <c r="AN947" t="s">
        <v>17861</v>
      </c>
      <c r="AO947" t="s">
        <v>17862</v>
      </c>
      <c r="AP947" t="s">
        <v>17863</v>
      </c>
      <c r="AQ947" t="s">
        <v>17864</v>
      </c>
      <c r="BA947" t="str">
        <f>"3499"</f>
        <v>3499</v>
      </c>
      <c r="BB947" t="str">
        <f>"1470"</f>
        <v>1470</v>
      </c>
      <c r="BC947" t="s">
        <v>1149</v>
      </c>
      <c r="BD947" t="str">
        <f t="shared" si="188"/>
        <v>1</v>
      </c>
      <c r="BE947" t="s">
        <v>389</v>
      </c>
      <c r="BF947" t="str">
        <f>"78"</f>
        <v>78</v>
      </c>
      <c r="BG947" t="str">
        <f>"42"</f>
        <v>42</v>
      </c>
      <c r="BH947" t="str">
        <f>"31.5"</f>
        <v>31.5</v>
      </c>
      <c r="BI947" t="str">
        <f>"209.44"</f>
        <v>209.44</v>
      </c>
      <c r="BY947" t="str">
        <f>"59.72"</f>
        <v>59.72</v>
      </c>
      <c r="BZ947" t="str">
        <f>"1.691"</f>
        <v>1.691</v>
      </c>
      <c r="CA947" t="s">
        <v>390</v>
      </c>
      <c r="CH947" t="s">
        <v>451</v>
      </c>
      <c r="CI947" t="s">
        <v>610</v>
      </c>
      <c r="CJ947" t="s">
        <v>17865</v>
      </c>
      <c r="CK947" t="s">
        <v>979</v>
      </c>
      <c r="CL947" t="s">
        <v>1554</v>
      </c>
      <c r="CM947" t="s">
        <v>17865</v>
      </c>
      <c r="CN947">
        <v>0</v>
      </c>
      <c r="CO947">
        <v>2</v>
      </c>
      <c r="CP947" t="s">
        <v>437</v>
      </c>
      <c r="CQ947" t="s">
        <v>1152</v>
      </c>
      <c r="CU947" t="s">
        <v>2143</v>
      </c>
      <c r="CX947" t="s">
        <v>403</v>
      </c>
      <c r="CY947" t="s">
        <v>3672</v>
      </c>
      <c r="CZ947">
        <v>2</v>
      </c>
      <c r="DD947">
        <v>33000</v>
      </c>
      <c r="DE947" t="s">
        <v>5385</v>
      </c>
      <c r="DF947" t="s">
        <v>406</v>
      </c>
      <c r="DG947" t="s">
        <v>407</v>
      </c>
      <c r="DH947">
        <v>1</v>
      </c>
      <c r="DI947">
        <v>3</v>
      </c>
      <c r="DK947" t="s">
        <v>17839</v>
      </c>
      <c r="DL947">
        <v>0</v>
      </c>
      <c r="DM947" t="s">
        <v>410</v>
      </c>
      <c r="DN947" t="s">
        <v>1553</v>
      </c>
      <c r="DO947" t="s">
        <v>446</v>
      </c>
      <c r="DP947" t="s">
        <v>790</v>
      </c>
      <c r="DT947" t="s">
        <v>799</v>
      </c>
      <c r="DU947" t="s">
        <v>1037</v>
      </c>
      <c r="DV947" t="s">
        <v>474</v>
      </c>
      <c r="DW947" t="s">
        <v>636</v>
      </c>
      <c r="DX947" t="s">
        <v>446</v>
      </c>
      <c r="DZ947" t="s">
        <v>17866</v>
      </c>
      <c r="EA947" t="s">
        <v>950</v>
      </c>
      <c r="ED947" t="s">
        <v>406</v>
      </c>
      <c r="EE947" t="s">
        <v>407</v>
      </c>
      <c r="EF947" t="s">
        <v>831</v>
      </c>
      <c r="EG947" t="s">
        <v>1710</v>
      </c>
      <c r="ET947" t="s">
        <v>832</v>
      </c>
      <c r="IG947" t="s">
        <v>2007</v>
      </c>
      <c r="IH947" t="s">
        <v>2599</v>
      </c>
      <c r="II947" t="s">
        <v>1039</v>
      </c>
      <c r="IJ947" t="s">
        <v>609</v>
      </c>
      <c r="IK947" t="s">
        <v>407</v>
      </c>
      <c r="IL947" t="s">
        <v>402</v>
      </c>
      <c r="JD947" t="s">
        <v>1151</v>
      </c>
      <c r="JE947" t="s">
        <v>823</v>
      </c>
      <c r="JF947" t="s">
        <v>1155</v>
      </c>
      <c r="KW947" t="s">
        <v>17840</v>
      </c>
      <c r="KX947" t="s">
        <v>799</v>
      </c>
      <c r="KY947" t="s">
        <v>510</v>
      </c>
      <c r="LO947" t="s">
        <v>635</v>
      </c>
    </row>
    <row r="948" spans="1:345" x14ac:dyDescent="0.25">
      <c r="A948" t="s">
        <v>17867</v>
      </c>
      <c r="B948" t="str">
        <f>"801542960704"</f>
        <v>801542960704</v>
      </c>
      <c r="C948" t="s">
        <v>17868</v>
      </c>
      <c r="D948" t="s">
        <v>722</v>
      </c>
      <c r="E948" t="s">
        <v>3813</v>
      </c>
      <c r="G948" t="str">
        <f>"38"</f>
        <v>38</v>
      </c>
      <c r="H948" t="str">
        <f>"19"</f>
        <v>19</v>
      </c>
      <c r="I948" t="str">
        <f>"84"</f>
        <v>84</v>
      </c>
      <c r="J948" t="str">
        <f>"132.72"</f>
        <v>132.72</v>
      </c>
      <c r="K948" t="s">
        <v>724</v>
      </c>
      <c r="L948" t="s">
        <v>9067</v>
      </c>
      <c r="N948" t="s">
        <v>372</v>
      </c>
      <c r="O948" t="s">
        <v>1970</v>
      </c>
      <c r="T948" t="s">
        <v>373</v>
      </c>
      <c r="U948" t="s">
        <v>373</v>
      </c>
      <c r="W948" t="s">
        <v>17869</v>
      </c>
      <c r="X948" t="s">
        <v>17870</v>
      </c>
      <c r="Y948" t="s">
        <v>17871</v>
      </c>
      <c r="Z948" t="s">
        <v>17872</v>
      </c>
      <c r="AA948" t="s">
        <v>17873</v>
      </c>
      <c r="AB948" t="s">
        <v>17874</v>
      </c>
      <c r="AC948" t="s">
        <v>17875</v>
      </c>
      <c r="AD948" t="s">
        <v>17876</v>
      </c>
      <c r="AE948" t="s">
        <v>17877</v>
      </c>
      <c r="AF948" t="s">
        <v>17878</v>
      </c>
      <c r="AG948" t="s">
        <v>17879</v>
      </c>
      <c r="BA948" t="str">
        <f>"3299"</f>
        <v>3299</v>
      </c>
      <c r="BB948" t="str">
        <f>"1390"</f>
        <v>1390</v>
      </c>
      <c r="BC948" t="s">
        <v>388</v>
      </c>
      <c r="BD948" t="str">
        <f t="shared" si="188"/>
        <v>1</v>
      </c>
      <c r="BE948" t="s">
        <v>389</v>
      </c>
      <c r="BF948" t="str">
        <f>"41.73"</f>
        <v>41.73</v>
      </c>
      <c r="BG948" t="str">
        <f>"22.44"</f>
        <v>22.44</v>
      </c>
      <c r="BH948" t="str">
        <f>"92.13"</f>
        <v>92.13</v>
      </c>
      <c r="BI948" t="str">
        <f>"170.2"</f>
        <v>170.2</v>
      </c>
      <c r="BY948" t="str">
        <f>"49.93"</f>
        <v>49.93</v>
      </c>
      <c r="BZ948" t="str">
        <f>"1.414"</f>
        <v>1.414</v>
      </c>
      <c r="CA948" t="s">
        <v>495</v>
      </c>
      <c r="CB948" t="s">
        <v>979</v>
      </c>
      <c r="CC948" t="s">
        <v>637</v>
      </c>
      <c r="CD948" t="s">
        <v>3018</v>
      </c>
      <c r="CE948" t="s">
        <v>979</v>
      </c>
      <c r="CF948" t="s">
        <v>11806</v>
      </c>
      <c r="CG948" t="s">
        <v>3018</v>
      </c>
      <c r="CR948" t="s">
        <v>400</v>
      </c>
      <c r="CS948">
        <v>0</v>
      </c>
      <c r="CT948" t="s">
        <v>400</v>
      </c>
      <c r="CV948">
        <v>2</v>
      </c>
      <c r="CW948" t="s">
        <v>402</v>
      </c>
      <c r="CX948" t="s">
        <v>403</v>
      </c>
      <c r="CY948" t="s">
        <v>404</v>
      </c>
      <c r="DA948">
        <v>18.14</v>
      </c>
      <c r="DB948">
        <v>40</v>
      </c>
      <c r="DC948">
        <v>2</v>
      </c>
      <c r="DJ948" t="s">
        <v>982</v>
      </c>
      <c r="DK948" t="s">
        <v>6661</v>
      </c>
      <c r="DX948" t="s">
        <v>540</v>
      </c>
      <c r="EM948" t="s">
        <v>402</v>
      </c>
      <c r="EN948">
        <v>3</v>
      </c>
      <c r="FC948" t="s">
        <v>979</v>
      </c>
      <c r="FD948" t="s">
        <v>637</v>
      </c>
      <c r="FE948" t="s">
        <v>3018</v>
      </c>
      <c r="FI948">
        <v>0</v>
      </c>
      <c r="FJ948" t="s">
        <v>1012</v>
      </c>
      <c r="FM948" t="s">
        <v>402</v>
      </c>
      <c r="GB948" t="s">
        <v>979</v>
      </c>
      <c r="GC948" t="s">
        <v>11806</v>
      </c>
      <c r="GD948" t="s">
        <v>3018</v>
      </c>
      <c r="GR948" t="s">
        <v>979</v>
      </c>
      <c r="GT948" t="s">
        <v>2073</v>
      </c>
      <c r="GV948" t="s">
        <v>3018</v>
      </c>
      <c r="GX948" t="s">
        <v>475</v>
      </c>
      <c r="HI948" t="s">
        <v>402</v>
      </c>
    </row>
    <row r="949" spans="1:345" x14ac:dyDescent="0.25">
      <c r="A949" t="s">
        <v>17880</v>
      </c>
      <c r="B949" t="str">
        <f>"801542960711"</f>
        <v>801542960711</v>
      </c>
      <c r="C949" t="s">
        <v>17881</v>
      </c>
      <c r="D949" t="s">
        <v>722</v>
      </c>
      <c r="E949" t="s">
        <v>3813</v>
      </c>
      <c r="G949" t="str">
        <f>"38"</f>
        <v>38</v>
      </c>
      <c r="H949" t="str">
        <f>"19"</f>
        <v>19</v>
      </c>
      <c r="I949" t="str">
        <f>"84"</f>
        <v>84</v>
      </c>
      <c r="J949" t="str">
        <f>"132.72"</f>
        <v>132.72</v>
      </c>
      <c r="K949" t="s">
        <v>6705</v>
      </c>
      <c r="L949" t="s">
        <v>6704</v>
      </c>
      <c r="M949" t="s">
        <v>11493</v>
      </c>
      <c r="N949" t="s">
        <v>372</v>
      </c>
      <c r="O949" t="s">
        <v>1970</v>
      </c>
      <c r="T949" t="s">
        <v>373</v>
      </c>
      <c r="U949" t="s">
        <v>373</v>
      </c>
      <c r="V949" t="s">
        <v>17882</v>
      </c>
      <c r="W949" t="s">
        <v>17883</v>
      </c>
      <c r="X949" t="s">
        <v>17884</v>
      </c>
      <c r="Y949" t="s">
        <v>17885</v>
      </c>
      <c r="Z949" t="s">
        <v>17886</v>
      </c>
      <c r="AA949" t="s">
        <v>17887</v>
      </c>
      <c r="AB949" t="s">
        <v>17888</v>
      </c>
      <c r="AC949" t="s">
        <v>17889</v>
      </c>
      <c r="AD949" t="s">
        <v>17890</v>
      </c>
      <c r="AE949" t="s">
        <v>17891</v>
      </c>
      <c r="AF949" t="s">
        <v>17892</v>
      </c>
      <c r="AG949" t="s">
        <v>17893</v>
      </c>
      <c r="BA949" t="str">
        <f>"3499"</f>
        <v>3499</v>
      </c>
      <c r="BB949" t="str">
        <f>"1470"</f>
        <v>1470</v>
      </c>
      <c r="BC949" t="s">
        <v>388</v>
      </c>
      <c r="BD949" t="str">
        <f t="shared" si="188"/>
        <v>1</v>
      </c>
      <c r="BE949" t="s">
        <v>389</v>
      </c>
      <c r="BF949" t="str">
        <f>"41.73"</f>
        <v>41.73</v>
      </c>
      <c r="BG949" t="str">
        <f>"22.44"</f>
        <v>22.44</v>
      </c>
      <c r="BH949" t="str">
        <f>"92.13"</f>
        <v>92.13</v>
      </c>
      <c r="BI949" t="str">
        <f>"170.2"</f>
        <v>170.2</v>
      </c>
      <c r="BY949" t="str">
        <f>"49.93"</f>
        <v>49.93</v>
      </c>
      <c r="BZ949" t="str">
        <f>"1.414"</f>
        <v>1.414</v>
      </c>
      <c r="CA949" t="s">
        <v>390</v>
      </c>
      <c r="CB949" t="s">
        <v>979</v>
      </c>
      <c r="CC949" t="s">
        <v>637</v>
      </c>
      <c r="CD949" t="s">
        <v>3018</v>
      </c>
      <c r="CE949" t="s">
        <v>979</v>
      </c>
      <c r="CF949" t="s">
        <v>11806</v>
      </c>
      <c r="CG949" t="s">
        <v>3018</v>
      </c>
      <c r="CR949" t="s">
        <v>400</v>
      </c>
      <c r="CS949">
        <v>0</v>
      </c>
      <c r="CT949" t="s">
        <v>400</v>
      </c>
      <c r="CV949">
        <v>2</v>
      </c>
      <c r="CW949" t="s">
        <v>402</v>
      </c>
      <c r="CX949" t="s">
        <v>403</v>
      </c>
      <c r="CY949" t="s">
        <v>404</v>
      </c>
      <c r="DA949">
        <v>18.14</v>
      </c>
      <c r="DB949">
        <v>40</v>
      </c>
      <c r="DC949">
        <v>2</v>
      </c>
      <c r="DJ949" t="s">
        <v>982</v>
      </c>
      <c r="DK949" t="s">
        <v>6661</v>
      </c>
      <c r="DX949" t="s">
        <v>540</v>
      </c>
      <c r="EM949" t="s">
        <v>402</v>
      </c>
      <c r="EN949">
        <v>3</v>
      </c>
      <c r="FC949" t="s">
        <v>979</v>
      </c>
      <c r="FD949" t="s">
        <v>637</v>
      </c>
      <c r="FE949" t="s">
        <v>3018</v>
      </c>
      <c r="FI949">
        <v>0</v>
      </c>
      <c r="FJ949" t="s">
        <v>1012</v>
      </c>
      <c r="FM949" t="s">
        <v>402</v>
      </c>
      <c r="GB949" t="s">
        <v>979</v>
      </c>
      <c r="GC949" t="s">
        <v>11806</v>
      </c>
      <c r="GD949" t="s">
        <v>3018</v>
      </c>
      <c r="GR949" t="s">
        <v>979</v>
      </c>
      <c r="GT949" t="s">
        <v>2073</v>
      </c>
      <c r="GV949" t="s">
        <v>3018</v>
      </c>
      <c r="GX949" t="s">
        <v>475</v>
      </c>
      <c r="HI949" t="s">
        <v>402</v>
      </c>
    </row>
    <row r="950" spans="1:345" x14ac:dyDescent="0.25">
      <c r="A950" t="s">
        <v>17894</v>
      </c>
      <c r="B950" t="str">
        <f>"801542960681"</f>
        <v>801542960681</v>
      </c>
      <c r="C950" t="s">
        <v>17895</v>
      </c>
      <c r="D950" t="s">
        <v>722</v>
      </c>
      <c r="E950" t="s">
        <v>3813</v>
      </c>
      <c r="G950" t="str">
        <f>"38"</f>
        <v>38</v>
      </c>
      <c r="H950" t="str">
        <f>"19"</f>
        <v>19</v>
      </c>
      <c r="I950" t="str">
        <f>"84"</f>
        <v>84</v>
      </c>
      <c r="J950" t="str">
        <f>"132.72"</f>
        <v>132.72</v>
      </c>
      <c r="K950" t="s">
        <v>752</v>
      </c>
      <c r="L950" t="s">
        <v>9067</v>
      </c>
      <c r="M950" t="s">
        <v>9068</v>
      </c>
      <c r="N950" t="s">
        <v>372</v>
      </c>
      <c r="O950" t="s">
        <v>1970</v>
      </c>
      <c r="T950" t="s">
        <v>373</v>
      </c>
      <c r="U950" t="s">
        <v>373</v>
      </c>
      <c r="W950" t="s">
        <v>17896</v>
      </c>
      <c r="X950" t="s">
        <v>17897</v>
      </c>
      <c r="Y950" t="s">
        <v>17898</v>
      </c>
      <c r="Z950" t="s">
        <v>17899</v>
      </c>
      <c r="AA950" t="s">
        <v>17900</v>
      </c>
      <c r="AB950" t="s">
        <v>17901</v>
      </c>
      <c r="AC950" t="s">
        <v>17902</v>
      </c>
      <c r="AD950" t="s">
        <v>17903</v>
      </c>
      <c r="AE950" t="s">
        <v>17904</v>
      </c>
      <c r="AF950" t="s">
        <v>17905</v>
      </c>
      <c r="AG950" t="s">
        <v>17906</v>
      </c>
      <c r="AH950" t="s">
        <v>17907</v>
      </c>
      <c r="BA950" t="str">
        <f>"3299"</f>
        <v>3299</v>
      </c>
      <c r="BB950" t="str">
        <f>"1390"</f>
        <v>1390</v>
      </c>
      <c r="BC950" t="s">
        <v>388</v>
      </c>
      <c r="BD950" t="str">
        <f t="shared" si="188"/>
        <v>1</v>
      </c>
      <c r="BE950" t="s">
        <v>389</v>
      </c>
      <c r="BF950" t="str">
        <f>"41.73"</f>
        <v>41.73</v>
      </c>
      <c r="BG950" t="str">
        <f>"22.44"</f>
        <v>22.44</v>
      </c>
      <c r="BH950" t="str">
        <f>"92.13"</f>
        <v>92.13</v>
      </c>
      <c r="BI950" t="str">
        <f>"170.2"</f>
        <v>170.2</v>
      </c>
      <c r="BY950" t="str">
        <f>"49.93"</f>
        <v>49.93</v>
      </c>
      <c r="BZ950" t="str">
        <f>"1.414"</f>
        <v>1.414</v>
      </c>
      <c r="CA950" t="s">
        <v>431</v>
      </c>
      <c r="CB950" t="s">
        <v>979</v>
      </c>
      <c r="CC950" t="s">
        <v>637</v>
      </c>
      <c r="CD950" t="s">
        <v>3018</v>
      </c>
      <c r="CE950" t="s">
        <v>979</v>
      </c>
      <c r="CF950" t="s">
        <v>11806</v>
      </c>
      <c r="CG950" t="s">
        <v>3018</v>
      </c>
      <c r="CR950" t="s">
        <v>400</v>
      </c>
      <c r="CS950">
        <v>0</v>
      </c>
      <c r="CT950" t="s">
        <v>400</v>
      </c>
      <c r="CV950">
        <v>2</v>
      </c>
      <c r="CW950" t="s">
        <v>402</v>
      </c>
      <c r="CX950" t="s">
        <v>403</v>
      </c>
      <c r="CY950" t="s">
        <v>404</v>
      </c>
      <c r="DA950">
        <v>18.14</v>
      </c>
      <c r="DB950">
        <v>40</v>
      </c>
      <c r="DC950">
        <v>2</v>
      </c>
      <c r="DJ950" t="s">
        <v>982</v>
      </c>
      <c r="DK950" t="s">
        <v>6661</v>
      </c>
      <c r="DX950" t="s">
        <v>540</v>
      </c>
      <c r="EM950" t="s">
        <v>402</v>
      </c>
      <c r="EN950">
        <v>3</v>
      </c>
      <c r="FC950" t="s">
        <v>979</v>
      </c>
      <c r="FD950" t="s">
        <v>637</v>
      </c>
      <c r="FE950" t="s">
        <v>3018</v>
      </c>
      <c r="FI950">
        <v>0</v>
      </c>
      <c r="FJ950" t="s">
        <v>1012</v>
      </c>
      <c r="FM950" t="s">
        <v>402</v>
      </c>
      <c r="GB950" t="s">
        <v>979</v>
      </c>
      <c r="GC950" t="s">
        <v>11806</v>
      </c>
      <c r="GD950" t="s">
        <v>3018</v>
      </c>
      <c r="GR950" t="s">
        <v>979</v>
      </c>
      <c r="GT950" t="s">
        <v>2073</v>
      </c>
      <c r="GV950" t="s">
        <v>3018</v>
      </c>
      <c r="GX950" t="s">
        <v>475</v>
      </c>
      <c r="HI950" t="s">
        <v>402</v>
      </c>
    </row>
    <row r="951" spans="1:345" x14ac:dyDescent="0.25">
      <c r="A951" t="s">
        <v>17908</v>
      </c>
      <c r="B951" t="str">
        <f>"801542960698"</f>
        <v>801542960698</v>
      </c>
      <c r="C951" t="s">
        <v>17895</v>
      </c>
      <c r="D951" t="s">
        <v>722</v>
      </c>
      <c r="E951" t="s">
        <v>3813</v>
      </c>
      <c r="G951" t="str">
        <f>"38"</f>
        <v>38</v>
      </c>
      <c r="H951" t="str">
        <f>"19"</f>
        <v>19</v>
      </c>
      <c r="I951" t="str">
        <f>"84"</f>
        <v>84</v>
      </c>
      <c r="J951" t="str">
        <f>"132.72"</f>
        <v>132.72</v>
      </c>
      <c r="K951" t="s">
        <v>752</v>
      </c>
      <c r="L951" t="s">
        <v>9068</v>
      </c>
      <c r="N951" t="s">
        <v>372</v>
      </c>
      <c r="O951" t="s">
        <v>1970</v>
      </c>
      <c r="T951" t="s">
        <v>373</v>
      </c>
      <c r="U951" t="s">
        <v>373</v>
      </c>
      <c r="W951" t="s">
        <v>17909</v>
      </c>
      <c r="X951" t="s">
        <v>17910</v>
      </c>
      <c r="Y951" t="s">
        <v>17911</v>
      </c>
      <c r="Z951" t="s">
        <v>17912</v>
      </c>
      <c r="AA951" t="s">
        <v>17913</v>
      </c>
      <c r="AB951" t="s">
        <v>17914</v>
      </c>
      <c r="AC951" t="s">
        <v>17915</v>
      </c>
      <c r="AD951" t="s">
        <v>17916</v>
      </c>
      <c r="AE951" t="s">
        <v>17917</v>
      </c>
      <c r="AF951" t="s">
        <v>17918</v>
      </c>
      <c r="AG951" t="s">
        <v>17919</v>
      </c>
      <c r="BA951" t="str">
        <f>"3299"</f>
        <v>3299</v>
      </c>
      <c r="BB951" t="str">
        <f>"1390"</f>
        <v>1390</v>
      </c>
      <c r="BC951" t="s">
        <v>388</v>
      </c>
      <c r="BD951" t="str">
        <f t="shared" si="188"/>
        <v>1</v>
      </c>
      <c r="BE951" t="s">
        <v>389</v>
      </c>
      <c r="BF951" t="str">
        <f>"41.73"</f>
        <v>41.73</v>
      </c>
      <c r="BG951" t="str">
        <f>"22.44"</f>
        <v>22.44</v>
      </c>
      <c r="BH951" t="str">
        <f>"92.13"</f>
        <v>92.13</v>
      </c>
      <c r="BI951" t="str">
        <f>"170.2"</f>
        <v>170.2</v>
      </c>
      <c r="BY951" t="str">
        <f>"49.93"</f>
        <v>49.93</v>
      </c>
      <c r="BZ951" t="str">
        <f>"1.414"</f>
        <v>1.414</v>
      </c>
      <c r="CA951" t="s">
        <v>390</v>
      </c>
      <c r="CB951" t="s">
        <v>979</v>
      </c>
      <c r="CC951" t="s">
        <v>637</v>
      </c>
      <c r="CD951" t="s">
        <v>3018</v>
      </c>
      <c r="CE951" t="s">
        <v>979</v>
      </c>
      <c r="CF951" t="s">
        <v>11806</v>
      </c>
      <c r="CG951" t="s">
        <v>3018</v>
      </c>
      <c r="CR951" t="s">
        <v>400</v>
      </c>
      <c r="CS951">
        <v>0</v>
      </c>
      <c r="CT951" t="s">
        <v>400</v>
      </c>
      <c r="CV951">
        <v>2</v>
      </c>
      <c r="CW951" t="s">
        <v>402</v>
      </c>
      <c r="CX951" t="s">
        <v>403</v>
      </c>
      <c r="CY951" t="s">
        <v>404</v>
      </c>
      <c r="DA951">
        <v>18.14</v>
      </c>
      <c r="DB951">
        <v>40</v>
      </c>
      <c r="DC951">
        <v>2</v>
      </c>
      <c r="DJ951" t="s">
        <v>982</v>
      </c>
      <c r="DK951" t="s">
        <v>6661</v>
      </c>
      <c r="DX951" t="s">
        <v>540</v>
      </c>
      <c r="EM951" t="s">
        <v>402</v>
      </c>
      <c r="EN951">
        <v>3</v>
      </c>
      <c r="FC951" t="s">
        <v>979</v>
      </c>
      <c r="FD951" t="s">
        <v>637</v>
      </c>
      <c r="FE951" t="s">
        <v>3018</v>
      </c>
      <c r="FI951">
        <v>0</v>
      </c>
      <c r="FJ951" t="s">
        <v>1012</v>
      </c>
      <c r="FM951" t="s">
        <v>402</v>
      </c>
      <c r="GB951" t="s">
        <v>979</v>
      </c>
      <c r="GC951" t="s">
        <v>11806</v>
      </c>
      <c r="GD951" t="s">
        <v>3018</v>
      </c>
      <c r="GR951" t="s">
        <v>979</v>
      </c>
      <c r="GT951" t="s">
        <v>2073</v>
      </c>
      <c r="GV951" t="s">
        <v>3018</v>
      </c>
      <c r="GX951" t="s">
        <v>475</v>
      </c>
      <c r="HI951" t="s">
        <v>402</v>
      </c>
    </row>
    <row r="952" spans="1:345" x14ac:dyDescent="0.25">
      <c r="A952" t="s">
        <v>17920</v>
      </c>
      <c r="B952" t="str">
        <f>"801542966089"</f>
        <v>801542966089</v>
      </c>
      <c r="C952" t="s">
        <v>17921</v>
      </c>
      <c r="D952" t="s">
        <v>6787</v>
      </c>
      <c r="E952" t="s">
        <v>2006</v>
      </c>
      <c r="F952" t="s">
        <v>2007</v>
      </c>
      <c r="G952" t="str">
        <f>"65.75"</f>
        <v>65.75</v>
      </c>
      <c r="H952" t="str">
        <f>"96.75"</f>
        <v>96.75</v>
      </c>
      <c r="I952" t="str">
        <f>"50"</f>
        <v>50</v>
      </c>
      <c r="J952" t="str">
        <f>"311.95"</f>
        <v>311.95</v>
      </c>
      <c r="K952" t="s">
        <v>4829</v>
      </c>
      <c r="L952" t="s">
        <v>17922</v>
      </c>
      <c r="N952" t="s">
        <v>1793</v>
      </c>
      <c r="O952" t="s">
        <v>1794</v>
      </c>
      <c r="P952" t="s">
        <v>6858</v>
      </c>
      <c r="T952" t="s">
        <v>373</v>
      </c>
      <c r="U952" t="s">
        <v>373</v>
      </c>
      <c r="V952" t="s">
        <v>17923</v>
      </c>
      <c r="W952" t="s">
        <v>17924</v>
      </c>
      <c r="X952" t="s">
        <v>17925</v>
      </c>
      <c r="Y952" t="s">
        <v>17926</v>
      </c>
      <c r="Z952" t="s">
        <v>17927</v>
      </c>
      <c r="AA952" t="s">
        <v>17928</v>
      </c>
      <c r="AB952" t="s">
        <v>17929</v>
      </c>
      <c r="AC952" t="s">
        <v>17930</v>
      </c>
      <c r="AD952" t="s">
        <v>17931</v>
      </c>
      <c r="AE952" t="s">
        <v>17932</v>
      </c>
      <c r="AF952" t="s">
        <v>17933</v>
      </c>
      <c r="AG952" t="s">
        <v>17934</v>
      </c>
      <c r="AH952" t="s">
        <v>17935</v>
      </c>
      <c r="AI952" t="s">
        <v>17936</v>
      </c>
      <c r="AJ952" t="s">
        <v>17289</v>
      </c>
      <c r="BA952" t="str">
        <f>"2599"</f>
        <v>2599</v>
      </c>
      <c r="BB952" t="str">
        <f>"1095"</f>
        <v>1095</v>
      </c>
      <c r="BC952" t="s">
        <v>665</v>
      </c>
      <c r="BD952" t="str">
        <f>"3"</f>
        <v>3</v>
      </c>
      <c r="BE952" t="s">
        <v>2163</v>
      </c>
      <c r="BF952" t="str">
        <f>"69.29"</f>
        <v>69.29</v>
      </c>
      <c r="BG952" t="str">
        <f>"12.01"</f>
        <v>12.01</v>
      </c>
      <c r="BH952" t="str">
        <f>"54.33"</f>
        <v>54.33</v>
      </c>
      <c r="BI952" t="str">
        <f>"163.14"</f>
        <v>163.14</v>
      </c>
      <c r="BJ952" t="s">
        <v>17025</v>
      </c>
      <c r="BK952" t="str">
        <f>"90.94"</f>
        <v>90.94</v>
      </c>
      <c r="BL952" t="str">
        <f>"17.72"</f>
        <v>17.72</v>
      </c>
      <c r="BM952" t="str">
        <f>"12.01"</f>
        <v>12.01</v>
      </c>
      <c r="BN952" t="str">
        <f>"125.66"</f>
        <v>125.66</v>
      </c>
      <c r="BO952" t="s">
        <v>3245</v>
      </c>
      <c r="BP952" t="str">
        <f>"70.08"</f>
        <v>70.08</v>
      </c>
      <c r="BQ952" t="str">
        <f>"29.92"</f>
        <v>29.92</v>
      </c>
      <c r="BR952" t="str">
        <f>"11.61"</f>
        <v>11.61</v>
      </c>
      <c r="BS952" t="str">
        <f>"81.57"</f>
        <v>81.57</v>
      </c>
      <c r="BY952" t="str">
        <f>"51.45"</f>
        <v>51.45</v>
      </c>
      <c r="BZ952" t="str">
        <f>"1.457"</f>
        <v>1.457</v>
      </c>
      <c r="CA952" t="s">
        <v>431</v>
      </c>
      <c r="CQ952" t="s">
        <v>438</v>
      </c>
      <c r="CR952" t="s">
        <v>400</v>
      </c>
      <c r="CS952">
        <v>0</v>
      </c>
      <c r="CT952" t="s">
        <v>400</v>
      </c>
      <c r="CV952">
        <v>0</v>
      </c>
      <c r="CX952" t="s">
        <v>16475</v>
      </c>
      <c r="CY952" t="s">
        <v>400</v>
      </c>
      <c r="DA952">
        <v>0</v>
      </c>
      <c r="DB952">
        <v>0</v>
      </c>
      <c r="DC952">
        <v>0</v>
      </c>
      <c r="DD952">
        <v>30000</v>
      </c>
      <c r="DK952" t="s">
        <v>17937</v>
      </c>
      <c r="DM952" t="s">
        <v>2028</v>
      </c>
      <c r="EN952">
        <v>0</v>
      </c>
      <c r="HP952" t="s">
        <v>5881</v>
      </c>
      <c r="HQ952" t="s">
        <v>6560</v>
      </c>
      <c r="HR952" t="s">
        <v>17938</v>
      </c>
      <c r="HS952" t="s">
        <v>10400</v>
      </c>
      <c r="HT952" t="s">
        <v>2260</v>
      </c>
      <c r="HU952" t="s">
        <v>17938</v>
      </c>
      <c r="HV952" t="s">
        <v>10400</v>
      </c>
      <c r="HW952" t="s">
        <v>2171</v>
      </c>
      <c r="HX952" t="s">
        <v>392</v>
      </c>
      <c r="HY952" t="s">
        <v>3273</v>
      </c>
      <c r="HZ952" t="s">
        <v>635</v>
      </c>
      <c r="IA952" t="s">
        <v>8041</v>
      </c>
      <c r="IB952" t="s">
        <v>1393</v>
      </c>
      <c r="IC952" t="s">
        <v>402</v>
      </c>
      <c r="ID952" t="s">
        <v>2036</v>
      </c>
      <c r="IE952" t="s">
        <v>2037</v>
      </c>
      <c r="IF952" t="s">
        <v>2177</v>
      </c>
      <c r="IG952" t="s">
        <v>2007</v>
      </c>
      <c r="IM952" t="s">
        <v>8153</v>
      </c>
      <c r="IN952" t="s">
        <v>8684</v>
      </c>
      <c r="IP952" t="s">
        <v>402</v>
      </c>
      <c r="IQ952" t="s">
        <v>3522</v>
      </c>
      <c r="IT952" t="s">
        <v>16448</v>
      </c>
      <c r="IU952" t="s">
        <v>17939</v>
      </c>
    </row>
    <row r="953" spans="1:345" x14ac:dyDescent="0.25">
      <c r="A953" t="s">
        <v>17940</v>
      </c>
      <c r="B953" t="str">
        <f>"801542966072"</f>
        <v>801542966072</v>
      </c>
      <c r="C953" t="s">
        <v>17921</v>
      </c>
      <c r="D953" t="s">
        <v>6787</v>
      </c>
      <c r="E953" t="s">
        <v>2006</v>
      </c>
      <c r="F953" t="s">
        <v>2040</v>
      </c>
      <c r="G953" t="str">
        <f>"82"</f>
        <v>82</v>
      </c>
      <c r="H953" t="str">
        <f>"96.75"</f>
        <v>96.75</v>
      </c>
      <c r="I953" t="str">
        <f>"50"</f>
        <v>50</v>
      </c>
      <c r="J953" t="str">
        <f>"364.86"</f>
        <v>364.86</v>
      </c>
      <c r="K953" t="s">
        <v>4829</v>
      </c>
      <c r="L953" t="s">
        <v>17922</v>
      </c>
      <c r="N953" t="s">
        <v>1793</v>
      </c>
      <c r="O953" t="s">
        <v>1794</v>
      </c>
      <c r="P953" t="s">
        <v>6858</v>
      </c>
      <c r="T953" t="s">
        <v>373</v>
      </c>
      <c r="U953" t="s">
        <v>373</v>
      </c>
      <c r="V953" t="s">
        <v>17923</v>
      </c>
      <c r="W953" t="s">
        <v>17924</v>
      </c>
      <c r="X953" t="s">
        <v>17925</v>
      </c>
      <c r="Y953" t="s">
        <v>17926</v>
      </c>
      <c r="Z953" t="s">
        <v>17927</v>
      </c>
      <c r="AA953" t="s">
        <v>17928</v>
      </c>
      <c r="AB953" t="s">
        <v>17929</v>
      </c>
      <c r="AC953" t="s">
        <v>17930</v>
      </c>
      <c r="AD953" t="s">
        <v>17931</v>
      </c>
      <c r="AE953" t="s">
        <v>17932</v>
      </c>
      <c r="AF953" t="s">
        <v>17933</v>
      </c>
      <c r="AG953" t="s">
        <v>17934</v>
      </c>
      <c r="AH953" t="s">
        <v>17935</v>
      </c>
      <c r="AI953" t="s">
        <v>17936</v>
      </c>
      <c r="BA953" t="str">
        <f>"3099"</f>
        <v>3099</v>
      </c>
      <c r="BB953" t="str">
        <f>"1305"</f>
        <v>1305</v>
      </c>
      <c r="BC953" t="s">
        <v>665</v>
      </c>
      <c r="BD953" t="str">
        <f>"3"</f>
        <v>3</v>
      </c>
      <c r="BE953" t="s">
        <v>17941</v>
      </c>
      <c r="BF953" t="str">
        <f>"87.4"</f>
        <v>87.4</v>
      </c>
      <c r="BG953" t="str">
        <f>"12.8"</f>
        <v>12.8</v>
      </c>
      <c r="BH953" t="str">
        <f>"56.3"</f>
        <v>56.3</v>
      </c>
      <c r="BI953" t="str">
        <f>"179.68"</f>
        <v>179.68</v>
      </c>
      <c r="BJ953" t="s">
        <v>17025</v>
      </c>
      <c r="BK953" t="str">
        <f>"92.52"</f>
        <v>92.52</v>
      </c>
      <c r="BL953" t="str">
        <f>"18.9"</f>
        <v>18.9</v>
      </c>
      <c r="BM953" t="str">
        <f>"12.4"</f>
        <v>12.4</v>
      </c>
      <c r="BN953" t="str">
        <f>"143.3"</f>
        <v>143.3</v>
      </c>
      <c r="BO953" t="s">
        <v>3245</v>
      </c>
      <c r="BP953" t="str">
        <f>"87.4"</f>
        <v>87.4</v>
      </c>
      <c r="BQ953" t="str">
        <f>"12.01"</f>
        <v>12.01</v>
      </c>
      <c r="BR953" t="str">
        <f>"31.69"</f>
        <v>31.69</v>
      </c>
      <c r="BS953" t="str">
        <f>"111.33"</f>
        <v>111.33</v>
      </c>
      <c r="BY953" t="str">
        <f>"68.23"</f>
        <v>68.23</v>
      </c>
      <c r="BZ953" t="str">
        <f>"1.932"</f>
        <v>1.932</v>
      </c>
      <c r="CA953" t="s">
        <v>431</v>
      </c>
      <c r="CQ953" t="s">
        <v>438</v>
      </c>
      <c r="CR953" t="s">
        <v>400</v>
      </c>
      <c r="CS953">
        <v>0</v>
      </c>
      <c r="CT953" t="s">
        <v>400</v>
      </c>
      <c r="CV953">
        <v>0</v>
      </c>
      <c r="CX953" t="s">
        <v>16475</v>
      </c>
      <c r="CY953" t="s">
        <v>400</v>
      </c>
      <c r="DA953">
        <v>0</v>
      </c>
      <c r="DB953">
        <v>0</v>
      </c>
      <c r="DC953">
        <v>0</v>
      </c>
      <c r="DD953">
        <v>30000</v>
      </c>
      <c r="DK953" t="s">
        <v>17937</v>
      </c>
      <c r="DM953" t="s">
        <v>2028</v>
      </c>
      <c r="EN953">
        <v>0</v>
      </c>
      <c r="HP953" t="s">
        <v>5881</v>
      </c>
      <c r="HQ953" t="s">
        <v>6560</v>
      </c>
      <c r="HR953" t="s">
        <v>17938</v>
      </c>
      <c r="HS953" t="s">
        <v>17942</v>
      </c>
      <c r="HT953" t="s">
        <v>2260</v>
      </c>
      <c r="HU953" t="s">
        <v>17938</v>
      </c>
      <c r="HV953" t="s">
        <v>17942</v>
      </c>
      <c r="HW953" t="s">
        <v>2171</v>
      </c>
      <c r="HX953" t="s">
        <v>392</v>
      </c>
      <c r="HY953" t="s">
        <v>3255</v>
      </c>
      <c r="HZ953" t="s">
        <v>635</v>
      </c>
      <c r="IA953" t="s">
        <v>8041</v>
      </c>
      <c r="IB953" t="s">
        <v>1393</v>
      </c>
      <c r="IC953" t="s">
        <v>402</v>
      </c>
      <c r="ID953" t="s">
        <v>2036</v>
      </c>
      <c r="IE953" t="s">
        <v>2037</v>
      </c>
      <c r="IF953" t="s">
        <v>2177</v>
      </c>
      <c r="IG953" t="s">
        <v>2040</v>
      </c>
      <c r="IM953" t="s">
        <v>8153</v>
      </c>
      <c r="IN953" t="s">
        <v>8684</v>
      </c>
      <c r="IP953" t="s">
        <v>402</v>
      </c>
      <c r="IQ953" t="s">
        <v>3522</v>
      </c>
      <c r="IT953" t="s">
        <v>16448</v>
      </c>
      <c r="IU953" t="s">
        <v>17943</v>
      </c>
    </row>
    <row r="954" spans="1:345" x14ac:dyDescent="0.25">
      <c r="A954" t="s">
        <v>17944</v>
      </c>
      <c r="B954" t="str">
        <f>"198394060790"</f>
        <v>198394060790</v>
      </c>
      <c r="C954" t="s">
        <v>17945</v>
      </c>
      <c r="D954" t="s">
        <v>6787</v>
      </c>
      <c r="E954" t="s">
        <v>2006</v>
      </c>
      <c r="F954" t="s">
        <v>2007</v>
      </c>
      <c r="G954" t="str">
        <f>"65.75"</f>
        <v>65.75</v>
      </c>
      <c r="H954" t="str">
        <f>"96.75"</f>
        <v>96.75</v>
      </c>
      <c r="I954" t="str">
        <f>"50"</f>
        <v>50</v>
      </c>
      <c r="J954" t="str">
        <f>"311.95"</f>
        <v>311.95</v>
      </c>
      <c r="K954" t="s">
        <v>17946</v>
      </c>
      <c r="L954" t="s">
        <v>17922</v>
      </c>
      <c r="N954" t="s">
        <v>371</v>
      </c>
      <c r="O954" t="s">
        <v>6858</v>
      </c>
      <c r="T954" t="s">
        <v>402</v>
      </c>
      <c r="U954" t="s">
        <v>402</v>
      </c>
      <c r="V954" t="s">
        <v>17947</v>
      </c>
      <c r="W954" t="s">
        <v>17948</v>
      </c>
      <c r="X954" t="s">
        <v>17949</v>
      </c>
      <c r="Y954" t="s">
        <v>17950</v>
      </c>
      <c r="Z954" t="s">
        <v>17951</v>
      </c>
      <c r="AA954" t="s">
        <v>17952</v>
      </c>
      <c r="AB954" t="s">
        <v>17953</v>
      </c>
      <c r="AC954" t="s">
        <v>17954</v>
      </c>
      <c r="AD954" t="s">
        <v>17955</v>
      </c>
      <c r="AE954" t="s">
        <v>17956</v>
      </c>
      <c r="AF954" t="s">
        <v>17957</v>
      </c>
      <c r="AG954" t="s">
        <v>17958</v>
      </c>
      <c r="BA954" t="str">
        <f>"2699"</f>
        <v>2699</v>
      </c>
      <c r="BB954" t="str">
        <f>"1135"</f>
        <v>1135</v>
      </c>
      <c r="BC954" t="s">
        <v>665</v>
      </c>
      <c r="BD954" t="str">
        <f>"3"</f>
        <v>3</v>
      </c>
      <c r="BE954" t="s">
        <v>2163</v>
      </c>
      <c r="BF954" t="str">
        <f>"69.29"</f>
        <v>69.29</v>
      </c>
      <c r="BG954" t="str">
        <f>"12.01"</f>
        <v>12.01</v>
      </c>
      <c r="BH954" t="str">
        <f>"54.33"</f>
        <v>54.33</v>
      </c>
      <c r="BI954" t="str">
        <f>"163.14"</f>
        <v>163.14</v>
      </c>
      <c r="BJ954" t="s">
        <v>17025</v>
      </c>
      <c r="BK954" t="str">
        <f>"90.94"</f>
        <v>90.94</v>
      </c>
      <c r="BL954" t="str">
        <f>"17.72"</f>
        <v>17.72</v>
      </c>
      <c r="BM954" t="str">
        <f>"12.01"</f>
        <v>12.01</v>
      </c>
      <c r="BN954" t="str">
        <f>"125.66"</f>
        <v>125.66</v>
      </c>
      <c r="BO954" t="s">
        <v>3245</v>
      </c>
      <c r="BP954" t="str">
        <f>"70.08"</f>
        <v>70.08</v>
      </c>
      <c r="BQ954" t="str">
        <f>"29.92"</f>
        <v>29.92</v>
      </c>
      <c r="BR954" t="str">
        <f>"11.61"</f>
        <v>11.61</v>
      </c>
      <c r="BS954" t="str">
        <f>"81.57"</f>
        <v>81.57</v>
      </c>
      <c r="BY954" t="str">
        <f>"51.45"</f>
        <v>51.45</v>
      </c>
      <c r="BZ954" t="str">
        <f>"1.457"</f>
        <v>1.457</v>
      </c>
      <c r="CA954" t="s">
        <v>431</v>
      </c>
      <c r="CQ954" t="s">
        <v>399</v>
      </c>
      <c r="CR954" t="s">
        <v>400</v>
      </c>
      <c r="CS954">
        <v>0</v>
      </c>
      <c r="CT954" t="s">
        <v>400</v>
      </c>
      <c r="CV954">
        <v>0</v>
      </c>
      <c r="CX954" t="s">
        <v>16475</v>
      </c>
      <c r="CY954" t="s">
        <v>400</v>
      </c>
      <c r="DA954">
        <v>0</v>
      </c>
      <c r="DB954">
        <v>0</v>
      </c>
      <c r="DC954">
        <v>0</v>
      </c>
      <c r="DD954">
        <v>50000</v>
      </c>
      <c r="DK954" t="s">
        <v>17937</v>
      </c>
      <c r="DM954" t="s">
        <v>2028</v>
      </c>
      <c r="EN954">
        <v>0</v>
      </c>
      <c r="HP954" t="s">
        <v>5881</v>
      </c>
      <c r="HQ954" t="s">
        <v>6560</v>
      </c>
      <c r="HR954" t="s">
        <v>17938</v>
      </c>
      <c r="HS954" t="s">
        <v>10400</v>
      </c>
      <c r="HT954" t="s">
        <v>2260</v>
      </c>
      <c r="HU954" t="s">
        <v>17938</v>
      </c>
      <c r="HV954" t="s">
        <v>10400</v>
      </c>
      <c r="HW954" t="s">
        <v>2171</v>
      </c>
      <c r="HX954" t="s">
        <v>392</v>
      </c>
      <c r="HY954" t="s">
        <v>3273</v>
      </c>
      <c r="HZ954" t="s">
        <v>635</v>
      </c>
      <c r="IA954" t="s">
        <v>8041</v>
      </c>
      <c r="IB954" t="s">
        <v>1393</v>
      </c>
      <c r="IC954" t="s">
        <v>402</v>
      </c>
      <c r="ID954" t="s">
        <v>2036</v>
      </c>
      <c r="IE954" t="s">
        <v>2037</v>
      </c>
      <c r="IF954" t="s">
        <v>2177</v>
      </c>
      <c r="IG954" t="s">
        <v>2007</v>
      </c>
      <c r="IM954" t="s">
        <v>8153</v>
      </c>
      <c r="IN954" t="s">
        <v>8684</v>
      </c>
      <c r="IP954" t="s">
        <v>402</v>
      </c>
      <c r="IQ954" t="s">
        <v>3522</v>
      </c>
      <c r="IT954" t="s">
        <v>16448</v>
      </c>
      <c r="IU954" t="s">
        <v>17939</v>
      </c>
    </row>
    <row r="955" spans="1:345" x14ac:dyDescent="0.25">
      <c r="A955" t="s">
        <v>17959</v>
      </c>
      <c r="B955" t="str">
        <f>"198394060783"</f>
        <v>198394060783</v>
      </c>
      <c r="C955" t="s">
        <v>17945</v>
      </c>
      <c r="D955" t="s">
        <v>6787</v>
      </c>
      <c r="E955" t="s">
        <v>2006</v>
      </c>
      <c r="F955" t="s">
        <v>2040</v>
      </c>
      <c r="G955" t="str">
        <f>"82"</f>
        <v>82</v>
      </c>
      <c r="H955" t="str">
        <f>"96.75"</f>
        <v>96.75</v>
      </c>
      <c r="I955" t="str">
        <f>"50"</f>
        <v>50</v>
      </c>
      <c r="J955" t="str">
        <f>"364.86"</f>
        <v>364.86</v>
      </c>
      <c r="K955" t="s">
        <v>17946</v>
      </c>
      <c r="L955" t="s">
        <v>17922</v>
      </c>
      <c r="N955" t="s">
        <v>371</v>
      </c>
      <c r="O955" t="s">
        <v>6858</v>
      </c>
      <c r="T955" t="s">
        <v>402</v>
      </c>
      <c r="U955" t="s">
        <v>402</v>
      </c>
      <c r="V955" t="s">
        <v>17947</v>
      </c>
      <c r="W955" t="s">
        <v>17960</v>
      </c>
      <c r="X955" t="s">
        <v>17961</v>
      </c>
      <c r="Y955" t="s">
        <v>17962</v>
      </c>
      <c r="Z955" t="s">
        <v>17963</v>
      </c>
      <c r="AA955" t="s">
        <v>17964</v>
      </c>
      <c r="AB955" t="s">
        <v>17965</v>
      </c>
      <c r="AC955" t="s">
        <v>17966</v>
      </c>
      <c r="AD955" t="s">
        <v>17967</v>
      </c>
      <c r="AE955" t="s">
        <v>17968</v>
      </c>
      <c r="AF955" t="s">
        <v>17969</v>
      </c>
      <c r="AG955" t="s">
        <v>17970</v>
      </c>
      <c r="BA955" t="str">
        <f>"3099"</f>
        <v>3099</v>
      </c>
      <c r="BB955" t="str">
        <f>"1305"</f>
        <v>1305</v>
      </c>
      <c r="BC955" t="s">
        <v>665</v>
      </c>
      <c r="BD955" t="str">
        <f>"3"</f>
        <v>3</v>
      </c>
      <c r="BE955" t="s">
        <v>2163</v>
      </c>
      <c r="BF955" t="str">
        <f>"87.4"</f>
        <v>87.4</v>
      </c>
      <c r="BG955" t="str">
        <f>"12.8"</f>
        <v>12.8</v>
      </c>
      <c r="BH955" t="str">
        <f>"56.3"</f>
        <v>56.3</v>
      </c>
      <c r="BI955" t="str">
        <f>"179.68"</f>
        <v>179.68</v>
      </c>
      <c r="BJ955" t="s">
        <v>17025</v>
      </c>
      <c r="BK955" t="str">
        <f>"92.52"</f>
        <v>92.52</v>
      </c>
      <c r="BL955" t="str">
        <f>"18.9"</f>
        <v>18.9</v>
      </c>
      <c r="BM955" t="str">
        <f>"12.4"</f>
        <v>12.4</v>
      </c>
      <c r="BN955" t="str">
        <f>"143.3"</f>
        <v>143.3</v>
      </c>
      <c r="BO955" t="s">
        <v>3245</v>
      </c>
      <c r="BP955" t="str">
        <f>"87.4"</f>
        <v>87.4</v>
      </c>
      <c r="BQ955" t="str">
        <f>"12.01"</f>
        <v>12.01</v>
      </c>
      <c r="BR955" t="str">
        <f>"31.69"</f>
        <v>31.69</v>
      </c>
      <c r="BS955" t="str">
        <f>"111.33"</f>
        <v>111.33</v>
      </c>
      <c r="BY955" t="str">
        <f>"68.23"</f>
        <v>68.23</v>
      </c>
      <c r="BZ955" t="str">
        <f>"1.932"</f>
        <v>1.932</v>
      </c>
      <c r="CA955" t="s">
        <v>431</v>
      </c>
      <c r="CQ955" t="s">
        <v>399</v>
      </c>
      <c r="CR955" t="s">
        <v>400</v>
      </c>
      <c r="CS955">
        <v>0</v>
      </c>
      <c r="CT955" t="s">
        <v>400</v>
      </c>
      <c r="CV955">
        <v>0</v>
      </c>
      <c r="CX955" t="s">
        <v>16475</v>
      </c>
      <c r="CY955" t="s">
        <v>400</v>
      </c>
      <c r="DA955">
        <v>0</v>
      </c>
      <c r="DB955">
        <v>0</v>
      </c>
      <c r="DC955">
        <v>0</v>
      </c>
      <c r="DD955">
        <v>50000</v>
      </c>
      <c r="DK955" t="s">
        <v>17937</v>
      </c>
      <c r="DM955" t="s">
        <v>2028</v>
      </c>
      <c r="EN955">
        <v>0</v>
      </c>
      <c r="HP955" t="s">
        <v>5881</v>
      </c>
      <c r="HQ955" t="s">
        <v>6560</v>
      </c>
      <c r="HR955" t="s">
        <v>17938</v>
      </c>
      <c r="HS955" t="s">
        <v>17942</v>
      </c>
      <c r="HT955" t="s">
        <v>2260</v>
      </c>
      <c r="HU955" t="s">
        <v>17938</v>
      </c>
      <c r="HV955" t="s">
        <v>17942</v>
      </c>
      <c r="HW955" t="s">
        <v>2171</v>
      </c>
      <c r="HX955" t="s">
        <v>392</v>
      </c>
      <c r="HY955" t="s">
        <v>3255</v>
      </c>
      <c r="HZ955" t="s">
        <v>635</v>
      </c>
      <c r="IA955" t="s">
        <v>8041</v>
      </c>
      <c r="IB955" t="s">
        <v>1393</v>
      </c>
      <c r="IC955" t="s">
        <v>402</v>
      </c>
      <c r="ID955" t="s">
        <v>2036</v>
      </c>
      <c r="IE955" t="s">
        <v>2037</v>
      </c>
      <c r="IF955" t="s">
        <v>2177</v>
      </c>
      <c r="IG955" t="s">
        <v>2040</v>
      </c>
      <c r="IM955" t="s">
        <v>8153</v>
      </c>
      <c r="IN955" t="s">
        <v>8684</v>
      </c>
      <c r="IP955" t="s">
        <v>402</v>
      </c>
      <c r="IQ955" t="s">
        <v>3522</v>
      </c>
      <c r="IT955" t="s">
        <v>16448</v>
      </c>
      <c r="IU955" t="s">
        <v>17943</v>
      </c>
    </row>
    <row r="956" spans="1:345" x14ac:dyDescent="0.25">
      <c r="A956" t="s">
        <v>17971</v>
      </c>
      <c r="B956" t="str">
        <f>"801542981679"</f>
        <v>801542981679</v>
      </c>
      <c r="C956" t="s">
        <v>17972</v>
      </c>
      <c r="D956" t="s">
        <v>10600</v>
      </c>
      <c r="E956" t="s">
        <v>988</v>
      </c>
      <c r="G956" t="str">
        <f>"34"</f>
        <v>34</v>
      </c>
      <c r="H956" t="str">
        <f>"19"</f>
        <v>19</v>
      </c>
      <c r="I956" t="str">
        <f>"47.5"</f>
        <v>47.5</v>
      </c>
      <c r="J956" t="str">
        <f>"189.33"</f>
        <v>189.33</v>
      </c>
      <c r="K956" t="s">
        <v>10601</v>
      </c>
      <c r="L956" t="s">
        <v>10602</v>
      </c>
      <c r="N956" t="s">
        <v>9086</v>
      </c>
      <c r="O956" t="s">
        <v>6144</v>
      </c>
      <c r="T956" t="s">
        <v>373</v>
      </c>
      <c r="U956" t="s">
        <v>373</v>
      </c>
      <c r="V956" t="s">
        <v>17973</v>
      </c>
      <c r="W956" t="s">
        <v>17974</v>
      </c>
      <c r="X956" t="s">
        <v>17975</v>
      </c>
      <c r="Y956" t="s">
        <v>17976</v>
      </c>
      <c r="Z956" t="s">
        <v>17977</v>
      </c>
      <c r="AA956" t="s">
        <v>17978</v>
      </c>
      <c r="AB956" t="s">
        <v>17979</v>
      </c>
      <c r="AC956" t="s">
        <v>17980</v>
      </c>
      <c r="AD956" t="s">
        <v>17981</v>
      </c>
      <c r="AE956" t="s">
        <v>17982</v>
      </c>
      <c r="AF956" t="s">
        <v>17983</v>
      </c>
      <c r="AG956" t="s">
        <v>17984</v>
      </c>
      <c r="AH956" t="s">
        <v>17985</v>
      </c>
      <c r="AI956" t="s">
        <v>17986</v>
      </c>
      <c r="AJ956" t="s">
        <v>17987</v>
      </c>
      <c r="BA956" t="str">
        <f>"2399"</f>
        <v>2399</v>
      </c>
      <c r="BB956" t="str">
        <f>"1010"</f>
        <v>1010</v>
      </c>
      <c r="BC956" t="s">
        <v>6158</v>
      </c>
      <c r="BD956" t="str">
        <f>"1"</f>
        <v>1</v>
      </c>
      <c r="BE956" t="s">
        <v>389</v>
      </c>
      <c r="BF956" t="str">
        <f>"38.98"</f>
        <v>38.98</v>
      </c>
      <c r="BG956" t="str">
        <f>"24.41"</f>
        <v>24.41</v>
      </c>
      <c r="BH956" t="str">
        <f>"56.3"</f>
        <v>56.3</v>
      </c>
      <c r="BI956" t="str">
        <f>"235.89"</f>
        <v>235.89</v>
      </c>
      <c r="BY956" t="str">
        <f>"31.01"</f>
        <v>31.01</v>
      </c>
      <c r="BZ956" t="str">
        <f>"0.878"</f>
        <v>0.878</v>
      </c>
      <c r="CA956" t="s">
        <v>495</v>
      </c>
      <c r="CR956" t="s">
        <v>5068</v>
      </c>
      <c r="CS956">
        <v>5</v>
      </c>
      <c r="CT956" t="s">
        <v>400</v>
      </c>
      <c r="CV956">
        <v>0</v>
      </c>
      <c r="CX956" t="s">
        <v>1980</v>
      </c>
      <c r="CY956" t="s">
        <v>1009</v>
      </c>
      <c r="DC956">
        <v>0</v>
      </c>
      <c r="DJ956" t="s">
        <v>1267</v>
      </c>
      <c r="DK956" t="s">
        <v>10625</v>
      </c>
      <c r="DM956" t="s">
        <v>473</v>
      </c>
      <c r="DX956" t="s">
        <v>2080</v>
      </c>
      <c r="EN956">
        <v>0</v>
      </c>
      <c r="FI956">
        <v>0</v>
      </c>
      <c r="FJ956" t="s">
        <v>1012</v>
      </c>
      <c r="FP956" t="s">
        <v>402</v>
      </c>
      <c r="FR956" t="s">
        <v>13152</v>
      </c>
      <c r="FS956" t="s">
        <v>13152</v>
      </c>
      <c r="FT956" t="s">
        <v>7587</v>
      </c>
      <c r="FV956" t="s">
        <v>17988</v>
      </c>
      <c r="FW956" t="s">
        <v>17988</v>
      </c>
      <c r="FX956" t="s">
        <v>4210</v>
      </c>
      <c r="FZ956" t="s">
        <v>1018</v>
      </c>
      <c r="HA956" t="s">
        <v>2072</v>
      </c>
    </row>
    <row r="957" spans="1:345" x14ac:dyDescent="0.25">
      <c r="A957" t="s">
        <v>17989</v>
      </c>
      <c r="B957" t="str">
        <f>"801542985714"</f>
        <v>801542985714</v>
      </c>
      <c r="C957" t="s">
        <v>17990</v>
      </c>
      <c r="D957" t="s">
        <v>4184</v>
      </c>
      <c r="E957" t="s">
        <v>988</v>
      </c>
      <c r="G957" t="str">
        <f>"62.5"</f>
        <v>62.5</v>
      </c>
      <c r="H957" t="str">
        <f>"20.5"</f>
        <v>20.5</v>
      </c>
      <c r="I957" t="str">
        <f>"40.75"</f>
        <v>40.75</v>
      </c>
      <c r="J957" t="str">
        <f>"221.56"</f>
        <v>221.56</v>
      </c>
      <c r="K957" t="s">
        <v>4185</v>
      </c>
      <c r="L957" t="s">
        <v>4186</v>
      </c>
      <c r="N957" t="s">
        <v>1970</v>
      </c>
      <c r="O957" t="s">
        <v>416</v>
      </c>
      <c r="T957" t="s">
        <v>373</v>
      </c>
      <c r="U957" t="s">
        <v>373</v>
      </c>
      <c r="W957" t="s">
        <v>17991</v>
      </c>
      <c r="X957" t="s">
        <v>17992</v>
      </c>
      <c r="Y957" t="s">
        <v>17993</v>
      </c>
      <c r="Z957" t="s">
        <v>17994</v>
      </c>
      <c r="AA957" t="s">
        <v>17995</v>
      </c>
      <c r="AB957" t="s">
        <v>17996</v>
      </c>
      <c r="AC957" t="s">
        <v>17997</v>
      </c>
      <c r="AD957" t="s">
        <v>17998</v>
      </c>
      <c r="AE957" t="s">
        <v>17999</v>
      </c>
      <c r="AF957" t="s">
        <v>18000</v>
      </c>
      <c r="AG957" t="s">
        <v>18001</v>
      </c>
      <c r="AH957" t="s">
        <v>18002</v>
      </c>
      <c r="AI957" t="s">
        <v>18003</v>
      </c>
      <c r="AJ957" t="s">
        <v>18004</v>
      </c>
      <c r="AK957" t="s">
        <v>18005</v>
      </c>
      <c r="BA957" t="str">
        <f>"1899"</f>
        <v>1899</v>
      </c>
      <c r="BB957" t="str">
        <f>"800"</f>
        <v>800</v>
      </c>
      <c r="BC957" t="s">
        <v>665</v>
      </c>
      <c r="BD957" t="str">
        <f>"1"</f>
        <v>1</v>
      </c>
      <c r="BE957" t="s">
        <v>389</v>
      </c>
      <c r="BF957" t="str">
        <f>"66.34"</f>
        <v>66.34</v>
      </c>
      <c r="BG957" t="str">
        <f>"24.8"</f>
        <v>24.8</v>
      </c>
      <c r="BH957" t="str">
        <f>"46.65"</f>
        <v>46.65</v>
      </c>
      <c r="BI957" t="str">
        <f>"273.37"</f>
        <v>273.37</v>
      </c>
      <c r="BY957" t="str">
        <f>"44.43"</f>
        <v>44.43</v>
      </c>
      <c r="BZ957" t="str">
        <f>"1.258"</f>
        <v>1.258</v>
      </c>
      <c r="CA957" t="s">
        <v>495</v>
      </c>
      <c r="CR957" t="s">
        <v>1007</v>
      </c>
      <c r="CS957">
        <v>8</v>
      </c>
      <c r="CT957" t="s">
        <v>400</v>
      </c>
      <c r="CV957">
        <v>0</v>
      </c>
      <c r="CX957" t="s">
        <v>1018</v>
      </c>
      <c r="CY957" t="s">
        <v>1009</v>
      </c>
      <c r="DC957">
        <v>0</v>
      </c>
      <c r="DJ957" t="s">
        <v>1010</v>
      </c>
      <c r="DK957" t="s">
        <v>4205</v>
      </c>
      <c r="DM957" t="s">
        <v>473</v>
      </c>
      <c r="DX957" t="s">
        <v>2599</v>
      </c>
      <c r="EM957" t="s">
        <v>402</v>
      </c>
      <c r="EN957">
        <v>0</v>
      </c>
      <c r="FI957">
        <v>0</v>
      </c>
      <c r="FJ957" t="s">
        <v>1012</v>
      </c>
      <c r="FR957" t="s">
        <v>18006</v>
      </c>
      <c r="FS957" t="s">
        <v>18006</v>
      </c>
      <c r="FT957" t="s">
        <v>18007</v>
      </c>
      <c r="FU957" t="s">
        <v>16624</v>
      </c>
      <c r="FV957" t="s">
        <v>5014</v>
      </c>
      <c r="FW957" t="s">
        <v>5014</v>
      </c>
      <c r="FX957" t="s">
        <v>4210</v>
      </c>
      <c r="FZ957" t="s">
        <v>1018</v>
      </c>
    </row>
    <row r="958" spans="1:345" x14ac:dyDescent="0.25">
      <c r="A958" t="s">
        <v>18008</v>
      </c>
      <c r="B958" t="str">
        <f>"198394062190"</f>
        <v>198394062190</v>
      </c>
      <c r="C958" t="s">
        <v>18009</v>
      </c>
      <c r="D958" t="s">
        <v>4184</v>
      </c>
      <c r="E958" t="s">
        <v>988</v>
      </c>
      <c r="G958" t="str">
        <f>"62.5"</f>
        <v>62.5</v>
      </c>
      <c r="H958" t="str">
        <f>"20.5"</f>
        <v>20.5</v>
      </c>
      <c r="I958" t="str">
        <f>"40.75"</f>
        <v>40.75</v>
      </c>
      <c r="J958" t="str">
        <f>"221.56"</f>
        <v>221.56</v>
      </c>
      <c r="K958" t="s">
        <v>4213</v>
      </c>
      <c r="L958" t="s">
        <v>4186</v>
      </c>
      <c r="N958" t="s">
        <v>1970</v>
      </c>
      <c r="O958" t="s">
        <v>416</v>
      </c>
      <c r="T958" t="s">
        <v>373</v>
      </c>
      <c r="U958" t="s">
        <v>373</v>
      </c>
      <c r="W958" t="s">
        <v>18010</v>
      </c>
      <c r="X958" t="s">
        <v>18011</v>
      </c>
      <c r="Y958" t="s">
        <v>18012</v>
      </c>
      <c r="Z958" t="s">
        <v>18013</v>
      </c>
      <c r="AA958" t="s">
        <v>18014</v>
      </c>
      <c r="AB958" t="s">
        <v>18015</v>
      </c>
      <c r="AC958" t="s">
        <v>18016</v>
      </c>
      <c r="AD958" t="s">
        <v>18017</v>
      </c>
      <c r="AE958" t="s">
        <v>18018</v>
      </c>
      <c r="AF958" t="s">
        <v>18019</v>
      </c>
      <c r="AG958" t="s">
        <v>18020</v>
      </c>
      <c r="AH958" t="s">
        <v>18021</v>
      </c>
      <c r="AI958" t="s">
        <v>18022</v>
      </c>
      <c r="AJ958" t="s">
        <v>18023</v>
      </c>
      <c r="AK958" t="s">
        <v>18024</v>
      </c>
      <c r="BA958" t="str">
        <f>"1899"</f>
        <v>1899</v>
      </c>
      <c r="BB958" t="str">
        <f>"800"</f>
        <v>800</v>
      </c>
      <c r="BC958" t="s">
        <v>665</v>
      </c>
      <c r="BD958" t="str">
        <f>"1"</f>
        <v>1</v>
      </c>
      <c r="BE958" t="s">
        <v>389</v>
      </c>
      <c r="BF958" t="str">
        <f>"66.34"</f>
        <v>66.34</v>
      </c>
      <c r="BG958" t="str">
        <f>"24.8"</f>
        <v>24.8</v>
      </c>
      <c r="BH958" t="str">
        <f>"46.65"</f>
        <v>46.65</v>
      </c>
      <c r="BI958" t="str">
        <f>"273.37"</f>
        <v>273.37</v>
      </c>
      <c r="BY958" t="str">
        <f>"44.43"</f>
        <v>44.43</v>
      </c>
      <c r="BZ958" t="str">
        <f>"1.258"</f>
        <v>1.258</v>
      </c>
      <c r="CA958" t="s">
        <v>495</v>
      </c>
      <c r="CR958" t="s">
        <v>1007</v>
      </c>
      <c r="CS958">
        <v>8</v>
      </c>
      <c r="CT958" t="s">
        <v>400</v>
      </c>
      <c r="CV958">
        <v>0</v>
      </c>
      <c r="CX958" t="s">
        <v>1018</v>
      </c>
      <c r="CY958" t="s">
        <v>1009</v>
      </c>
      <c r="DC958">
        <v>0</v>
      </c>
      <c r="DJ958" t="s">
        <v>1010</v>
      </c>
      <c r="DK958" t="s">
        <v>4205</v>
      </c>
      <c r="DM958" t="s">
        <v>473</v>
      </c>
      <c r="DX958" t="s">
        <v>2599</v>
      </c>
      <c r="EM958" t="s">
        <v>402</v>
      </c>
      <c r="EN958">
        <v>0</v>
      </c>
      <c r="FI958">
        <v>0</v>
      </c>
      <c r="FJ958" t="s">
        <v>1012</v>
      </c>
      <c r="FR958" t="s">
        <v>18006</v>
      </c>
      <c r="FS958" t="s">
        <v>18006</v>
      </c>
      <c r="FT958" t="s">
        <v>18007</v>
      </c>
      <c r="FU958" t="s">
        <v>16624</v>
      </c>
      <c r="FV958" t="s">
        <v>5014</v>
      </c>
      <c r="FW958" t="s">
        <v>5014</v>
      </c>
      <c r="FX958" t="s">
        <v>4210</v>
      </c>
      <c r="FZ958" t="s">
        <v>1018</v>
      </c>
    </row>
    <row r="959" spans="1:345" x14ac:dyDescent="0.25">
      <c r="A959" t="s">
        <v>18025</v>
      </c>
      <c r="B959" t="str">
        <f>"801542965846"</f>
        <v>801542965846</v>
      </c>
      <c r="C959" t="s">
        <v>18026</v>
      </c>
      <c r="D959" t="s">
        <v>9267</v>
      </c>
      <c r="E959" t="s">
        <v>367</v>
      </c>
      <c r="F959" t="s">
        <v>368</v>
      </c>
      <c r="G959" t="str">
        <f>"65.25"</f>
        <v>65.25</v>
      </c>
      <c r="H959" t="str">
        <f>"21.25"</f>
        <v>21.25</v>
      </c>
      <c r="I959" t="str">
        <f>"21.25"</f>
        <v>21.25</v>
      </c>
      <c r="J959" t="str">
        <f>"59.97"</f>
        <v>59.97</v>
      </c>
      <c r="K959" t="s">
        <v>7901</v>
      </c>
      <c r="L959" t="s">
        <v>18027</v>
      </c>
      <c r="N959" t="s">
        <v>7902</v>
      </c>
      <c r="O959" t="s">
        <v>6389</v>
      </c>
      <c r="T959" t="s">
        <v>373</v>
      </c>
      <c r="U959" t="s">
        <v>373</v>
      </c>
      <c r="V959" t="s">
        <v>18028</v>
      </c>
      <c r="W959" t="s">
        <v>18029</v>
      </c>
      <c r="X959" t="s">
        <v>18030</v>
      </c>
      <c r="Y959" t="s">
        <v>18031</v>
      </c>
      <c r="Z959" t="s">
        <v>18032</v>
      </c>
      <c r="AA959" t="s">
        <v>18033</v>
      </c>
      <c r="AB959" t="s">
        <v>18034</v>
      </c>
      <c r="AC959" t="s">
        <v>18035</v>
      </c>
      <c r="AD959" t="s">
        <v>18036</v>
      </c>
      <c r="AE959" t="s">
        <v>18037</v>
      </c>
      <c r="AF959" t="s">
        <v>18038</v>
      </c>
      <c r="AG959" t="s">
        <v>18039</v>
      </c>
      <c r="BA959" t="str">
        <f>"1199"</f>
        <v>1199</v>
      </c>
      <c r="BB959" t="str">
        <f>"505"</f>
        <v>505</v>
      </c>
      <c r="BC959" t="s">
        <v>388</v>
      </c>
      <c r="BD959" t="str">
        <f>"1"</f>
        <v>1</v>
      </c>
      <c r="BE959" t="s">
        <v>389</v>
      </c>
      <c r="BF959" t="str">
        <f>"69.29"</f>
        <v>69.29</v>
      </c>
      <c r="BG959" t="str">
        <f>"24.8"</f>
        <v>24.8</v>
      </c>
      <c r="BH959" t="str">
        <f>"25.2"</f>
        <v>25.2</v>
      </c>
      <c r="BI959" t="str">
        <f>"84.22"</f>
        <v>84.22</v>
      </c>
      <c r="BY959" t="str">
        <f>"25.07"</f>
        <v>25.07</v>
      </c>
      <c r="BZ959" t="str">
        <f>"0.71"</f>
        <v>0.71</v>
      </c>
      <c r="CA959" t="s">
        <v>431</v>
      </c>
      <c r="CK959" t="s">
        <v>396</v>
      </c>
      <c r="CL959" t="s">
        <v>444</v>
      </c>
      <c r="CM959" t="s">
        <v>2264</v>
      </c>
      <c r="CN959">
        <v>0</v>
      </c>
      <c r="CO959">
        <v>0</v>
      </c>
      <c r="CP959" t="s">
        <v>398</v>
      </c>
      <c r="CQ959" t="s">
        <v>438</v>
      </c>
      <c r="CR959" t="s">
        <v>400</v>
      </c>
      <c r="CS959">
        <v>0</v>
      </c>
      <c r="CT959" t="s">
        <v>400</v>
      </c>
      <c r="CV959">
        <v>0</v>
      </c>
      <c r="CX959" t="s">
        <v>667</v>
      </c>
      <c r="CY959" t="s">
        <v>400</v>
      </c>
      <c r="CZ959">
        <v>0</v>
      </c>
      <c r="DA959">
        <v>0</v>
      </c>
      <c r="DB959">
        <v>0</v>
      </c>
      <c r="DC959">
        <v>0</v>
      </c>
      <c r="DD959">
        <v>0</v>
      </c>
      <c r="DE959" t="s">
        <v>405</v>
      </c>
      <c r="DH959">
        <v>0</v>
      </c>
      <c r="DI959">
        <v>2</v>
      </c>
      <c r="DJ959" t="s">
        <v>408</v>
      </c>
      <c r="DK959" t="s">
        <v>18040</v>
      </c>
      <c r="DL959">
        <v>0</v>
      </c>
      <c r="DM959" t="s">
        <v>1736</v>
      </c>
      <c r="DX959" t="s">
        <v>2510</v>
      </c>
      <c r="DY959" t="s">
        <v>4395</v>
      </c>
      <c r="DZ959" t="s">
        <v>18041</v>
      </c>
      <c r="EM959" t="s">
        <v>402</v>
      </c>
    </row>
    <row r="960" spans="1:345" x14ac:dyDescent="0.25">
      <c r="A960" t="s">
        <v>18042</v>
      </c>
      <c r="B960" t="str">
        <f>"801542992996"</f>
        <v>801542992996</v>
      </c>
      <c r="C960" t="s">
        <v>18043</v>
      </c>
      <c r="D960" t="s">
        <v>9267</v>
      </c>
      <c r="E960" t="s">
        <v>18044</v>
      </c>
      <c r="G960" t="str">
        <f>"38"</f>
        <v>38</v>
      </c>
      <c r="H960" t="str">
        <f>"18"</f>
        <v>18</v>
      </c>
      <c r="I960" t="str">
        <f>"88"</f>
        <v>88</v>
      </c>
      <c r="J960" t="str">
        <f>"252.43"</f>
        <v>252.43</v>
      </c>
      <c r="K960" t="s">
        <v>18045</v>
      </c>
      <c r="L960" t="s">
        <v>18046</v>
      </c>
      <c r="M960" t="s">
        <v>18047</v>
      </c>
      <c r="N960" t="s">
        <v>18048</v>
      </c>
      <c r="O960" t="s">
        <v>18049</v>
      </c>
      <c r="P960" t="s">
        <v>555</v>
      </c>
      <c r="T960" t="s">
        <v>373</v>
      </c>
      <c r="U960" t="s">
        <v>373</v>
      </c>
      <c r="V960" t="s">
        <v>18050</v>
      </c>
      <c r="W960" t="s">
        <v>18051</v>
      </c>
      <c r="X960" t="s">
        <v>18052</v>
      </c>
      <c r="Y960" t="s">
        <v>18053</v>
      </c>
      <c r="Z960" t="s">
        <v>18054</v>
      </c>
      <c r="AA960" t="s">
        <v>18055</v>
      </c>
      <c r="AB960" t="s">
        <v>18056</v>
      </c>
      <c r="AC960" t="s">
        <v>18057</v>
      </c>
      <c r="AD960" t="s">
        <v>18058</v>
      </c>
      <c r="AE960" t="s">
        <v>18059</v>
      </c>
      <c r="AF960" t="s">
        <v>18060</v>
      </c>
      <c r="AG960" t="s">
        <v>18061</v>
      </c>
      <c r="AH960" t="s">
        <v>18062</v>
      </c>
      <c r="AI960" t="s">
        <v>18063</v>
      </c>
      <c r="AJ960" t="s">
        <v>18064</v>
      </c>
      <c r="AK960" t="s">
        <v>18065</v>
      </c>
      <c r="AL960" t="s">
        <v>18066</v>
      </c>
      <c r="AM960" t="s">
        <v>18067</v>
      </c>
      <c r="AN960" t="s">
        <v>18068</v>
      </c>
      <c r="AO960" t="s">
        <v>18069</v>
      </c>
      <c r="AP960" t="s">
        <v>18070</v>
      </c>
      <c r="BA960" t="str">
        <f>"3999"</f>
        <v>3999</v>
      </c>
      <c r="BB960" t="str">
        <f>"1680"</f>
        <v>1680</v>
      </c>
      <c r="BC960" t="s">
        <v>388</v>
      </c>
      <c r="BD960" t="str">
        <f>"1"</f>
        <v>1</v>
      </c>
      <c r="BE960" t="s">
        <v>389</v>
      </c>
      <c r="BF960" t="str">
        <f>"42.13"</f>
        <v>42.13</v>
      </c>
      <c r="BG960" t="str">
        <f>"22.05"</f>
        <v>22.05</v>
      </c>
      <c r="BH960" t="str">
        <f>"93.7"</f>
        <v>93.7</v>
      </c>
      <c r="BI960" t="str">
        <f>"294.31"</f>
        <v>294.31</v>
      </c>
      <c r="BY960" t="str">
        <f>"50.36"</f>
        <v>50.36</v>
      </c>
      <c r="BZ960" t="str">
        <f>"1.426"</f>
        <v>1.426</v>
      </c>
      <c r="CA960" t="s">
        <v>431</v>
      </c>
      <c r="DK960" t="s">
        <v>18071</v>
      </c>
      <c r="DX960" t="s">
        <v>2510</v>
      </c>
      <c r="DY960" t="s">
        <v>950</v>
      </c>
      <c r="DZ960" t="s">
        <v>3018</v>
      </c>
      <c r="EI960" t="s">
        <v>1094</v>
      </c>
      <c r="EJ960" t="s">
        <v>17840</v>
      </c>
      <c r="EK960" t="s">
        <v>1094</v>
      </c>
      <c r="EM960" t="s">
        <v>402</v>
      </c>
      <c r="LP960" t="s">
        <v>449</v>
      </c>
      <c r="LQ960" t="s">
        <v>2696</v>
      </c>
      <c r="LR960" t="s">
        <v>1037</v>
      </c>
      <c r="LS960" t="s">
        <v>7917</v>
      </c>
      <c r="LT960" t="s">
        <v>3025</v>
      </c>
      <c r="LU960" t="s">
        <v>7917</v>
      </c>
      <c r="LV960">
        <v>0</v>
      </c>
      <c r="LW960">
        <v>0</v>
      </c>
      <c r="LX960" t="s">
        <v>18072</v>
      </c>
      <c r="LY960">
        <v>6</v>
      </c>
      <c r="LZ960">
        <v>0</v>
      </c>
      <c r="MA960">
        <v>0</v>
      </c>
      <c r="MB960" t="s">
        <v>18073</v>
      </c>
      <c r="MC960">
        <v>0</v>
      </c>
      <c r="MD960">
        <v>0</v>
      </c>
      <c r="ME960">
        <v>0</v>
      </c>
      <c r="MF960">
        <v>0</v>
      </c>
      <c r="MG960">
        <v>0</v>
      </c>
    </row>
    <row r="961" spans="1:275" x14ac:dyDescent="0.25">
      <c r="A961" t="s">
        <v>18074</v>
      </c>
      <c r="B961" t="str">
        <f>"801542989019"</f>
        <v>801542989019</v>
      </c>
      <c r="C961" t="s">
        <v>7762</v>
      </c>
      <c r="D961" t="s">
        <v>1967</v>
      </c>
      <c r="E961" t="s">
        <v>647</v>
      </c>
      <c r="F961" t="s">
        <v>648</v>
      </c>
      <c r="G961" t="str">
        <f>"42"</f>
        <v>42</v>
      </c>
      <c r="H961" t="str">
        <f>"42"</f>
        <v>42</v>
      </c>
      <c r="I961" t="str">
        <f>"30"</f>
        <v>30</v>
      </c>
      <c r="J961" t="str">
        <f>"158.73"</f>
        <v>158.73</v>
      </c>
      <c r="K961" t="s">
        <v>7763</v>
      </c>
      <c r="L961" t="s">
        <v>7764</v>
      </c>
      <c r="N961" t="s">
        <v>6002</v>
      </c>
      <c r="O961" t="s">
        <v>372</v>
      </c>
      <c r="T961" t="s">
        <v>373</v>
      </c>
      <c r="U961" t="s">
        <v>373</v>
      </c>
      <c r="V961" t="s">
        <v>7765</v>
      </c>
      <c r="W961" t="s">
        <v>18075</v>
      </c>
      <c r="X961" t="s">
        <v>18076</v>
      </c>
      <c r="Y961" t="s">
        <v>18077</v>
      </c>
      <c r="Z961" t="s">
        <v>18078</v>
      </c>
      <c r="AA961" t="s">
        <v>18079</v>
      </c>
      <c r="AB961" t="s">
        <v>18080</v>
      </c>
      <c r="AC961" t="s">
        <v>18081</v>
      </c>
      <c r="AD961" t="s">
        <v>18082</v>
      </c>
      <c r="AE961" t="s">
        <v>18083</v>
      </c>
      <c r="AF961" t="s">
        <v>18084</v>
      </c>
      <c r="AG961" t="s">
        <v>18085</v>
      </c>
      <c r="BA961" t="str">
        <f>"2799"</f>
        <v>2799</v>
      </c>
      <c r="BB961" t="str">
        <f>"1180"</f>
        <v>1180</v>
      </c>
      <c r="BC961" t="s">
        <v>388</v>
      </c>
      <c r="BD961" t="str">
        <f>"2"</f>
        <v>2</v>
      </c>
      <c r="BE961" t="s">
        <v>1089</v>
      </c>
      <c r="BF961" t="str">
        <f>"49.02"</f>
        <v>49.02</v>
      </c>
      <c r="BG961" t="str">
        <f>"8.46"</f>
        <v>8.46</v>
      </c>
      <c r="BH961" t="str">
        <f>"49.02"</f>
        <v>49.02</v>
      </c>
      <c r="BI961" t="str">
        <f>"233.69"</f>
        <v>233.69</v>
      </c>
      <c r="BJ961" t="s">
        <v>1090</v>
      </c>
      <c r="BK961" t="str">
        <f>"21.46"</f>
        <v>21.46</v>
      </c>
      <c r="BL961" t="str">
        <f>"21.46"</f>
        <v>21.46</v>
      </c>
      <c r="BM961" t="str">
        <f>"31.5"</f>
        <v>31.5</v>
      </c>
      <c r="BN961" t="str">
        <f>"52.91"</f>
        <v>52.91</v>
      </c>
      <c r="BY961" t="str">
        <f>"20.16"</f>
        <v>20.16</v>
      </c>
      <c r="BZ961" t="str">
        <f>"0.571"</f>
        <v>0.571</v>
      </c>
      <c r="CA961" t="s">
        <v>431</v>
      </c>
      <c r="CR961" t="s">
        <v>400</v>
      </c>
      <c r="CS961">
        <v>0</v>
      </c>
      <c r="CT961" t="s">
        <v>400</v>
      </c>
      <c r="CV961">
        <v>0</v>
      </c>
      <c r="CX961" t="s">
        <v>1980</v>
      </c>
      <c r="CY961" t="s">
        <v>400</v>
      </c>
      <c r="DA961">
        <v>0</v>
      </c>
      <c r="DB961">
        <v>0</v>
      </c>
      <c r="DC961">
        <v>0</v>
      </c>
      <c r="DI961">
        <v>4</v>
      </c>
      <c r="DJ961" t="s">
        <v>471</v>
      </c>
      <c r="DK961" t="s">
        <v>7774</v>
      </c>
      <c r="DM961" t="s">
        <v>473</v>
      </c>
      <c r="DX961" t="s">
        <v>18086</v>
      </c>
      <c r="EI961" t="s">
        <v>2595</v>
      </c>
      <c r="EJ961" t="s">
        <v>18086</v>
      </c>
      <c r="EK961" t="s">
        <v>2595</v>
      </c>
      <c r="EL961" t="s">
        <v>7587</v>
      </c>
      <c r="EM961" t="s">
        <v>402</v>
      </c>
      <c r="EN961">
        <v>0</v>
      </c>
      <c r="EO961">
        <v>0</v>
      </c>
      <c r="EW961" t="s">
        <v>18086</v>
      </c>
      <c r="EX961" t="s">
        <v>3252</v>
      </c>
      <c r="EY961" t="s">
        <v>1115</v>
      </c>
    </row>
    <row r="962" spans="1:275" x14ac:dyDescent="0.25">
      <c r="A962" t="s">
        <v>18087</v>
      </c>
      <c r="B962" t="str">
        <f>"801542991685"</f>
        <v>801542991685</v>
      </c>
      <c r="C962" t="s">
        <v>18088</v>
      </c>
      <c r="D962" t="s">
        <v>10298</v>
      </c>
      <c r="E962" t="s">
        <v>964</v>
      </c>
      <c r="F962" t="s">
        <v>965</v>
      </c>
      <c r="G962" t="str">
        <f>"42"</f>
        <v>42</v>
      </c>
      <c r="H962" t="str">
        <f>"18.25"</f>
        <v>18.25</v>
      </c>
      <c r="I962" t="str">
        <f>"35"</f>
        <v>35</v>
      </c>
      <c r="J962" t="str">
        <f>"89.5"</f>
        <v>89.5</v>
      </c>
      <c r="K962" t="s">
        <v>1462</v>
      </c>
      <c r="N962" t="s">
        <v>1463</v>
      </c>
      <c r="O962" t="s">
        <v>372</v>
      </c>
      <c r="T962" t="s">
        <v>373</v>
      </c>
      <c r="U962" t="s">
        <v>373</v>
      </c>
      <c r="V962" t="s">
        <v>18089</v>
      </c>
      <c r="W962" t="s">
        <v>18090</v>
      </c>
      <c r="X962" t="s">
        <v>18091</v>
      </c>
      <c r="Y962" t="s">
        <v>18092</v>
      </c>
      <c r="Z962" t="s">
        <v>18093</v>
      </c>
      <c r="AA962" t="s">
        <v>18094</v>
      </c>
      <c r="AB962" t="s">
        <v>18095</v>
      </c>
      <c r="AC962" t="s">
        <v>18096</v>
      </c>
      <c r="AD962" t="s">
        <v>18097</v>
      </c>
      <c r="AE962" t="s">
        <v>18098</v>
      </c>
      <c r="AF962" t="s">
        <v>18099</v>
      </c>
      <c r="AG962" t="s">
        <v>18100</v>
      </c>
      <c r="AH962" t="s">
        <v>18101</v>
      </c>
      <c r="AI962" t="s">
        <v>18102</v>
      </c>
      <c r="AJ962" t="s">
        <v>18103</v>
      </c>
      <c r="AK962" t="s">
        <v>18104</v>
      </c>
      <c r="AL962" t="s">
        <v>18105</v>
      </c>
      <c r="AM962" t="s">
        <v>18106</v>
      </c>
      <c r="BA962" t="str">
        <f>"2299"</f>
        <v>2299</v>
      </c>
      <c r="BB962" t="str">
        <f>"970"</f>
        <v>970</v>
      </c>
      <c r="BC962" t="s">
        <v>388</v>
      </c>
      <c r="BD962" t="str">
        <f t="shared" ref="BD962:BD973" si="191">"1"</f>
        <v>1</v>
      </c>
      <c r="BE962" t="s">
        <v>389</v>
      </c>
      <c r="BF962" t="str">
        <f>"46.46"</f>
        <v>46.46</v>
      </c>
      <c r="BG962" t="str">
        <f>"22.83"</f>
        <v>22.83</v>
      </c>
      <c r="BH962" t="str">
        <f>"32.28"</f>
        <v>32.28</v>
      </c>
      <c r="BI962" t="str">
        <f>"108.47"</f>
        <v>108.47</v>
      </c>
      <c r="BY962" t="str">
        <f>"19.81"</f>
        <v>19.81</v>
      </c>
      <c r="BZ962" t="str">
        <f>"0.561"</f>
        <v>0.561</v>
      </c>
      <c r="CA962" t="s">
        <v>431</v>
      </c>
      <c r="CE962" t="s">
        <v>474</v>
      </c>
      <c r="CF962" t="s">
        <v>1491</v>
      </c>
      <c r="CG962" t="s">
        <v>17543</v>
      </c>
      <c r="CR962" t="s">
        <v>400</v>
      </c>
      <c r="CS962">
        <v>0</v>
      </c>
      <c r="CT962" t="s">
        <v>400</v>
      </c>
      <c r="CV962">
        <v>0</v>
      </c>
      <c r="CX962" t="s">
        <v>403</v>
      </c>
      <c r="CY962" t="s">
        <v>954</v>
      </c>
      <c r="DA962">
        <v>18.14</v>
      </c>
      <c r="DB962">
        <v>40</v>
      </c>
      <c r="DC962">
        <v>1</v>
      </c>
      <c r="DJ962" t="s">
        <v>982</v>
      </c>
      <c r="DK962" t="s">
        <v>17204</v>
      </c>
      <c r="DX962" t="s">
        <v>7700</v>
      </c>
      <c r="EM962" t="s">
        <v>402</v>
      </c>
      <c r="EN962">
        <v>1</v>
      </c>
      <c r="EZ962" t="s">
        <v>1491</v>
      </c>
      <c r="FA962" t="s">
        <v>956</v>
      </c>
      <c r="FB962" t="s">
        <v>3982</v>
      </c>
      <c r="FC962" t="s">
        <v>474</v>
      </c>
      <c r="FD962" t="s">
        <v>956</v>
      </c>
      <c r="FE962" t="s">
        <v>17543</v>
      </c>
      <c r="FF962">
        <v>0</v>
      </c>
      <c r="FG962" t="s">
        <v>402</v>
      </c>
      <c r="FH962" t="s">
        <v>4905</v>
      </c>
      <c r="FI962">
        <v>2</v>
      </c>
      <c r="FJ962" t="s">
        <v>960</v>
      </c>
      <c r="FK962" t="s">
        <v>1611</v>
      </c>
      <c r="FL962">
        <v>0</v>
      </c>
      <c r="FM962" t="s">
        <v>402</v>
      </c>
      <c r="FN962" t="s">
        <v>983</v>
      </c>
      <c r="FO962" t="s">
        <v>984</v>
      </c>
      <c r="FQ962">
        <v>0</v>
      </c>
      <c r="GX962" t="s">
        <v>675</v>
      </c>
      <c r="HI962" t="s">
        <v>402</v>
      </c>
    </row>
    <row r="963" spans="1:275" x14ac:dyDescent="0.25">
      <c r="A963" t="s">
        <v>18107</v>
      </c>
      <c r="B963" t="str">
        <f>"801542328719"</f>
        <v>801542328719</v>
      </c>
      <c r="C963" t="s">
        <v>18108</v>
      </c>
      <c r="D963" t="s">
        <v>1276</v>
      </c>
      <c r="E963" t="s">
        <v>988</v>
      </c>
      <c r="G963" t="str">
        <f>"77"</f>
        <v>77</v>
      </c>
      <c r="H963" t="str">
        <f>"22.75"</f>
        <v>22.75</v>
      </c>
      <c r="I963" t="str">
        <f>"36.75"</f>
        <v>36.75</v>
      </c>
      <c r="J963" t="str">
        <f>"261.248"</f>
        <v>261.248</v>
      </c>
      <c r="K963" t="s">
        <v>15308</v>
      </c>
      <c r="N963" t="s">
        <v>1463</v>
      </c>
      <c r="O963" t="s">
        <v>372</v>
      </c>
      <c r="T963" t="s">
        <v>373</v>
      </c>
      <c r="U963" t="s">
        <v>373</v>
      </c>
      <c r="V963" t="s">
        <v>18109</v>
      </c>
      <c r="W963" t="s">
        <v>18110</v>
      </c>
      <c r="X963" t="s">
        <v>18111</v>
      </c>
      <c r="Y963" t="s">
        <v>18112</v>
      </c>
      <c r="Z963" t="s">
        <v>18113</v>
      </c>
      <c r="AA963" t="s">
        <v>18114</v>
      </c>
      <c r="AB963" t="s">
        <v>18115</v>
      </c>
      <c r="AC963" t="s">
        <v>18116</v>
      </c>
      <c r="AD963" t="s">
        <v>18117</v>
      </c>
      <c r="AE963" t="s">
        <v>18118</v>
      </c>
      <c r="AF963" t="s">
        <v>18119</v>
      </c>
      <c r="AG963" t="s">
        <v>18120</v>
      </c>
      <c r="AH963" t="s">
        <v>18121</v>
      </c>
      <c r="AI963" t="s">
        <v>18122</v>
      </c>
      <c r="AJ963" t="s">
        <v>18123</v>
      </c>
      <c r="AK963" t="s">
        <v>18124</v>
      </c>
      <c r="AL963" t="s">
        <v>18125</v>
      </c>
      <c r="BA963" t="str">
        <f>"2499"</f>
        <v>2499</v>
      </c>
      <c r="BB963" t="str">
        <f>"1050"</f>
        <v>1050</v>
      </c>
      <c r="BC963" t="s">
        <v>665</v>
      </c>
      <c r="BD963" t="str">
        <f t="shared" si="191"/>
        <v>1</v>
      </c>
      <c r="BE963" t="s">
        <v>389</v>
      </c>
      <c r="BF963" t="str">
        <f>"82.87"</f>
        <v>82.87</v>
      </c>
      <c r="BG963" t="str">
        <f>"28.54"</f>
        <v>28.54</v>
      </c>
      <c r="BH963" t="str">
        <f>"43.11"</f>
        <v>43.11</v>
      </c>
      <c r="BI963" t="str">
        <f>"335.1"</f>
        <v>335.1</v>
      </c>
      <c r="BY963" t="str">
        <f>"59.01"</f>
        <v>59.01</v>
      </c>
      <c r="BZ963" t="str">
        <f>"1.671"</f>
        <v>1.671</v>
      </c>
      <c r="CA963" t="s">
        <v>431</v>
      </c>
      <c r="CR963" t="s">
        <v>5068</v>
      </c>
      <c r="CS963">
        <v>6</v>
      </c>
      <c r="CT963" t="s">
        <v>400</v>
      </c>
      <c r="CV963">
        <v>0</v>
      </c>
      <c r="CX963" t="s">
        <v>953</v>
      </c>
      <c r="CY963" t="s">
        <v>1009</v>
      </c>
      <c r="DC963">
        <v>0</v>
      </c>
      <c r="DJ963" t="s">
        <v>1010</v>
      </c>
      <c r="DK963" t="s">
        <v>18126</v>
      </c>
      <c r="DM963" t="s">
        <v>669</v>
      </c>
      <c r="DX963" t="s">
        <v>3188</v>
      </c>
      <c r="EM963" t="s">
        <v>402</v>
      </c>
      <c r="EN963">
        <v>0</v>
      </c>
      <c r="FI963">
        <v>0</v>
      </c>
      <c r="FJ963" t="s">
        <v>1012</v>
      </c>
      <c r="FP963" t="s">
        <v>402</v>
      </c>
      <c r="FR963" t="s">
        <v>8173</v>
      </c>
      <c r="FS963" t="s">
        <v>8173</v>
      </c>
      <c r="FT963" t="s">
        <v>18127</v>
      </c>
      <c r="FU963" t="s">
        <v>18128</v>
      </c>
      <c r="FV963" t="s">
        <v>18129</v>
      </c>
      <c r="FW963" t="s">
        <v>18129</v>
      </c>
      <c r="FX963" t="s">
        <v>4210</v>
      </c>
      <c r="FZ963" t="s">
        <v>953</v>
      </c>
    </row>
    <row r="964" spans="1:275" x14ac:dyDescent="0.25">
      <c r="A964" t="s">
        <v>18130</v>
      </c>
      <c r="B964" t="str">
        <f>"198394057783"</f>
        <v>198394057783</v>
      </c>
      <c r="C964" t="s">
        <v>18131</v>
      </c>
      <c r="D964" t="s">
        <v>1276</v>
      </c>
      <c r="E964" t="s">
        <v>988</v>
      </c>
      <c r="G964" t="str">
        <f>"77"</f>
        <v>77</v>
      </c>
      <c r="H964" t="str">
        <f>"22.75"</f>
        <v>22.75</v>
      </c>
      <c r="I964" t="str">
        <f>"36.75"</f>
        <v>36.75</v>
      </c>
      <c r="J964" t="str">
        <f>"261.248"</f>
        <v>261.248</v>
      </c>
      <c r="K964" t="s">
        <v>18132</v>
      </c>
      <c r="N964" t="s">
        <v>1324</v>
      </c>
      <c r="O964" t="s">
        <v>372</v>
      </c>
      <c r="T964" t="s">
        <v>373</v>
      </c>
      <c r="U964" t="s">
        <v>373</v>
      </c>
      <c r="V964" t="s">
        <v>18133</v>
      </c>
      <c r="W964" t="s">
        <v>18134</v>
      </c>
      <c r="X964" t="s">
        <v>18135</v>
      </c>
      <c r="Y964" t="s">
        <v>18136</v>
      </c>
      <c r="Z964" t="s">
        <v>18137</v>
      </c>
      <c r="AA964" t="s">
        <v>18138</v>
      </c>
      <c r="AB964" t="s">
        <v>18139</v>
      </c>
      <c r="AC964" t="s">
        <v>18140</v>
      </c>
      <c r="AD964" t="s">
        <v>18141</v>
      </c>
      <c r="AE964" t="s">
        <v>18142</v>
      </c>
      <c r="AF964" t="s">
        <v>18143</v>
      </c>
      <c r="AG964" t="s">
        <v>18144</v>
      </c>
      <c r="AH964" t="s">
        <v>18145</v>
      </c>
      <c r="AI964" t="s">
        <v>18146</v>
      </c>
      <c r="AJ964" t="s">
        <v>18147</v>
      </c>
      <c r="AK964" t="s">
        <v>18148</v>
      </c>
      <c r="AL964" t="s">
        <v>17024</v>
      </c>
      <c r="BA964" t="str">
        <f>"2499"</f>
        <v>2499</v>
      </c>
      <c r="BB964" t="str">
        <f>"1050"</f>
        <v>1050</v>
      </c>
      <c r="BC964" t="s">
        <v>665</v>
      </c>
      <c r="BD964" t="str">
        <f t="shared" si="191"/>
        <v>1</v>
      </c>
      <c r="BE964" t="s">
        <v>389</v>
      </c>
      <c r="BF964" t="str">
        <f>"82.87"</f>
        <v>82.87</v>
      </c>
      <c r="BG964" t="str">
        <f>"28.54"</f>
        <v>28.54</v>
      </c>
      <c r="BH964" t="str">
        <f>"43.11"</f>
        <v>43.11</v>
      </c>
      <c r="BI964" t="str">
        <f>"335.1"</f>
        <v>335.1</v>
      </c>
      <c r="BY964" t="str">
        <f>"59.01"</f>
        <v>59.01</v>
      </c>
      <c r="BZ964" t="str">
        <f>"1.671"</f>
        <v>1.671</v>
      </c>
      <c r="CA964" t="s">
        <v>431</v>
      </c>
      <c r="CR964" t="s">
        <v>5068</v>
      </c>
      <c r="CS964">
        <v>6</v>
      </c>
      <c r="CT964" t="s">
        <v>400</v>
      </c>
      <c r="CV964">
        <v>0</v>
      </c>
      <c r="CX964" t="s">
        <v>953</v>
      </c>
      <c r="CY964" t="s">
        <v>1009</v>
      </c>
      <c r="DC964">
        <v>0</v>
      </c>
      <c r="DJ964" t="s">
        <v>1010</v>
      </c>
      <c r="DK964" t="s">
        <v>18126</v>
      </c>
      <c r="DM964" t="s">
        <v>669</v>
      </c>
      <c r="DX964" t="s">
        <v>3188</v>
      </c>
      <c r="EM964" t="s">
        <v>402</v>
      </c>
      <c r="EN964">
        <v>0</v>
      </c>
      <c r="FI964">
        <v>0</v>
      </c>
      <c r="FJ964" t="s">
        <v>1012</v>
      </c>
      <c r="FP964" t="s">
        <v>402</v>
      </c>
      <c r="FR964" t="s">
        <v>8173</v>
      </c>
      <c r="FS964" t="s">
        <v>8173</v>
      </c>
      <c r="FT964" t="s">
        <v>18127</v>
      </c>
      <c r="FU964" t="s">
        <v>18128</v>
      </c>
      <c r="FV964" t="s">
        <v>18129</v>
      </c>
      <c r="FW964" t="s">
        <v>18129</v>
      </c>
      <c r="FX964" t="s">
        <v>4210</v>
      </c>
      <c r="FZ964" t="s">
        <v>953</v>
      </c>
    </row>
    <row r="965" spans="1:275" x14ac:dyDescent="0.25">
      <c r="A965" t="s">
        <v>18149</v>
      </c>
      <c r="B965" t="str">
        <f>"801542328726"</f>
        <v>801542328726</v>
      </c>
      <c r="C965" t="s">
        <v>18150</v>
      </c>
      <c r="D965" t="s">
        <v>1276</v>
      </c>
      <c r="E965" t="s">
        <v>1043</v>
      </c>
      <c r="G965" t="str">
        <f>"30"</f>
        <v>30</v>
      </c>
      <c r="H965" t="str">
        <f>"16.75"</f>
        <v>16.75</v>
      </c>
      <c r="I965" t="str">
        <f>"26"</f>
        <v>26</v>
      </c>
      <c r="J965" t="str">
        <f>"66.14"</f>
        <v>66.14</v>
      </c>
      <c r="K965" t="s">
        <v>15308</v>
      </c>
      <c r="N965" t="s">
        <v>1463</v>
      </c>
      <c r="O965" t="s">
        <v>372</v>
      </c>
      <c r="T965" t="s">
        <v>373</v>
      </c>
      <c r="U965" t="s">
        <v>373</v>
      </c>
      <c r="V965" t="s">
        <v>18151</v>
      </c>
      <c r="W965" t="s">
        <v>18152</v>
      </c>
      <c r="X965" t="s">
        <v>18153</v>
      </c>
      <c r="Y965" t="s">
        <v>18154</v>
      </c>
      <c r="Z965" t="s">
        <v>18155</v>
      </c>
      <c r="AA965" t="s">
        <v>18156</v>
      </c>
      <c r="AB965" t="s">
        <v>18157</v>
      </c>
      <c r="AC965" t="s">
        <v>18158</v>
      </c>
      <c r="AD965" t="s">
        <v>18159</v>
      </c>
      <c r="AE965" t="s">
        <v>18160</v>
      </c>
      <c r="AF965" t="s">
        <v>18161</v>
      </c>
      <c r="AG965" t="s">
        <v>18162</v>
      </c>
      <c r="AH965" t="s">
        <v>18163</v>
      </c>
      <c r="AI965" t="s">
        <v>18164</v>
      </c>
      <c r="AJ965" t="s">
        <v>18165</v>
      </c>
      <c r="AK965" t="s">
        <v>18166</v>
      </c>
      <c r="AL965" t="s">
        <v>17289</v>
      </c>
      <c r="BA965" t="str">
        <f>"749"</f>
        <v>749</v>
      </c>
      <c r="BB965" t="str">
        <f>"315"</f>
        <v>315</v>
      </c>
      <c r="BC965" t="s">
        <v>665</v>
      </c>
      <c r="BD965" t="str">
        <f t="shared" si="191"/>
        <v>1</v>
      </c>
      <c r="BE965" t="s">
        <v>389</v>
      </c>
      <c r="BF965" t="str">
        <f>"36.02"</f>
        <v>36.02</v>
      </c>
      <c r="BG965" t="str">
        <f>"22.64"</f>
        <v>22.64</v>
      </c>
      <c r="BH965" t="str">
        <f>"32.28"</f>
        <v>32.28</v>
      </c>
      <c r="BI965" t="str">
        <f>"95.9"</f>
        <v>95.9</v>
      </c>
      <c r="BY965" t="str">
        <f>"15.22"</f>
        <v>15.22</v>
      </c>
      <c r="BZ965" t="str">
        <f>"0.431"</f>
        <v>0.431</v>
      </c>
      <c r="CA965" t="s">
        <v>431</v>
      </c>
      <c r="CR965" t="s">
        <v>5068</v>
      </c>
      <c r="CS965">
        <v>2</v>
      </c>
      <c r="CT965" t="s">
        <v>400</v>
      </c>
      <c r="CV965">
        <v>0</v>
      </c>
      <c r="CX965" t="s">
        <v>953</v>
      </c>
      <c r="CY965" t="s">
        <v>1009</v>
      </c>
      <c r="DC965">
        <v>0</v>
      </c>
      <c r="DJ965" t="s">
        <v>408</v>
      </c>
      <c r="DK965" t="s">
        <v>18126</v>
      </c>
      <c r="DM965" t="s">
        <v>473</v>
      </c>
      <c r="DX965" t="s">
        <v>3188</v>
      </c>
      <c r="EM965" t="s">
        <v>402</v>
      </c>
      <c r="EN965">
        <v>0</v>
      </c>
      <c r="FI965">
        <v>0</v>
      </c>
      <c r="FJ965" t="s">
        <v>1012</v>
      </c>
      <c r="FP965" t="s">
        <v>402</v>
      </c>
      <c r="FR965" t="s">
        <v>3194</v>
      </c>
      <c r="FT965" t="s">
        <v>18167</v>
      </c>
      <c r="FV965" t="s">
        <v>18168</v>
      </c>
      <c r="FX965" t="s">
        <v>4210</v>
      </c>
      <c r="FZ965" t="s">
        <v>953</v>
      </c>
    </row>
    <row r="966" spans="1:275" x14ac:dyDescent="0.25">
      <c r="A966" t="s">
        <v>18169</v>
      </c>
      <c r="B966" t="str">
        <f>"198394057790"</f>
        <v>198394057790</v>
      </c>
      <c r="C966" t="s">
        <v>18170</v>
      </c>
      <c r="D966" t="s">
        <v>1276</v>
      </c>
      <c r="E966" t="s">
        <v>1043</v>
      </c>
      <c r="G966" t="str">
        <f>"30"</f>
        <v>30</v>
      </c>
      <c r="H966" t="str">
        <f>"16.75"</f>
        <v>16.75</v>
      </c>
      <c r="I966" t="str">
        <f>"26"</f>
        <v>26</v>
      </c>
      <c r="J966" t="str">
        <f>"66.14"</f>
        <v>66.14</v>
      </c>
      <c r="K966" t="s">
        <v>18132</v>
      </c>
      <c r="N966" t="s">
        <v>1324</v>
      </c>
      <c r="O966" t="s">
        <v>372</v>
      </c>
      <c r="T966" t="s">
        <v>373</v>
      </c>
      <c r="U966" t="s">
        <v>373</v>
      </c>
      <c r="V966" t="s">
        <v>18171</v>
      </c>
      <c r="W966" t="s">
        <v>18172</v>
      </c>
      <c r="X966" t="s">
        <v>18173</v>
      </c>
      <c r="Y966" t="s">
        <v>18174</v>
      </c>
      <c r="Z966" t="s">
        <v>18175</v>
      </c>
      <c r="AA966" t="s">
        <v>18176</v>
      </c>
      <c r="AB966" t="s">
        <v>18177</v>
      </c>
      <c r="AC966" t="s">
        <v>18178</v>
      </c>
      <c r="AD966" t="s">
        <v>18179</v>
      </c>
      <c r="AE966" t="s">
        <v>18180</v>
      </c>
      <c r="AF966" t="s">
        <v>18181</v>
      </c>
      <c r="AG966" t="s">
        <v>18182</v>
      </c>
      <c r="AH966" t="s">
        <v>18183</v>
      </c>
      <c r="AI966" t="s">
        <v>18184</v>
      </c>
      <c r="AJ966" t="s">
        <v>18185</v>
      </c>
      <c r="AK966" t="s">
        <v>18186</v>
      </c>
      <c r="BA966" t="str">
        <f>"749"</f>
        <v>749</v>
      </c>
      <c r="BB966" t="str">
        <f>"315"</f>
        <v>315</v>
      </c>
      <c r="BC966" t="s">
        <v>665</v>
      </c>
      <c r="BD966" t="str">
        <f t="shared" si="191"/>
        <v>1</v>
      </c>
      <c r="BE966" t="s">
        <v>389</v>
      </c>
      <c r="BF966" t="str">
        <f>"36.02"</f>
        <v>36.02</v>
      </c>
      <c r="BG966" t="str">
        <f>"22.64"</f>
        <v>22.64</v>
      </c>
      <c r="BH966" t="str">
        <f>"32.28"</f>
        <v>32.28</v>
      </c>
      <c r="BI966" t="str">
        <f>"95.9"</f>
        <v>95.9</v>
      </c>
      <c r="BY966" t="str">
        <f>"15.22"</f>
        <v>15.22</v>
      </c>
      <c r="BZ966" t="str">
        <f>"0.431"</f>
        <v>0.431</v>
      </c>
      <c r="CA966" t="s">
        <v>431</v>
      </c>
      <c r="CR966" t="s">
        <v>5068</v>
      </c>
      <c r="CS966">
        <v>2</v>
      </c>
      <c r="CT966" t="s">
        <v>400</v>
      </c>
      <c r="CV966">
        <v>0</v>
      </c>
      <c r="CX966" t="s">
        <v>953</v>
      </c>
      <c r="CY966" t="s">
        <v>1009</v>
      </c>
      <c r="DC966">
        <v>0</v>
      </c>
      <c r="DJ966" t="s">
        <v>408</v>
      </c>
      <c r="DK966" t="s">
        <v>18126</v>
      </c>
      <c r="DM966" t="s">
        <v>473</v>
      </c>
      <c r="DX966" t="s">
        <v>3188</v>
      </c>
      <c r="EM966" t="s">
        <v>402</v>
      </c>
      <c r="EN966">
        <v>0</v>
      </c>
      <c r="FI966">
        <v>0</v>
      </c>
      <c r="FJ966" t="s">
        <v>1012</v>
      </c>
      <c r="FP966" t="s">
        <v>402</v>
      </c>
      <c r="FR966" t="s">
        <v>3194</v>
      </c>
      <c r="FT966" t="s">
        <v>18167</v>
      </c>
      <c r="FV966" t="s">
        <v>18168</v>
      </c>
      <c r="FX966" t="s">
        <v>4210</v>
      </c>
      <c r="FZ966" t="s">
        <v>953</v>
      </c>
    </row>
    <row r="967" spans="1:275" x14ac:dyDescent="0.25">
      <c r="A967" t="s">
        <v>18187</v>
      </c>
      <c r="B967" t="str">
        <f>"801542967857"</f>
        <v>801542967857</v>
      </c>
      <c r="C967" t="s">
        <v>18188</v>
      </c>
      <c r="D967" t="s">
        <v>16922</v>
      </c>
      <c r="E967" t="s">
        <v>413</v>
      </c>
      <c r="G967" t="str">
        <f>"87.5"</f>
        <v>87.5</v>
      </c>
      <c r="H967" t="str">
        <f>"41.25"</f>
        <v>41.25</v>
      </c>
      <c r="I967" t="str">
        <f>"33"</f>
        <v>33</v>
      </c>
      <c r="J967" t="str">
        <f>"130.07"</f>
        <v>130.07</v>
      </c>
      <c r="K967" t="s">
        <v>9691</v>
      </c>
      <c r="L967" t="s">
        <v>18189</v>
      </c>
      <c r="N967" t="s">
        <v>9693</v>
      </c>
      <c r="O967" t="s">
        <v>9694</v>
      </c>
      <c r="P967" t="s">
        <v>1171</v>
      </c>
      <c r="Q967" t="s">
        <v>1325</v>
      </c>
      <c r="T967" t="s">
        <v>373</v>
      </c>
      <c r="U967" t="s">
        <v>402</v>
      </c>
      <c r="V967" t="s">
        <v>18190</v>
      </c>
      <c r="W967" t="s">
        <v>18191</v>
      </c>
      <c r="X967" t="s">
        <v>18192</v>
      </c>
      <c r="Y967" t="s">
        <v>18193</v>
      </c>
      <c r="Z967" t="s">
        <v>18194</v>
      </c>
      <c r="AA967" t="s">
        <v>18195</v>
      </c>
      <c r="AB967" t="s">
        <v>18196</v>
      </c>
      <c r="AC967" t="s">
        <v>18197</v>
      </c>
      <c r="AD967" t="s">
        <v>18198</v>
      </c>
      <c r="AE967" t="s">
        <v>18199</v>
      </c>
      <c r="AF967" t="s">
        <v>18200</v>
      </c>
      <c r="AG967" t="s">
        <v>18201</v>
      </c>
      <c r="BA967" t="str">
        <f>"2299"</f>
        <v>2299</v>
      </c>
      <c r="BB967" t="str">
        <f>"970"</f>
        <v>970</v>
      </c>
      <c r="BC967" t="s">
        <v>665</v>
      </c>
      <c r="BD967" t="str">
        <f t="shared" si="191"/>
        <v>1</v>
      </c>
      <c r="BE967" t="s">
        <v>16938</v>
      </c>
      <c r="BF967" t="str">
        <f>"88.39"</f>
        <v>88.39</v>
      </c>
      <c r="BG967" t="str">
        <f>"41.93"</f>
        <v>41.93</v>
      </c>
      <c r="BH967" t="str">
        <f>"21.26"</f>
        <v>21.26</v>
      </c>
      <c r="BI967" t="str">
        <f>"163.14"</f>
        <v>163.14</v>
      </c>
      <c r="BY967" t="str">
        <f>"45.59"</f>
        <v>45.59</v>
      </c>
      <c r="BZ967" t="str">
        <f>"1.291"</f>
        <v>1.291</v>
      </c>
      <c r="CA967" t="s">
        <v>390</v>
      </c>
      <c r="CH967" t="s">
        <v>578</v>
      </c>
      <c r="CI967" t="s">
        <v>566</v>
      </c>
      <c r="CJ967" t="s">
        <v>18202</v>
      </c>
      <c r="CK967" t="s">
        <v>638</v>
      </c>
      <c r="CL967" t="s">
        <v>535</v>
      </c>
      <c r="CM967" t="s">
        <v>18203</v>
      </c>
      <c r="CN967">
        <v>0</v>
      </c>
      <c r="CO967">
        <v>2</v>
      </c>
      <c r="CP967" t="s">
        <v>437</v>
      </c>
      <c r="CQ967" t="s">
        <v>399</v>
      </c>
      <c r="CU967" t="s">
        <v>18204</v>
      </c>
      <c r="CY967" t="s">
        <v>400</v>
      </c>
      <c r="CZ967">
        <v>0</v>
      </c>
      <c r="DD967">
        <v>15000</v>
      </c>
      <c r="DE967" t="s">
        <v>570</v>
      </c>
      <c r="DF967" t="s">
        <v>406</v>
      </c>
      <c r="DG967" t="s">
        <v>407</v>
      </c>
      <c r="DH967">
        <v>2</v>
      </c>
      <c r="DI967">
        <v>4</v>
      </c>
      <c r="DK967" t="s">
        <v>18205</v>
      </c>
      <c r="DL967">
        <v>0</v>
      </c>
      <c r="DM967" t="s">
        <v>795</v>
      </c>
      <c r="DN967" t="s">
        <v>534</v>
      </c>
      <c r="DO967" t="s">
        <v>8376</v>
      </c>
      <c r="DP967" t="s">
        <v>18206</v>
      </c>
      <c r="DT967" t="s">
        <v>7587</v>
      </c>
      <c r="DU967" t="s">
        <v>951</v>
      </c>
      <c r="DV967" t="s">
        <v>6766</v>
      </c>
      <c r="DW967" t="s">
        <v>18202</v>
      </c>
      <c r="DX967" t="s">
        <v>2599</v>
      </c>
      <c r="DY967" t="s">
        <v>18207</v>
      </c>
      <c r="DZ967" t="s">
        <v>17939</v>
      </c>
      <c r="EA967" t="s">
        <v>8376</v>
      </c>
      <c r="ED967" t="s">
        <v>406</v>
      </c>
      <c r="EE967" t="s">
        <v>407</v>
      </c>
      <c r="EF967" t="s">
        <v>18208</v>
      </c>
      <c r="EG967" t="s">
        <v>18209</v>
      </c>
      <c r="EP967" t="s">
        <v>18203</v>
      </c>
      <c r="EQ967" t="s">
        <v>18203</v>
      </c>
    </row>
    <row r="968" spans="1:275" x14ac:dyDescent="0.25">
      <c r="A968" t="s">
        <v>18210</v>
      </c>
      <c r="B968" t="str">
        <f>"801542967840"</f>
        <v>801542967840</v>
      </c>
      <c r="C968" t="s">
        <v>18211</v>
      </c>
      <c r="D968" t="s">
        <v>16922</v>
      </c>
      <c r="E968" t="s">
        <v>413</v>
      </c>
      <c r="G968" t="str">
        <f>"87.5"</f>
        <v>87.5</v>
      </c>
      <c r="H968" t="str">
        <f>"41.25"</f>
        <v>41.25</v>
      </c>
      <c r="I968" t="str">
        <f>"33"</f>
        <v>33</v>
      </c>
      <c r="J968" t="str">
        <f>"130.07"</f>
        <v>130.07</v>
      </c>
      <c r="K968" t="s">
        <v>18212</v>
      </c>
      <c r="L968" t="s">
        <v>18189</v>
      </c>
      <c r="N968" t="s">
        <v>416</v>
      </c>
      <c r="O968" t="s">
        <v>1325</v>
      </c>
      <c r="T968" t="s">
        <v>373</v>
      </c>
      <c r="U968" t="s">
        <v>373</v>
      </c>
      <c r="V968" t="s">
        <v>18213</v>
      </c>
      <c r="W968" t="s">
        <v>18214</v>
      </c>
      <c r="X968" t="s">
        <v>18215</v>
      </c>
      <c r="Y968" t="s">
        <v>18216</v>
      </c>
      <c r="Z968" t="s">
        <v>18217</v>
      </c>
      <c r="AA968" t="s">
        <v>18218</v>
      </c>
      <c r="AB968" t="s">
        <v>18219</v>
      </c>
      <c r="AC968" t="s">
        <v>18220</v>
      </c>
      <c r="AD968" t="s">
        <v>18221</v>
      </c>
      <c r="AE968" t="s">
        <v>18222</v>
      </c>
      <c r="AF968" t="s">
        <v>18223</v>
      </c>
      <c r="AG968" t="s">
        <v>18224</v>
      </c>
      <c r="AH968" t="s">
        <v>18225</v>
      </c>
      <c r="AI968" t="s">
        <v>18226</v>
      </c>
      <c r="AJ968" t="s">
        <v>17073</v>
      </c>
      <c r="BA968" t="str">
        <f>"4199"</f>
        <v>4199</v>
      </c>
      <c r="BB968" t="str">
        <f>"1765"</f>
        <v>1765</v>
      </c>
      <c r="BC968" t="s">
        <v>665</v>
      </c>
      <c r="BD968" t="str">
        <f t="shared" si="191"/>
        <v>1</v>
      </c>
      <c r="BE968" t="s">
        <v>16938</v>
      </c>
      <c r="BF968" t="str">
        <f>"88.39"</f>
        <v>88.39</v>
      </c>
      <c r="BG968" t="str">
        <f>"41.93"</f>
        <v>41.93</v>
      </c>
      <c r="BH968" t="str">
        <f>"21.26"</f>
        <v>21.26</v>
      </c>
      <c r="BI968" t="str">
        <f>"163.14"</f>
        <v>163.14</v>
      </c>
      <c r="BY968" t="str">
        <f>"45.59"</f>
        <v>45.59</v>
      </c>
      <c r="BZ968" t="str">
        <f>"1.291"</f>
        <v>1.291</v>
      </c>
      <c r="CA968" t="s">
        <v>390</v>
      </c>
      <c r="CH968" t="s">
        <v>578</v>
      </c>
      <c r="CI968" t="s">
        <v>566</v>
      </c>
      <c r="CJ968" t="s">
        <v>18202</v>
      </c>
      <c r="CK968" t="s">
        <v>638</v>
      </c>
      <c r="CL968" t="s">
        <v>535</v>
      </c>
      <c r="CM968" t="s">
        <v>18203</v>
      </c>
      <c r="CN968">
        <v>0</v>
      </c>
      <c r="CO968">
        <v>2</v>
      </c>
      <c r="CP968" t="s">
        <v>437</v>
      </c>
      <c r="CQ968" t="s">
        <v>2743</v>
      </c>
      <c r="CU968" t="s">
        <v>18204</v>
      </c>
      <c r="CY968" t="s">
        <v>400</v>
      </c>
      <c r="CZ968">
        <v>0</v>
      </c>
      <c r="DD968">
        <v>500</v>
      </c>
      <c r="DE968" t="s">
        <v>570</v>
      </c>
      <c r="DF968" t="s">
        <v>406</v>
      </c>
      <c r="DG968" t="s">
        <v>407</v>
      </c>
      <c r="DH968">
        <v>2</v>
      </c>
      <c r="DI968">
        <v>4</v>
      </c>
      <c r="DK968" t="s">
        <v>18205</v>
      </c>
      <c r="DL968">
        <v>0</v>
      </c>
      <c r="DM968" t="s">
        <v>795</v>
      </c>
      <c r="DN968" t="s">
        <v>534</v>
      </c>
      <c r="DO968" t="s">
        <v>8376</v>
      </c>
      <c r="DP968" t="s">
        <v>18206</v>
      </c>
      <c r="DT968" t="s">
        <v>7587</v>
      </c>
      <c r="DU968" t="s">
        <v>951</v>
      </c>
      <c r="DV968" t="s">
        <v>6766</v>
      </c>
      <c r="DW968" t="s">
        <v>18202</v>
      </c>
      <c r="DX968" t="s">
        <v>2599</v>
      </c>
      <c r="DY968" t="s">
        <v>18207</v>
      </c>
      <c r="DZ968" t="s">
        <v>17939</v>
      </c>
      <c r="EA968" t="s">
        <v>8376</v>
      </c>
      <c r="ED968" t="s">
        <v>406</v>
      </c>
      <c r="EE968" t="s">
        <v>407</v>
      </c>
      <c r="EF968" t="s">
        <v>18208</v>
      </c>
      <c r="EG968" t="s">
        <v>18209</v>
      </c>
      <c r="EP968" t="s">
        <v>18203</v>
      </c>
      <c r="EQ968" t="s">
        <v>18203</v>
      </c>
    </row>
    <row r="969" spans="1:275" x14ac:dyDescent="0.25">
      <c r="A969" t="s">
        <v>18227</v>
      </c>
      <c r="B969" t="str">
        <f>"801542976910"</f>
        <v>801542976910</v>
      </c>
      <c r="C969" t="s">
        <v>18228</v>
      </c>
      <c r="D969" t="s">
        <v>1420</v>
      </c>
      <c r="E969" t="s">
        <v>1021</v>
      </c>
      <c r="G969" t="str">
        <f>"78"</f>
        <v>78</v>
      </c>
      <c r="H969" t="str">
        <f>"18"</f>
        <v>18</v>
      </c>
      <c r="I969" t="str">
        <f>"27"</f>
        <v>27</v>
      </c>
      <c r="J969" t="str">
        <f>"154.32"</f>
        <v>154.32</v>
      </c>
      <c r="K969" t="s">
        <v>15013</v>
      </c>
      <c r="N969" t="s">
        <v>1463</v>
      </c>
      <c r="T969" t="s">
        <v>373</v>
      </c>
      <c r="U969" t="s">
        <v>373</v>
      </c>
      <c r="V969" t="s">
        <v>18229</v>
      </c>
      <c r="W969" t="s">
        <v>18230</v>
      </c>
      <c r="X969" t="s">
        <v>18231</v>
      </c>
      <c r="Y969" t="s">
        <v>18232</v>
      </c>
      <c r="Z969" t="s">
        <v>18233</v>
      </c>
      <c r="AA969" t="s">
        <v>18234</v>
      </c>
      <c r="AB969" t="s">
        <v>18235</v>
      </c>
      <c r="AC969" t="s">
        <v>18236</v>
      </c>
      <c r="AD969" t="s">
        <v>18237</v>
      </c>
      <c r="AE969" t="s">
        <v>18238</v>
      </c>
      <c r="AF969" t="s">
        <v>18239</v>
      </c>
      <c r="AG969" t="s">
        <v>18240</v>
      </c>
      <c r="AH969" t="s">
        <v>18241</v>
      </c>
      <c r="BA969" t="str">
        <f>"1699"</f>
        <v>1699</v>
      </c>
      <c r="BB969" t="str">
        <f>"715"</f>
        <v>715</v>
      </c>
      <c r="BC969" t="s">
        <v>665</v>
      </c>
      <c r="BD969" t="str">
        <f t="shared" si="191"/>
        <v>1</v>
      </c>
      <c r="BE969" t="s">
        <v>10090</v>
      </c>
      <c r="BF969" t="str">
        <f>"82.28"</f>
        <v>82.28</v>
      </c>
      <c r="BG969" t="str">
        <f>"22.83"</f>
        <v>22.83</v>
      </c>
      <c r="BH969" t="str">
        <f>"33.07"</f>
        <v>33.07</v>
      </c>
      <c r="BI969" t="str">
        <f>"190.7"</f>
        <v>190.7</v>
      </c>
      <c r="BY969" t="str">
        <f>"35.95"</f>
        <v>35.95</v>
      </c>
      <c r="BZ969" t="str">
        <f>"1.018"</f>
        <v>1.018</v>
      </c>
      <c r="CA969" t="s">
        <v>495</v>
      </c>
      <c r="CB969" t="s">
        <v>2595</v>
      </c>
      <c r="CC969" t="s">
        <v>1350</v>
      </c>
      <c r="CD969" t="s">
        <v>18242</v>
      </c>
      <c r="CE969" t="s">
        <v>2595</v>
      </c>
      <c r="CF969" t="s">
        <v>10094</v>
      </c>
      <c r="CG969" t="s">
        <v>18242</v>
      </c>
      <c r="CR969" t="s">
        <v>400</v>
      </c>
      <c r="CS969">
        <v>0</v>
      </c>
      <c r="CT969" t="s">
        <v>400</v>
      </c>
      <c r="CV969">
        <v>1</v>
      </c>
      <c r="CW969" t="s">
        <v>402</v>
      </c>
      <c r="CX969" t="s">
        <v>1241</v>
      </c>
      <c r="CY969" t="s">
        <v>404</v>
      </c>
      <c r="DA969">
        <v>0</v>
      </c>
      <c r="DB969">
        <v>0</v>
      </c>
      <c r="DC969">
        <v>0</v>
      </c>
      <c r="DK969" t="s">
        <v>17496</v>
      </c>
      <c r="DX969" t="s">
        <v>3079</v>
      </c>
      <c r="EM969" t="s">
        <v>402</v>
      </c>
      <c r="EN969">
        <v>1</v>
      </c>
      <c r="FI969">
        <v>0</v>
      </c>
      <c r="FJ969" t="s">
        <v>1012</v>
      </c>
      <c r="GE969">
        <v>0</v>
      </c>
    </row>
    <row r="970" spans="1:275" x14ac:dyDescent="0.25">
      <c r="A970" t="s">
        <v>18243</v>
      </c>
      <c r="B970" t="str">
        <f>"801542987756"</f>
        <v>801542987756</v>
      </c>
      <c r="C970" t="s">
        <v>18244</v>
      </c>
      <c r="D970" t="s">
        <v>4184</v>
      </c>
      <c r="E970" t="s">
        <v>1319</v>
      </c>
      <c r="F970" t="s">
        <v>1320</v>
      </c>
      <c r="G970" t="str">
        <f>"72.75"</f>
        <v>72.75</v>
      </c>
      <c r="H970" t="str">
        <f>"30"</f>
        <v>30</v>
      </c>
      <c r="I970" t="str">
        <f>"30"</f>
        <v>30</v>
      </c>
      <c r="J970" t="str">
        <f>"202.82"</f>
        <v>202.82</v>
      </c>
      <c r="K970" t="s">
        <v>4185</v>
      </c>
      <c r="L970" t="s">
        <v>4186</v>
      </c>
      <c r="N970" t="s">
        <v>1970</v>
      </c>
      <c r="O970" t="s">
        <v>416</v>
      </c>
      <c r="P970" t="s">
        <v>372</v>
      </c>
      <c r="T970" t="s">
        <v>373</v>
      </c>
      <c r="U970" t="s">
        <v>373</v>
      </c>
      <c r="V970" t="s">
        <v>18245</v>
      </c>
      <c r="W970" t="s">
        <v>18246</v>
      </c>
      <c r="X970" t="s">
        <v>18247</v>
      </c>
      <c r="Y970" t="s">
        <v>18248</v>
      </c>
      <c r="Z970" t="s">
        <v>18249</v>
      </c>
      <c r="AA970" t="s">
        <v>18250</v>
      </c>
      <c r="AB970" t="s">
        <v>18251</v>
      </c>
      <c r="AC970" t="s">
        <v>18252</v>
      </c>
      <c r="AD970" t="s">
        <v>18253</v>
      </c>
      <c r="AE970" t="s">
        <v>18254</v>
      </c>
      <c r="AF970" t="s">
        <v>18255</v>
      </c>
      <c r="AG970" t="s">
        <v>18256</v>
      </c>
      <c r="AH970" t="s">
        <v>18257</v>
      </c>
      <c r="AI970" t="s">
        <v>18258</v>
      </c>
      <c r="AJ970" t="s">
        <v>18259</v>
      </c>
      <c r="AK970" t="s">
        <v>18260</v>
      </c>
      <c r="AL970" t="s">
        <v>18261</v>
      </c>
      <c r="BA970" t="str">
        <f>"1999"</f>
        <v>1999</v>
      </c>
      <c r="BB970" t="str">
        <f>"840"</f>
        <v>840</v>
      </c>
      <c r="BC970" t="s">
        <v>665</v>
      </c>
      <c r="BD970" t="str">
        <f t="shared" si="191"/>
        <v>1</v>
      </c>
      <c r="BE970" t="s">
        <v>389</v>
      </c>
      <c r="BF970" t="str">
        <f>"74.02"</f>
        <v>74.02</v>
      </c>
      <c r="BG970" t="str">
        <f>"34.25"</f>
        <v>34.25</v>
      </c>
      <c r="BH970" t="str">
        <f>"26.38"</f>
        <v>26.38</v>
      </c>
      <c r="BI970" t="str">
        <f>"268.96"</f>
        <v>268.96</v>
      </c>
      <c r="BY970" t="str">
        <f>"38.7"</f>
        <v>38.7</v>
      </c>
      <c r="BZ970" t="str">
        <f>"1.096"</f>
        <v>1.096</v>
      </c>
      <c r="CA970" t="s">
        <v>431</v>
      </c>
      <c r="CE970" t="s">
        <v>566</v>
      </c>
      <c r="CF970" t="s">
        <v>7531</v>
      </c>
      <c r="CG970" t="s">
        <v>12243</v>
      </c>
      <c r="CR970" t="s">
        <v>1007</v>
      </c>
      <c r="CS970">
        <v>5</v>
      </c>
      <c r="CT970" t="s">
        <v>400</v>
      </c>
      <c r="CV970">
        <v>0</v>
      </c>
      <c r="CX970" t="s">
        <v>403</v>
      </c>
      <c r="CY970" t="s">
        <v>954</v>
      </c>
      <c r="DC970">
        <v>3</v>
      </c>
      <c r="DJ970" t="s">
        <v>1345</v>
      </c>
      <c r="DK970" t="s">
        <v>4205</v>
      </c>
      <c r="DM970" t="s">
        <v>669</v>
      </c>
      <c r="DX970" t="s">
        <v>392</v>
      </c>
      <c r="DY970" t="s">
        <v>2127</v>
      </c>
      <c r="DZ970" t="s">
        <v>10320</v>
      </c>
      <c r="EL970" t="s">
        <v>956</v>
      </c>
      <c r="EM970" t="s">
        <v>402</v>
      </c>
      <c r="EN970">
        <v>3</v>
      </c>
      <c r="FC970" t="s">
        <v>566</v>
      </c>
      <c r="FD970" t="s">
        <v>956</v>
      </c>
      <c r="FE970" t="s">
        <v>12243</v>
      </c>
      <c r="FI970">
        <v>2</v>
      </c>
      <c r="FJ970" t="s">
        <v>960</v>
      </c>
      <c r="FK970" t="s">
        <v>961</v>
      </c>
      <c r="FM970" t="s">
        <v>402</v>
      </c>
      <c r="FR970" t="s">
        <v>5047</v>
      </c>
      <c r="FS970" t="s">
        <v>5047</v>
      </c>
      <c r="FT970" t="s">
        <v>18262</v>
      </c>
      <c r="FU970" t="s">
        <v>18262</v>
      </c>
      <c r="FV970" t="s">
        <v>6929</v>
      </c>
      <c r="FW970" t="s">
        <v>13640</v>
      </c>
      <c r="FX970" t="s">
        <v>4210</v>
      </c>
      <c r="FZ970" t="s">
        <v>1018</v>
      </c>
      <c r="GB970" t="s">
        <v>575</v>
      </c>
      <c r="GC970" t="s">
        <v>7531</v>
      </c>
      <c r="GD970" t="s">
        <v>5877</v>
      </c>
      <c r="GE970">
        <v>4</v>
      </c>
      <c r="GR970" t="s">
        <v>575</v>
      </c>
      <c r="GT970" t="s">
        <v>7531</v>
      </c>
      <c r="GV970" t="s">
        <v>5877</v>
      </c>
      <c r="GX970" t="s">
        <v>392</v>
      </c>
      <c r="GY970" t="s">
        <v>5047</v>
      </c>
      <c r="HA970" t="s">
        <v>18263</v>
      </c>
      <c r="HC970" t="s">
        <v>6929</v>
      </c>
      <c r="HH970" t="s">
        <v>402</v>
      </c>
      <c r="HI970" t="s">
        <v>402</v>
      </c>
    </row>
    <row r="971" spans="1:275" x14ac:dyDescent="0.25">
      <c r="A971" t="s">
        <v>18264</v>
      </c>
      <c r="B971" t="str">
        <f>"801542987749"</f>
        <v>801542987749</v>
      </c>
      <c r="C971" t="s">
        <v>18265</v>
      </c>
      <c r="D971" t="s">
        <v>4184</v>
      </c>
      <c r="E971" t="s">
        <v>1319</v>
      </c>
      <c r="F971" t="s">
        <v>1320</v>
      </c>
      <c r="G971" t="str">
        <f>"72.75"</f>
        <v>72.75</v>
      </c>
      <c r="H971" t="str">
        <f>"30"</f>
        <v>30</v>
      </c>
      <c r="I971" t="str">
        <f>"30"</f>
        <v>30</v>
      </c>
      <c r="J971" t="str">
        <f>"202.82"</f>
        <v>202.82</v>
      </c>
      <c r="K971" t="s">
        <v>4213</v>
      </c>
      <c r="L971" t="s">
        <v>4186</v>
      </c>
      <c r="N971" t="s">
        <v>1970</v>
      </c>
      <c r="O971" t="s">
        <v>416</v>
      </c>
      <c r="P971" t="s">
        <v>372</v>
      </c>
      <c r="T971" t="s">
        <v>373</v>
      </c>
      <c r="U971" t="s">
        <v>373</v>
      </c>
      <c r="V971" t="s">
        <v>18266</v>
      </c>
      <c r="W971" t="s">
        <v>18267</v>
      </c>
      <c r="X971" t="s">
        <v>18268</v>
      </c>
      <c r="Y971" t="s">
        <v>18269</v>
      </c>
      <c r="Z971" t="s">
        <v>18270</v>
      </c>
      <c r="AA971" t="s">
        <v>18271</v>
      </c>
      <c r="AB971" t="s">
        <v>18272</v>
      </c>
      <c r="AC971" t="s">
        <v>18273</v>
      </c>
      <c r="AD971" t="s">
        <v>18274</v>
      </c>
      <c r="AE971" t="s">
        <v>18275</v>
      </c>
      <c r="AF971" t="s">
        <v>18276</v>
      </c>
      <c r="AG971" t="s">
        <v>18277</v>
      </c>
      <c r="AH971" t="s">
        <v>18278</v>
      </c>
      <c r="AI971" t="s">
        <v>18279</v>
      </c>
      <c r="AJ971" t="s">
        <v>18280</v>
      </c>
      <c r="AK971" t="s">
        <v>18281</v>
      </c>
      <c r="AL971" t="s">
        <v>18282</v>
      </c>
      <c r="AM971" t="s">
        <v>18283</v>
      </c>
      <c r="BA971" t="str">
        <f>"1999"</f>
        <v>1999</v>
      </c>
      <c r="BB971" t="str">
        <f>"840"</f>
        <v>840</v>
      </c>
      <c r="BC971" t="s">
        <v>665</v>
      </c>
      <c r="BD971" t="str">
        <f t="shared" si="191"/>
        <v>1</v>
      </c>
      <c r="BE971" t="s">
        <v>389</v>
      </c>
      <c r="BF971" t="str">
        <f>"74.02"</f>
        <v>74.02</v>
      </c>
      <c r="BG971" t="str">
        <f>"34.25"</f>
        <v>34.25</v>
      </c>
      <c r="BH971" t="str">
        <f>"26.38"</f>
        <v>26.38</v>
      </c>
      <c r="BI971" t="str">
        <f>"268.96"</f>
        <v>268.96</v>
      </c>
      <c r="BY971" t="str">
        <f>"38.7"</f>
        <v>38.7</v>
      </c>
      <c r="BZ971" t="str">
        <f>"1.096"</f>
        <v>1.096</v>
      </c>
      <c r="CA971" t="s">
        <v>431</v>
      </c>
      <c r="CE971" t="s">
        <v>566</v>
      </c>
      <c r="CF971" t="s">
        <v>7531</v>
      </c>
      <c r="CG971" t="s">
        <v>12243</v>
      </c>
      <c r="CR971" t="s">
        <v>1007</v>
      </c>
      <c r="CS971">
        <v>5</v>
      </c>
      <c r="CT971" t="s">
        <v>400</v>
      </c>
      <c r="CV971">
        <v>0</v>
      </c>
      <c r="CX971" t="s">
        <v>403</v>
      </c>
      <c r="CY971" t="s">
        <v>954</v>
      </c>
      <c r="DC971">
        <v>3</v>
      </c>
      <c r="DJ971" t="s">
        <v>1345</v>
      </c>
      <c r="DK971" t="s">
        <v>4205</v>
      </c>
      <c r="DM971" t="s">
        <v>669</v>
      </c>
      <c r="DX971" t="s">
        <v>392</v>
      </c>
      <c r="DY971" t="s">
        <v>2127</v>
      </c>
      <c r="DZ971" t="s">
        <v>10320</v>
      </c>
      <c r="EL971" t="s">
        <v>956</v>
      </c>
      <c r="EM971" t="s">
        <v>402</v>
      </c>
      <c r="EN971">
        <v>3</v>
      </c>
      <c r="FC971" t="s">
        <v>566</v>
      </c>
      <c r="FD971" t="s">
        <v>956</v>
      </c>
      <c r="FE971" t="s">
        <v>12243</v>
      </c>
      <c r="FI971">
        <v>2</v>
      </c>
      <c r="FJ971" t="s">
        <v>960</v>
      </c>
      <c r="FK971" t="s">
        <v>961</v>
      </c>
      <c r="FM971" t="s">
        <v>402</v>
      </c>
      <c r="FR971" t="s">
        <v>5047</v>
      </c>
      <c r="FS971" t="s">
        <v>5047</v>
      </c>
      <c r="FT971" t="s">
        <v>18262</v>
      </c>
      <c r="FU971" t="s">
        <v>18262</v>
      </c>
      <c r="FV971" t="s">
        <v>6929</v>
      </c>
      <c r="FW971" t="s">
        <v>13640</v>
      </c>
      <c r="FX971" t="s">
        <v>4210</v>
      </c>
      <c r="FZ971" t="s">
        <v>1018</v>
      </c>
      <c r="GB971" t="s">
        <v>575</v>
      </c>
      <c r="GC971" t="s">
        <v>7531</v>
      </c>
      <c r="GD971" t="s">
        <v>5877</v>
      </c>
      <c r="GE971">
        <v>4</v>
      </c>
      <c r="GR971" t="s">
        <v>575</v>
      </c>
      <c r="GT971" t="s">
        <v>7531</v>
      </c>
      <c r="GV971" t="s">
        <v>5877</v>
      </c>
      <c r="GX971" t="s">
        <v>392</v>
      </c>
      <c r="GY971" t="s">
        <v>5047</v>
      </c>
      <c r="HA971" t="s">
        <v>18263</v>
      </c>
      <c r="HC971" t="s">
        <v>6929</v>
      </c>
      <c r="HH971" t="s">
        <v>402</v>
      </c>
      <c r="HI971" t="s">
        <v>402</v>
      </c>
    </row>
    <row r="972" spans="1:275" x14ac:dyDescent="0.25">
      <c r="A972" t="s">
        <v>18284</v>
      </c>
      <c r="B972" t="str">
        <f>"801542202460"</f>
        <v>801542202460</v>
      </c>
      <c r="C972" t="s">
        <v>18285</v>
      </c>
      <c r="D972" t="s">
        <v>1224</v>
      </c>
      <c r="E972" t="s">
        <v>1077</v>
      </c>
      <c r="G972" t="str">
        <f>"54"</f>
        <v>54</v>
      </c>
      <c r="H972" t="str">
        <f>"40"</f>
        <v>40</v>
      </c>
      <c r="I972" t="str">
        <f>"17"</f>
        <v>17</v>
      </c>
      <c r="J972" t="str">
        <f>"54.89"</f>
        <v>54.89</v>
      </c>
      <c r="K972" t="s">
        <v>17120</v>
      </c>
      <c r="N972" t="s">
        <v>372</v>
      </c>
      <c r="T972" t="s">
        <v>373</v>
      </c>
      <c r="U972" t="s">
        <v>373</v>
      </c>
      <c r="V972" t="s">
        <v>18286</v>
      </c>
      <c r="W972" t="s">
        <v>18287</v>
      </c>
      <c r="X972" t="s">
        <v>18288</v>
      </c>
      <c r="Y972" t="s">
        <v>18289</v>
      </c>
      <c r="Z972" t="s">
        <v>18290</v>
      </c>
      <c r="AA972" t="s">
        <v>18291</v>
      </c>
      <c r="AB972" t="s">
        <v>18292</v>
      </c>
      <c r="AC972" t="s">
        <v>18293</v>
      </c>
      <c r="AD972" t="s">
        <v>17129</v>
      </c>
      <c r="AE972" t="s">
        <v>18294</v>
      </c>
      <c r="AF972" t="s">
        <v>18295</v>
      </c>
      <c r="AG972" t="s">
        <v>18296</v>
      </c>
      <c r="AH972" t="s">
        <v>18297</v>
      </c>
      <c r="AI972" t="s">
        <v>18298</v>
      </c>
      <c r="AJ972" t="s">
        <v>18299</v>
      </c>
      <c r="BA972" t="str">
        <f>"2299"</f>
        <v>2299</v>
      </c>
      <c r="BB972" t="str">
        <f>"970"</f>
        <v>970</v>
      </c>
      <c r="BC972" t="s">
        <v>1149</v>
      </c>
      <c r="BD972" t="str">
        <f t="shared" si="191"/>
        <v>1</v>
      </c>
      <c r="BE972" t="s">
        <v>389</v>
      </c>
      <c r="BF972" t="str">
        <f>"63.78"</f>
        <v>63.78</v>
      </c>
      <c r="BG972" t="str">
        <f>"44.09"</f>
        <v>44.09</v>
      </c>
      <c r="BH972" t="str">
        <f>"22.83"</f>
        <v>22.83</v>
      </c>
      <c r="BI972" t="str">
        <f>"130.84"</f>
        <v>130.84</v>
      </c>
      <c r="BY972" t="str">
        <f>"37.15"</f>
        <v>37.15</v>
      </c>
      <c r="BZ972" t="str">
        <f>"1.052"</f>
        <v>1.052</v>
      </c>
      <c r="CA972" t="s">
        <v>495</v>
      </c>
      <c r="CR972" t="s">
        <v>400</v>
      </c>
      <c r="CS972">
        <v>0</v>
      </c>
      <c r="CT972" t="s">
        <v>400</v>
      </c>
      <c r="CV972">
        <v>0</v>
      </c>
      <c r="CX972" t="s">
        <v>953</v>
      </c>
      <c r="CY972" t="s">
        <v>400</v>
      </c>
      <c r="DC972">
        <v>0</v>
      </c>
      <c r="DJ972" t="s">
        <v>1132</v>
      </c>
      <c r="DK972" t="s">
        <v>17138</v>
      </c>
      <c r="DM972" t="s">
        <v>473</v>
      </c>
      <c r="DX972" t="s">
        <v>18300</v>
      </c>
      <c r="DY972" t="s">
        <v>3154</v>
      </c>
      <c r="DZ972" t="s">
        <v>14909</v>
      </c>
      <c r="EI972" t="s">
        <v>4033</v>
      </c>
      <c r="EJ972" t="s">
        <v>474</v>
      </c>
      <c r="EK972" t="s">
        <v>5684</v>
      </c>
      <c r="EL972" t="s">
        <v>1040</v>
      </c>
      <c r="EM972" t="s">
        <v>402</v>
      </c>
      <c r="EN972">
        <v>0</v>
      </c>
      <c r="EO972">
        <v>0</v>
      </c>
      <c r="EX972" t="s">
        <v>18301</v>
      </c>
    </row>
    <row r="973" spans="1:275" x14ac:dyDescent="0.25">
      <c r="A973" t="s">
        <v>18302</v>
      </c>
      <c r="B973" t="str">
        <f>"801542202729"</f>
        <v>801542202729</v>
      </c>
      <c r="C973" t="s">
        <v>18303</v>
      </c>
      <c r="D973" t="s">
        <v>1224</v>
      </c>
      <c r="E973" t="s">
        <v>459</v>
      </c>
      <c r="G973" t="str">
        <f>"25"</f>
        <v>25</v>
      </c>
      <c r="H973" t="str">
        <f>"20"</f>
        <v>20</v>
      </c>
      <c r="I973" t="str">
        <f>"23"</f>
        <v>23</v>
      </c>
      <c r="J973" t="str">
        <f>"26.46"</f>
        <v>26.46</v>
      </c>
      <c r="K973" t="s">
        <v>17120</v>
      </c>
      <c r="N973" t="s">
        <v>372</v>
      </c>
      <c r="T973" t="s">
        <v>373</v>
      </c>
      <c r="U973" t="s">
        <v>373</v>
      </c>
      <c r="V973" t="s">
        <v>18304</v>
      </c>
      <c r="W973" t="s">
        <v>18305</v>
      </c>
      <c r="X973" t="s">
        <v>18306</v>
      </c>
      <c r="Y973" t="s">
        <v>18307</v>
      </c>
      <c r="Z973" t="s">
        <v>18308</v>
      </c>
      <c r="AA973" t="s">
        <v>18309</v>
      </c>
      <c r="AB973" t="s">
        <v>18310</v>
      </c>
      <c r="AC973" t="s">
        <v>18311</v>
      </c>
      <c r="AD973" t="s">
        <v>17129</v>
      </c>
      <c r="AE973" t="s">
        <v>18312</v>
      </c>
      <c r="AF973" t="s">
        <v>18313</v>
      </c>
      <c r="AG973" t="s">
        <v>18314</v>
      </c>
      <c r="AH973" t="s">
        <v>18315</v>
      </c>
      <c r="AI973" t="s">
        <v>18316</v>
      </c>
      <c r="AJ973" t="s">
        <v>18317</v>
      </c>
      <c r="AK973" t="s">
        <v>18318</v>
      </c>
      <c r="AL973" t="s">
        <v>18319</v>
      </c>
      <c r="BA973" t="str">
        <f>"1199"</f>
        <v>1199</v>
      </c>
      <c r="BB973" t="str">
        <f>"505"</f>
        <v>505</v>
      </c>
      <c r="BC973" t="s">
        <v>1149</v>
      </c>
      <c r="BD973" t="str">
        <f t="shared" si="191"/>
        <v>1</v>
      </c>
      <c r="BE973" t="s">
        <v>389</v>
      </c>
      <c r="BF973" t="str">
        <f>"30.71"</f>
        <v>30.71</v>
      </c>
      <c r="BG973" t="str">
        <f>"25.2"</f>
        <v>25.2</v>
      </c>
      <c r="BH973" t="str">
        <f>"29.13"</f>
        <v>29.13</v>
      </c>
      <c r="BI973" t="str">
        <f>"47.62"</f>
        <v>47.62</v>
      </c>
      <c r="BY973" t="str">
        <f>"13.03"</f>
        <v>13.03</v>
      </c>
      <c r="BZ973" t="str">
        <f>"0.369"</f>
        <v>0.369</v>
      </c>
      <c r="CA973" t="s">
        <v>495</v>
      </c>
      <c r="CR973" t="s">
        <v>400</v>
      </c>
      <c r="CS973">
        <v>0</v>
      </c>
      <c r="CT973" t="s">
        <v>400</v>
      </c>
      <c r="CV973">
        <v>0</v>
      </c>
      <c r="CX973" t="s">
        <v>953</v>
      </c>
      <c r="CY973" t="s">
        <v>400</v>
      </c>
      <c r="DC973">
        <v>0</v>
      </c>
      <c r="DJ973" t="s">
        <v>1132</v>
      </c>
      <c r="DK973" t="s">
        <v>17138</v>
      </c>
      <c r="DM973" t="s">
        <v>473</v>
      </c>
      <c r="DX973" t="s">
        <v>18300</v>
      </c>
      <c r="DY973" t="s">
        <v>10051</v>
      </c>
      <c r="DZ973" t="s">
        <v>396</v>
      </c>
      <c r="EI973" t="s">
        <v>18320</v>
      </c>
      <c r="EJ973" t="s">
        <v>601</v>
      </c>
      <c r="EK973" t="s">
        <v>1151</v>
      </c>
      <c r="EL973" t="s">
        <v>1040</v>
      </c>
      <c r="EM973" t="s">
        <v>402</v>
      </c>
      <c r="EN973">
        <v>0</v>
      </c>
      <c r="EO973">
        <v>0</v>
      </c>
      <c r="EX973" t="s">
        <v>5685</v>
      </c>
    </row>
    <row r="974" spans="1:275" x14ac:dyDescent="0.25">
      <c r="A974" t="s">
        <v>18321</v>
      </c>
      <c r="B974" t="str">
        <f>"198394000949"</f>
        <v>198394000949</v>
      </c>
      <c r="C974" t="s">
        <v>14695</v>
      </c>
      <c r="D974" t="s">
        <v>1224</v>
      </c>
      <c r="E974" t="s">
        <v>4074</v>
      </c>
      <c r="G974" t="str">
        <f>"70"</f>
        <v>70</v>
      </c>
      <c r="H974" t="str">
        <f>"18"</f>
        <v>18</v>
      </c>
      <c r="I974" t="str">
        <f>"30"</f>
        <v>30</v>
      </c>
      <c r="J974" t="str">
        <f>"101.41"</f>
        <v>101.41</v>
      </c>
      <c r="K974" t="s">
        <v>14612</v>
      </c>
      <c r="N974" t="s">
        <v>14614</v>
      </c>
      <c r="T974" t="s">
        <v>373</v>
      </c>
      <c r="U974" t="s">
        <v>373</v>
      </c>
      <c r="V974" t="s">
        <v>18322</v>
      </c>
      <c r="W974" t="s">
        <v>18323</v>
      </c>
      <c r="X974" t="s">
        <v>18324</v>
      </c>
      <c r="Y974" t="s">
        <v>18325</v>
      </c>
      <c r="Z974" t="s">
        <v>18326</v>
      </c>
      <c r="AA974" t="s">
        <v>18327</v>
      </c>
      <c r="AB974" t="s">
        <v>18328</v>
      </c>
      <c r="AC974" t="s">
        <v>18329</v>
      </c>
      <c r="AD974" t="s">
        <v>18330</v>
      </c>
      <c r="AE974" t="s">
        <v>18331</v>
      </c>
      <c r="AF974" t="s">
        <v>18332</v>
      </c>
      <c r="AG974" t="s">
        <v>18333</v>
      </c>
      <c r="BA974" t="str">
        <f>"2499"</f>
        <v>2499</v>
      </c>
      <c r="BB974" t="str">
        <f>"1050"</f>
        <v>1050</v>
      </c>
      <c r="BC974" t="s">
        <v>1149</v>
      </c>
      <c r="BD974" t="str">
        <f>"2"</f>
        <v>2</v>
      </c>
      <c r="BE974" t="s">
        <v>1089</v>
      </c>
      <c r="BF974" t="str">
        <f>"76.38"</f>
        <v>76.38</v>
      </c>
      <c r="BG974" t="str">
        <f>"7.87"</f>
        <v>7.87</v>
      </c>
      <c r="BH974" t="str">
        <f>"25.2"</f>
        <v>25.2</v>
      </c>
      <c r="BI974" t="str">
        <f>"67.57"</f>
        <v>67.57</v>
      </c>
      <c r="BJ974" t="s">
        <v>18334</v>
      </c>
      <c r="BK974" t="str">
        <f>"37.8"</f>
        <v>37.8</v>
      </c>
      <c r="BL974" t="str">
        <f>"20.87"</f>
        <v>20.87</v>
      </c>
      <c r="BM974" t="str">
        <f>"34.65"</f>
        <v>34.65</v>
      </c>
      <c r="BN974" t="str">
        <f>"84.99"</f>
        <v>84.99</v>
      </c>
      <c r="BY974" t="str">
        <f>"24.58"</f>
        <v>24.58</v>
      </c>
      <c r="BZ974" t="str">
        <f>"0.696"</f>
        <v>0.696</v>
      </c>
      <c r="CA974" t="s">
        <v>495</v>
      </c>
      <c r="CR974" t="s">
        <v>400</v>
      </c>
      <c r="CS974">
        <v>0</v>
      </c>
      <c r="CT974" t="s">
        <v>400</v>
      </c>
      <c r="CV974">
        <v>0</v>
      </c>
      <c r="CX974" t="s">
        <v>953</v>
      </c>
      <c r="CY974" t="s">
        <v>400</v>
      </c>
      <c r="DC974">
        <v>0</v>
      </c>
      <c r="DJ974" t="s">
        <v>408</v>
      </c>
      <c r="DK974" t="s">
        <v>14715</v>
      </c>
      <c r="DM974" t="s">
        <v>473</v>
      </c>
      <c r="DX974" t="s">
        <v>609</v>
      </c>
      <c r="DZ974" t="s">
        <v>791</v>
      </c>
      <c r="EI974" t="s">
        <v>1039</v>
      </c>
      <c r="EJ974" t="s">
        <v>609</v>
      </c>
      <c r="EK974" t="s">
        <v>1039</v>
      </c>
      <c r="EL974" t="s">
        <v>827</v>
      </c>
      <c r="EM974" t="s">
        <v>402</v>
      </c>
      <c r="EN974">
        <v>0</v>
      </c>
      <c r="EO974">
        <v>0</v>
      </c>
      <c r="EX974" t="s">
        <v>2240</v>
      </c>
      <c r="FI974">
        <v>0</v>
      </c>
      <c r="FJ974" t="s">
        <v>1012</v>
      </c>
    </row>
    <row r="975" spans="1:275" x14ac:dyDescent="0.25">
      <c r="A975" t="s">
        <v>18335</v>
      </c>
      <c r="B975" t="str">
        <f>"801542812584"</f>
        <v>801542812584</v>
      </c>
      <c r="C975" t="s">
        <v>18336</v>
      </c>
      <c r="D975" t="s">
        <v>722</v>
      </c>
      <c r="E975" t="s">
        <v>3813</v>
      </c>
      <c r="G975" t="str">
        <f>"48"</f>
        <v>48</v>
      </c>
      <c r="H975" t="str">
        <f>"18"</f>
        <v>18</v>
      </c>
      <c r="I975" t="str">
        <f>"91"</f>
        <v>91</v>
      </c>
      <c r="J975" t="str">
        <f>"229.28"</f>
        <v>229.28</v>
      </c>
      <c r="K975" t="s">
        <v>752</v>
      </c>
      <c r="L975" t="s">
        <v>9067</v>
      </c>
      <c r="M975" t="s">
        <v>9068</v>
      </c>
      <c r="N975" t="s">
        <v>372</v>
      </c>
      <c r="O975" t="s">
        <v>1970</v>
      </c>
      <c r="T975" t="s">
        <v>373</v>
      </c>
      <c r="U975" t="s">
        <v>373</v>
      </c>
      <c r="V975" t="s">
        <v>18337</v>
      </c>
      <c r="W975" t="s">
        <v>18338</v>
      </c>
      <c r="X975" t="s">
        <v>18339</v>
      </c>
      <c r="Y975" t="s">
        <v>18340</v>
      </c>
      <c r="Z975" t="s">
        <v>18341</v>
      </c>
      <c r="AA975" t="s">
        <v>18342</v>
      </c>
      <c r="AB975" t="s">
        <v>18343</v>
      </c>
      <c r="AC975" t="s">
        <v>18344</v>
      </c>
      <c r="AD975" t="s">
        <v>18345</v>
      </c>
      <c r="AE975" t="s">
        <v>18346</v>
      </c>
      <c r="AF975" t="s">
        <v>18347</v>
      </c>
      <c r="AG975" t="s">
        <v>18348</v>
      </c>
      <c r="AH975" t="s">
        <v>18349</v>
      </c>
      <c r="AI975" t="s">
        <v>18350</v>
      </c>
      <c r="AJ975" t="s">
        <v>18351</v>
      </c>
      <c r="AK975" t="s">
        <v>17708</v>
      </c>
      <c r="AL975" t="s">
        <v>18352</v>
      </c>
      <c r="BA975" t="str">
        <f>"3699"</f>
        <v>3699</v>
      </c>
      <c r="BB975" t="str">
        <f>"1555"</f>
        <v>1555</v>
      </c>
      <c r="BC975" t="s">
        <v>388</v>
      </c>
      <c r="BD975" t="str">
        <f t="shared" ref="BD975:BD993" si="192">"1"</f>
        <v>1</v>
      </c>
      <c r="BE975" t="s">
        <v>389</v>
      </c>
      <c r="BF975" t="str">
        <f>"51.97"</f>
        <v>51.97</v>
      </c>
      <c r="BG975" t="str">
        <f>"21.85"</f>
        <v>21.85</v>
      </c>
      <c r="BH975" t="str">
        <f>"97.05"</f>
        <v>97.05</v>
      </c>
      <c r="BI975" t="str">
        <f>"275.58"</f>
        <v>275.58</v>
      </c>
      <c r="BY975" t="str">
        <f>"63.78"</f>
        <v>63.78</v>
      </c>
      <c r="BZ975" t="str">
        <f>"1.806"</f>
        <v>1.806</v>
      </c>
      <c r="CA975" t="s">
        <v>431</v>
      </c>
      <c r="CB975" t="s">
        <v>981</v>
      </c>
      <c r="CC975" t="s">
        <v>6662</v>
      </c>
      <c r="CD975" t="s">
        <v>3514</v>
      </c>
      <c r="CE975" t="s">
        <v>2261</v>
      </c>
      <c r="CF975" t="s">
        <v>432</v>
      </c>
      <c r="CG975" t="s">
        <v>3514</v>
      </c>
      <c r="CR975" t="s">
        <v>1007</v>
      </c>
      <c r="CS975">
        <v>2</v>
      </c>
      <c r="CT975" t="s">
        <v>400</v>
      </c>
      <c r="CV975">
        <v>2</v>
      </c>
      <c r="CW975" t="s">
        <v>402</v>
      </c>
      <c r="CX975" t="s">
        <v>403</v>
      </c>
      <c r="CY975" t="s">
        <v>954</v>
      </c>
      <c r="DA975">
        <v>18.14</v>
      </c>
      <c r="DB975">
        <v>40</v>
      </c>
      <c r="DC975">
        <v>2</v>
      </c>
      <c r="DJ975" t="s">
        <v>982</v>
      </c>
      <c r="DK975" t="s">
        <v>7622</v>
      </c>
      <c r="DX975" t="s">
        <v>1094</v>
      </c>
      <c r="EM975" t="s">
        <v>402</v>
      </c>
      <c r="EN975">
        <v>2</v>
      </c>
      <c r="FC975" t="s">
        <v>981</v>
      </c>
      <c r="FD975" t="s">
        <v>6662</v>
      </c>
      <c r="FE975" t="s">
        <v>3514</v>
      </c>
      <c r="FI975">
        <v>0</v>
      </c>
      <c r="FJ975" t="s">
        <v>1012</v>
      </c>
      <c r="FM975" t="s">
        <v>402</v>
      </c>
      <c r="FP975" t="s">
        <v>402</v>
      </c>
      <c r="FR975" t="s">
        <v>2240</v>
      </c>
      <c r="FT975" t="s">
        <v>797</v>
      </c>
      <c r="FV975" t="s">
        <v>18353</v>
      </c>
      <c r="FX975" t="s">
        <v>1017</v>
      </c>
      <c r="FZ975" t="s">
        <v>1018</v>
      </c>
      <c r="GB975" t="s">
        <v>981</v>
      </c>
      <c r="GC975" t="s">
        <v>609</v>
      </c>
      <c r="GD975" t="s">
        <v>3514</v>
      </c>
      <c r="GX975" t="s">
        <v>475</v>
      </c>
      <c r="HI975" t="s">
        <v>402</v>
      </c>
      <c r="JM975" t="s">
        <v>2261</v>
      </c>
      <c r="JN975" t="s">
        <v>6662</v>
      </c>
      <c r="JO975" t="s">
        <v>3514</v>
      </c>
    </row>
    <row r="976" spans="1:275" x14ac:dyDescent="0.25">
      <c r="A976" t="s">
        <v>18354</v>
      </c>
      <c r="B976" t="str">
        <f>"801542812751"</f>
        <v>801542812751</v>
      </c>
      <c r="C976" t="s">
        <v>18355</v>
      </c>
      <c r="D976" t="s">
        <v>722</v>
      </c>
      <c r="E976" t="s">
        <v>3813</v>
      </c>
      <c r="G976" t="str">
        <f>"48"</f>
        <v>48</v>
      </c>
      <c r="H976" t="str">
        <f>"18"</f>
        <v>18</v>
      </c>
      <c r="I976" t="str">
        <f>"91"</f>
        <v>91</v>
      </c>
      <c r="J976" t="str">
        <f>"229.28"</f>
        <v>229.28</v>
      </c>
      <c r="K976" t="s">
        <v>724</v>
      </c>
      <c r="L976" t="s">
        <v>9067</v>
      </c>
      <c r="N976" t="s">
        <v>372</v>
      </c>
      <c r="O976" t="s">
        <v>1970</v>
      </c>
      <c r="T976" t="s">
        <v>373</v>
      </c>
      <c r="U976" t="s">
        <v>373</v>
      </c>
      <c r="V976" t="s">
        <v>18356</v>
      </c>
      <c r="W976" t="s">
        <v>18357</v>
      </c>
      <c r="X976" t="s">
        <v>18358</v>
      </c>
      <c r="Y976" t="s">
        <v>18359</v>
      </c>
      <c r="Z976" t="s">
        <v>18360</v>
      </c>
      <c r="AA976" t="s">
        <v>18361</v>
      </c>
      <c r="AB976" t="s">
        <v>18362</v>
      </c>
      <c r="AC976" t="s">
        <v>18363</v>
      </c>
      <c r="AD976" t="s">
        <v>18364</v>
      </c>
      <c r="AE976" t="s">
        <v>18365</v>
      </c>
      <c r="AF976" t="s">
        <v>18366</v>
      </c>
      <c r="AG976" t="s">
        <v>18367</v>
      </c>
      <c r="AH976" t="s">
        <v>18368</v>
      </c>
      <c r="AI976" t="s">
        <v>18369</v>
      </c>
      <c r="AJ976" t="s">
        <v>18370</v>
      </c>
      <c r="AK976" t="s">
        <v>18371</v>
      </c>
      <c r="BA976" t="str">
        <f>"3699"</f>
        <v>3699</v>
      </c>
      <c r="BB976" t="str">
        <f>"1555"</f>
        <v>1555</v>
      </c>
      <c r="BC976" t="s">
        <v>388</v>
      </c>
      <c r="BD976" t="str">
        <f t="shared" si="192"/>
        <v>1</v>
      </c>
      <c r="BE976" t="s">
        <v>389</v>
      </c>
      <c r="BF976" t="str">
        <f>"51.97"</f>
        <v>51.97</v>
      </c>
      <c r="BG976" t="str">
        <f>"21.85"</f>
        <v>21.85</v>
      </c>
      <c r="BH976" t="str">
        <f>"97.05"</f>
        <v>97.05</v>
      </c>
      <c r="BI976" t="str">
        <f>"275.58"</f>
        <v>275.58</v>
      </c>
      <c r="BY976" t="str">
        <f>"63.78"</f>
        <v>63.78</v>
      </c>
      <c r="BZ976" t="str">
        <f>"1.806"</f>
        <v>1.806</v>
      </c>
      <c r="CA976" t="s">
        <v>495</v>
      </c>
      <c r="CB976" t="s">
        <v>981</v>
      </c>
      <c r="CC976" t="s">
        <v>6662</v>
      </c>
      <c r="CD976" t="s">
        <v>3514</v>
      </c>
      <c r="CE976" t="s">
        <v>2261</v>
      </c>
      <c r="CF976" t="s">
        <v>432</v>
      </c>
      <c r="CG976" t="s">
        <v>3514</v>
      </c>
      <c r="CR976" t="s">
        <v>1007</v>
      </c>
      <c r="CS976">
        <v>2</v>
      </c>
      <c r="CT976" t="s">
        <v>400</v>
      </c>
      <c r="CV976">
        <v>2</v>
      </c>
      <c r="CW976" t="s">
        <v>402</v>
      </c>
      <c r="CX976" t="s">
        <v>403</v>
      </c>
      <c r="CY976" t="s">
        <v>954</v>
      </c>
      <c r="DA976">
        <v>18.14</v>
      </c>
      <c r="DB976">
        <v>40</v>
      </c>
      <c r="DC976">
        <v>2</v>
      </c>
      <c r="DJ976" t="s">
        <v>982</v>
      </c>
      <c r="DK976" t="s">
        <v>7622</v>
      </c>
      <c r="DX976" t="s">
        <v>1094</v>
      </c>
      <c r="EM976" t="s">
        <v>402</v>
      </c>
      <c r="EN976">
        <v>2</v>
      </c>
      <c r="FC976" t="s">
        <v>981</v>
      </c>
      <c r="FD976" t="s">
        <v>6662</v>
      </c>
      <c r="FE976" t="s">
        <v>3514</v>
      </c>
      <c r="FI976">
        <v>0</v>
      </c>
      <c r="FJ976" t="s">
        <v>1012</v>
      </c>
      <c r="FM976" t="s">
        <v>402</v>
      </c>
      <c r="FP976" t="s">
        <v>402</v>
      </c>
      <c r="FR976" t="s">
        <v>2240</v>
      </c>
      <c r="FT976" t="s">
        <v>797</v>
      </c>
      <c r="FV976" t="s">
        <v>18353</v>
      </c>
      <c r="FX976" t="s">
        <v>1017</v>
      </c>
      <c r="FZ976" t="s">
        <v>1018</v>
      </c>
      <c r="GB976" t="s">
        <v>981</v>
      </c>
      <c r="GC976" t="s">
        <v>609</v>
      </c>
      <c r="GD976" t="s">
        <v>3514</v>
      </c>
      <c r="GX976" t="s">
        <v>475</v>
      </c>
      <c r="HI976" t="s">
        <v>402</v>
      </c>
      <c r="JM976" t="s">
        <v>2261</v>
      </c>
      <c r="JN976" t="s">
        <v>6662</v>
      </c>
      <c r="JO976" t="s">
        <v>3514</v>
      </c>
    </row>
    <row r="977" spans="1:303" x14ac:dyDescent="0.25">
      <c r="A977" t="s">
        <v>18372</v>
      </c>
      <c r="B977" t="str">
        <f>"801542992361"</f>
        <v>801542992361</v>
      </c>
      <c r="C977" t="s">
        <v>18373</v>
      </c>
      <c r="D977" t="s">
        <v>9040</v>
      </c>
      <c r="E977" t="s">
        <v>988</v>
      </c>
      <c r="G977" t="str">
        <f>"31.75"</f>
        <v>31.75</v>
      </c>
      <c r="H977" t="str">
        <f>"18.5"</f>
        <v>18.5</v>
      </c>
      <c r="I977" t="str">
        <f>"41.5"</f>
        <v>41.5</v>
      </c>
      <c r="J977" t="str">
        <f>"158.73"</f>
        <v>158.73</v>
      </c>
      <c r="K977" t="s">
        <v>9041</v>
      </c>
      <c r="N977" t="s">
        <v>9042</v>
      </c>
      <c r="O977" t="s">
        <v>9043</v>
      </c>
      <c r="T977" t="s">
        <v>373</v>
      </c>
      <c r="U977" t="s">
        <v>373</v>
      </c>
      <c r="V977" t="s">
        <v>18374</v>
      </c>
      <c r="W977" t="s">
        <v>18375</v>
      </c>
      <c r="X977" t="s">
        <v>18376</v>
      </c>
      <c r="Y977" t="s">
        <v>18377</v>
      </c>
      <c r="Z977" t="s">
        <v>18378</v>
      </c>
      <c r="AA977" t="s">
        <v>18379</v>
      </c>
      <c r="AB977" t="s">
        <v>18380</v>
      </c>
      <c r="AC977" t="s">
        <v>18381</v>
      </c>
      <c r="AD977" t="s">
        <v>18382</v>
      </c>
      <c r="AE977" t="s">
        <v>18383</v>
      </c>
      <c r="AF977" t="s">
        <v>18384</v>
      </c>
      <c r="AG977" t="s">
        <v>18385</v>
      </c>
      <c r="AH977" t="s">
        <v>18386</v>
      </c>
      <c r="BA977" t="str">
        <f>"1399"</f>
        <v>1399</v>
      </c>
      <c r="BB977" t="str">
        <f>"590"</f>
        <v>590</v>
      </c>
      <c r="BC977" t="s">
        <v>665</v>
      </c>
      <c r="BD977" t="str">
        <f t="shared" si="192"/>
        <v>1</v>
      </c>
      <c r="BE977" t="s">
        <v>389</v>
      </c>
      <c r="BF977" t="str">
        <f>"35.04"</f>
        <v>35.04</v>
      </c>
      <c r="BG977" t="str">
        <f>"21.85"</f>
        <v>21.85</v>
      </c>
      <c r="BH977" t="str">
        <f>"38.78"</f>
        <v>38.78</v>
      </c>
      <c r="BI977" t="str">
        <f>"178.57"</f>
        <v>178.57</v>
      </c>
      <c r="BY977" t="str">
        <f>"17.2"</f>
        <v>17.2</v>
      </c>
      <c r="BZ977" t="str">
        <f>"0.487"</f>
        <v>0.487</v>
      </c>
      <c r="CA977" t="s">
        <v>390</v>
      </c>
      <c r="CR977" t="s">
        <v>1007</v>
      </c>
      <c r="CS977">
        <v>5</v>
      </c>
      <c r="CT977" t="s">
        <v>400</v>
      </c>
      <c r="CV977">
        <v>0</v>
      </c>
      <c r="CX977" t="s">
        <v>1241</v>
      </c>
      <c r="CY977" t="s">
        <v>1009</v>
      </c>
      <c r="DC977">
        <v>0</v>
      </c>
      <c r="DJ977" t="s">
        <v>4145</v>
      </c>
      <c r="DK977" t="s">
        <v>9062</v>
      </c>
      <c r="DM977" t="s">
        <v>473</v>
      </c>
      <c r="DX977" t="s">
        <v>11244</v>
      </c>
      <c r="EM977" t="s">
        <v>402</v>
      </c>
      <c r="EN977">
        <v>0</v>
      </c>
      <c r="FI977">
        <v>0</v>
      </c>
      <c r="FJ977" t="s">
        <v>1012</v>
      </c>
      <c r="FR977" t="s">
        <v>748</v>
      </c>
      <c r="FT977" t="s">
        <v>13446</v>
      </c>
      <c r="FV977" t="s">
        <v>9904</v>
      </c>
      <c r="FX977" t="s">
        <v>1017</v>
      </c>
      <c r="FZ977" t="s">
        <v>1018</v>
      </c>
    </row>
    <row r="978" spans="1:303" x14ac:dyDescent="0.25">
      <c r="A978" t="s">
        <v>18387</v>
      </c>
      <c r="B978" t="str">
        <f>"198394059855"</f>
        <v>198394059855</v>
      </c>
      <c r="C978" t="s">
        <v>18388</v>
      </c>
      <c r="D978" t="s">
        <v>769</v>
      </c>
      <c r="E978" t="s">
        <v>515</v>
      </c>
      <c r="F978" t="s">
        <v>516</v>
      </c>
      <c r="G978" t="str">
        <f>"33.75"</f>
        <v>33.75</v>
      </c>
      <c r="H978" t="str">
        <f>"38.5"</f>
        <v>38.5</v>
      </c>
      <c r="I978" t="str">
        <f>"36.5"</f>
        <v>36.5</v>
      </c>
      <c r="J978" t="str">
        <f>"68.34"</f>
        <v>68.34</v>
      </c>
      <c r="K978" t="s">
        <v>18389</v>
      </c>
      <c r="N978" t="s">
        <v>14679</v>
      </c>
      <c r="T978" t="s">
        <v>373</v>
      </c>
      <c r="U978" t="s">
        <v>373</v>
      </c>
      <c r="V978" t="s">
        <v>18390</v>
      </c>
      <c r="W978" t="s">
        <v>18391</v>
      </c>
      <c r="X978" t="s">
        <v>18392</v>
      </c>
      <c r="Y978" t="s">
        <v>18393</v>
      </c>
      <c r="Z978" t="s">
        <v>18394</v>
      </c>
      <c r="AA978" t="s">
        <v>18395</v>
      </c>
      <c r="AB978" t="s">
        <v>18396</v>
      </c>
      <c r="AC978" t="s">
        <v>18397</v>
      </c>
      <c r="AD978" t="s">
        <v>18398</v>
      </c>
      <c r="AE978" t="s">
        <v>18399</v>
      </c>
      <c r="AF978" t="s">
        <v>18400</v>
      </c>
      <c r="AG978" t="s">
        <v>18401</v>
      </c>
      <c r="AH978" t="s">
        <v>18402</v>
      </c>
      <c r="AI978" t="s">
        <v>18403</v>
      </c>
      <c r="AJ978" t="s">
        <v>18404</v>
      </c>
      <c r="BA978" t="str">
        <f>"3099"</f>
        <v>3099</v>
      </c>
      <c r="BB978" t="str">
        <f>"1305"</f>
        <v>1305</v>
      </c>
      <c r="BC978" t="s">
        <v>388</v>
      </c>
      <c r="BD978" t="str">
        <f t="shared" si="192"/>
        <v>1</v>
      </c>
      <c r="BE978" t="s">
        <v>1662</v>
      </c>
      <c r="BF978" t="str">
        <f>"33.86"</f>
        <v>33.86</v>
      </c>
      <c r="BG978" t="str">
        <f>"37.8"</f>
        <v>37.8</v>
      </c>
      <c r="BH978" t="str">
        <f>"37.8"</f>
        <v>37.8</v>
      </c>
      <c r="BI978" t="str">
        <f>"85.98"</f>
        <v>85.98</v>
      </c>
      <c r="BY978" t="str">
        <f>"23.31"</f>
        <v>23.31</v>
      </c>
      <c r="BZ978" t="str">
        <f>"0.66"</f>
        <v>0.66</v>
      </c>
      <c r="CA978" t="s">
        <v>495</v>
      </c>
      <c r="CK978" t="s">
        <v>1510</v>
      </c>
      <c r="CL978" t="s">
        <v>449</v>
      </c>
      <c r="CN978">
        <v>0</v>
      </c>
      <c r="CO978">
        <v>0</v>
      </c>
      <c r="CP978" t="s">
        <v>437</v>
      </c>
      <c r="CQ978" t="s">
        <v>438</v>
      </c>
      <c r="CU978" t="s">
        <v>641</v>
      </c>
      <c r="CX978" t="s">
        <v>403</v>
      </c>
      <c r="CY978" t="s">
        <v>400</v>
      </c>
      <c r="CZ978">
        <v>0</v>
      </c>
      <c r="DD978">
        <v>0</v>
      </c>
      <c r="DE978" t="s">
        <v>439</v>
      </c>
      <c r="DF978" t="s">
        <v>406</v>
      </c>
      <c r="DG978" t="s">
        <v>407</v>
      </c>
      <c r="DH978">
        <v>1</v>
      </c>
      <c r="DI978">
        <v>1</v>
      </c>
      <c r="DK978" t="s">
        <v>18405</v>
      </c>
      <c r="DL978">
        <v>0</v>
      </c>
      <c r="DM978" t="s">
        <v>538</v>
      </c>
      <c r="DN978" t="s">
        <v>600</v>
      </c>
      <c r="DO978" t="s">
        <v>450</v>
      </c>
      <c r="DP978" t="s">
        <v>2083</v>
      </c>
      <c r="DT978" t="s">
        <v>450</v>
      </c>
      <c r="DX978" t="s">
        <v>1040</v>
      </c>
      <c r="DY978" t="s">
        <v>474</v>
      </c>
      <c r="DZ978" t="s">
        <v>1557</v>
      </c>
      <c r="EA978" t="s">
        <v>396</v>
      </c>
      <c r="EG978" t="s">
        <v>641</v>
      </c>
      <c r="EP978" t="s">
        <v>449</v>
      </c>
      <c r="EQ978" t="s">
        <v>601</v>
      </c>
      <c r="ER978">
        <v>0</v>
      </c>
      <c r="ES978">
        <v>0</v>
      </c>
      <c r="EU978">
        <v>0</v>
      </c>
      <c r="HM978" t="s">
        <v>17002</v>
      </c>
    </row>
    <row r="979" spans="1:303" x14ac:dyDescent="0.25">
      <c r="A979" t="s">
        <v>18406</v>
      </c>
      <c r="B979" t="str">
        <f>"198394021920"</f>
        <v>198394021920</v>
      </c>
      <c r="C979" t="s">
        <v>18407</v>
      </c>
      <c r="D979" t="s">
        <v>835</v>
      </c>
      <c r="E979" t="s">
        <v>367</v>
      </c>
      <c r="F979" t="s">
        <v>368</v>
      </c>
      <c r="G979" t="str">
        <f>"70.5"</f>
        <v>70.5</v>
      </c>
      <c r="H979" t="str">
        <f>"20.5"</f>
        <v>20.5</v>
      </c>
      <c r="I979" t="str">
        <f>"19"</f>
        <v>19</v>
      </c>
      <c r="J979" t="str">
        <f>"83.77"</f>
        <v>83.77</v>
      </c>
      <c r="K979" t="s">
        <v>18408</v>
      </c>
      <c r="L979" t="s">
        <v>18409</v>
      </c>
      <c r="M979" t="s">
        <v>18410</v>
      </c>
      <c r="N979" t="s">
        <v>371</v>
      </c>
      <c r="O979" t="s">
        <v>555</v>
      </c>
      <c r="T979" t="s">
        <v>373</v>
      </c>
      <c r="U979" t="s">
        <v>373</v>
      </c>
      <c r="V979" t="s">
        <v>18411</v>
      </c>
      <c r="W979" t="s">
        <v>18412</v>
      </c>
      <c r="X979" t="s">
        <v>18413</v>
      </c>
      <c r="Y979" t="s">
        <v>18414</v>
      </c>
      <c r="Z979" t="s">
        <v>18415</v>
      </c>
      <c r="AA979" t="s">
        <v>18416</v>
      </c>
      <c r="AB979" t="s">
        <v>18417</v>
      </c>
      <c r="AC979" t="s">
        <v>18418</v>
      </c>
      <c r="AD979" t="s">
        <v>18419</v>
      </c>
      <c r="AE979" t="s">
        <v>18420</v>
      </c>
      <c r="AF979" t="s">
        <v>18421</v>
      </c>
      <c r="AG979" t="s">
        <v>18422</v>
      </c>
      <c r="BA979" t="str">
        <f>"1149"</f>
        <v>1149</v>
      </c>
      <c r="BB979" t="str">
        <f>"485"</f>
        <v>485</v>
      </c>
      <c r="BC979" t="s">
        <v>388</v>
      </c>
      <c r="BD979" t="str">
        <f t="shared" si="192"/>
        <v>1</v>
      </c>
      <c r="BE979" t="s">
        <v>389</v>
      </c>
      <c r="BF979" t="str">
        <f>"74.41"</f>
        <v>74.41</v>
      </c>
      <c r="BG979" t="str">
        <f>"23.62"</f>
        <v>23.62</v>
      </c>
      <c r="BH979" t="str">
        <f>"22.64"</f>
        <v>22.64</v>
      </c>
      <c r="BI979" t="str">
        <f>"105.82"</f>
        <v>105.82</v>
      </c>
      <c r="BY979" t="str">
        <f>"23.03"</f>
        <v>23.03</v>
      </c>
      <c r="BZ979" t="str">
        <f>"0.652"</f>
        <v>0.652</v>
      </c>
      <c r="CA979" t="s">
        <v>431</v>
      </c>
      <c r="CK979" t="s">
        <v>602</v>
      </c>
      <c r="CL979" t="s">
        <v>791</v>
      </c>
      <c r="CM979" t="s">
        <v>823</v>
      </c>
      <c r="CN979">
        <v>0</v>
      </c>
      <c r="CO979">
        <v>0</v>
      </c>
      <c r="CP979" t="s">
        <v>398</v>
      </c>
      <c r="CQ979" t="s">
        <v>1152</v>
      </c>
      <c r="CR979" t="s">
        <v>400</v>
      </c>
      <c r="CS979">
        <v>0</v>
      </c>
      <c r="CT979" t="s">
        <v>400</v>
      </c>
      <c r="CU979" t="s">
        <v>749</v>
      </c>
      <c r="CV979">
        <v>0</v>
      </c>
      <c r="CY979" t="s">
        <v>400</v>
      </c>
      <c r="CZ979">
        <v>0</v>
      </c>
      <c r="DA979">
        <v>0</v>
      </c>
      <c r="DB979">
        <v>0</v>
      </c>
      <c r="DC979">
        <v>0</v>
      </c>
      <c r="DD979">
        <v>50000</v>
      </c>
      <c r="DE979" t="s">
        <v>405</v>
      </c>
      <c r="DF979" t="s">
        <v>632</v>
      </c>
      <c r="DH979">
        <v>1</v>
      </c>
      <c r="DI979">
        <v>3</v>
      </c>
      <c r="DJ979" t="s">
        <v>408</v>
      </c>
      <c r="DK979" t="s">
        <v>18423</v>
      </c>
      <c r="DL979">
        <v>0</v>
      </c>
      <c r="DM979" t="s">
        <v>410</v>
      </c>
      <c r="DX979" t="s">
        <v>799</v>
      </c>
      <c r="DY979" t="s">
        <v>396</v>
      </c>
      <c r="DZ979" t="s">
        <v>18424</v>
      </c>
      <c r="EM979" t="s">
        <v>402</v>
      </c>
    </row>
    <row r="980" spans="1:303" x14ac:dyDescent="0.25">
      <c r="A980" t="s">
        <v>18425</v>
      </c>
      <c r="B980" t="str">
        <f>"198394001175"</f>
        <v>198394001175</v>
      </c>
      <c r="C980" t="s">
        <v>18426</v>
      </c>
      <c r="D980" t="s">
        <v>1224</v>
      </c>
      <c r="E980" t="s">
        <v>4074</v>
      </c>
      <c r="G980" t="str">
        <f>"78"</f>
        <v>78</v>
      </c>
      <c r="H980" t="str">
        <f>"17.75"</f>
        <v>17.75</v>
      </c>
      <c r="I980" t="str">
        <f>"31.5"</f>
        <v>31.5</v>
      </c>
      <c r="J980" t="str">
        <f>"105.38"</f>
        <v>105.38</v>
      </c>
      <c r="K980" t="s">
        <v>14612</v>
      </c>
      <c r="L980" t="s">
        <v>14613</v>
      </c>
      <c r="N980" t="s">
        <v>14614</v>
      </c>
      <c r="O980" t="s">
        <v>14615</v>
      </c>
      <c r="T980" t="s">
        <v>373</v>
      </c>
      <c r="U980" t="s">
        <v>373</v>
      </c>
      <c r="V980" t="s">
        <v>18427</v>
      </c>
      <c r="W980" t="s">
        <v>18428</v>
      </c>
      <c r="X980" t="s">
        <v>18429</v>
      </c>
      <c r="Y980" t="s">
        <v>18430</v>
      </c>
      <c r="Z980" t="s">
        <v>18431</v>
      </c>
      <c r="AA980" t="s">
        <v>18432</v>
      </c>
      <c r="AB980" t="s">
        <v>18433</v>
      </c>
      <c r="AC980" t="s">
        <v>18434</v>
      </c>
      <c r="AD980" t="s">
        <v>18435</v>
      </c>
      <c r="AE980" t="s">
        <v>18436</v>
      </c>
      <c r="AF980" t="s">
        <v>18437</v>
      </c>
      <c r="AG980" t="s">
        <v>18438</v>
      </c>
      <c r="AH980" t="s">
        <v>18439</v>
      </c>
      <c r="AI980" t="s">
        <v>18440</v>
      </c>
      <c r="AJ980" t="s">
        <v>18441</v>
      </c>
      <c r="AK980" t="s">
        <v>18442</v>
      </c>
      <c r="AL980" t="s">
        <v>18443</v>
      </c>
      <c r="BA980" t="str">
        <f>"2699"</f>
        <v>2699</v>
      </c>
      <c r="BB980" t="str">
        <f>"1135"</f>
        <v>1135</v>
      </c>
      <c r="BC980" t="s">
        <v>1149</v>
      </c>
      <c r="BD980" t="str">
        <f t="shared" si="192"/>
        <v>1</v>
      </c>
      <c r="BE980" t="s">
        <v>18444</v>
      </c>
      <c r="BF980" t="str">
        <f>"88.39"</f>
        <v>88.39</v>
      </c>
      <c r="BG980" t="str">
        <f>"28.35"</f>
        <v>28.35</v>
      </c>
      <c r="BH980" t="str">
        <f>"38.19"</f>
        <v>38.19</v>
      </c>
      <c r="BI980" t="str">
        <f>"201.06"</f>
        <v>201.06</v>
      </c>
      <c r="BY980" t="str">
        <f>"55.37"</f>
        <v>55.37</v>
      </c>
      <c r="BZ980" t="str">
        <f>"1.568"</f>
        <v>1.568</v>
      </c>
      <c r="CA980" t="s">
        <v>495</v>
      </c>
      <c r="CB980" t="s">
        <v>448</v>
      </c>
      <c r="CC980" t="s">
        <v>1156</v>
      </c>
      <c r="CD980" t="s">
        <v>18445</v>
      </c>
      <c r="CE980" t="s">
        <v>448</v>
      </c>
      <c r="CF980" t="s">
        <v>610</v>
      </c>
      <c r="CG980" t="s">
        <v>18445</v>
      </c>
      <c r="CR980" t="s">
        <v>400</v>
      </c>
      <c r="CS980">
        <v>0</v>
      </c>
      <c r="CT980" t="s">
        <v>400</v>
      </c>
      <c r="CV980">
        <v>1</v>
      </c>
      <c r="CW980" t="s">
        <v>402</v>
      </c>
      <c r="CX980" t="s">
        <v>953</v>
      </c>
      <c r="CY980" t="s">
        <v>400</v>
      </c>
      <c r="DC980">
        <v>0</v>
      </c>
      <c r="DJ980" t="s">
        <v>408</v>
      </c>
      <c r="DK980" t="s">
        <v>18446</v>
      </c>
      <c r="DM980" t="s">
        <v>669</v>
      </c>
      <c r="DX980" t="s">
        <v>18320</v>
      </c>
      <c r="DY980" t="s">
        <v>2599</v>
      </c>
      <c r="DZ980" t="s">
        <v>600</v>
      </c>
      <c r="EI980" t="s">
        <v>2696</v>
      </c>
      <c r="EJ980" t="s">
        <v>432</v>
      </c>
      <c r="EK980" t="s">
        <v>9336</v>
      </c>
      <c r="EL980" t="s">
        <v>475</v>
      </c>
      <c r="EM980" t="s">
        <v>402</v>
      </c>
      <c r="EN980">
        <v>1</v>
      </c>
      <c r="EO980">
        <v>0</v>
      </c>
      <c r="EX980" t="s">
        <v>445</v>
      </c>
      <c r="FI980">
        <v>0</v>
      </c>
      <c r="FJ980" t="s">
        <v>1012</v>
      </c>
    </row>
    <row r="981" spans="1:303" x14ac:dyDescent="0.25">
      <c r="A981" t="s">
        <v>18447</v>
      </c>
      <c r="B981" t="str">
        <f>"198394026901"</f>
        <v>198394026901</v>
      </c>
      <c r="C981" t="s">
        <v>18448</v>
      </c>
      <c r="D981" t="s">
        <v>9267</v>
      </c>
      <c r="E981" t="s">
        <v>930</v>
      </c>
      <c r="G981" t="str">
        <f>"82"</f>
        <v>82</v>
      </c>
      <c r="H981" t="str">
        <f>"21"</f>
        <v>21</v>
      </c>
      <c r="I981" t="str">
        <f>"33.25"</f>
        <v>33.25</v>
      </c>
      <c r="J981" t="str">
        <f>"242.51"</f>
        <v>242.51</v>
      </c>
      <c r="K981" t="s">
        <v>18449</v>
      </c>
      <c r="L981" t="s">
        <v>5580</v>
      </c>
      <c r="N981" t="s">
        <v>1970</v>
      </c>
      <c r="O981" t="s">
        <v>372</v>
      </c>
      <c r="P981" t="s">
        <v>555</v>
      </c>
      <c r="T981" t="s">
        <v>373</v>
      </c>
      <c r="U981" t="s">
        <v>373</v>
      </c>
      <c r="V981" t="s">
        <v>18450</v>
      </c>
      <c r="W981" t="s">
        <v>18451</v>
      </c>
      <c r="X981" t="s">
        <v>18452</v>
      </c>
      <c r="Y981" t="s">
        <v>18453</v>
      </c>
      <c r="Z981" t="s">
        <v>18454</v>
      </c>
      <c r="AA981" t="s">
        <v>18455</v>
      </c>
      <c r="AB981" t="s">
        <v>18456</v>
      </c>
      <c r="AC981" t="s">
        <v>18457</v>
      </c>
      <c r="AD981" t="s">
        <v>18458</v>
      </c>
      <c r="AE981" t="s">
        <v>18459</v>
      </c>
      <c r="AF981" t="s">
        <v>18460</v>
      </c>
      <c r="AG981" t="s">
        <v>18461</v>
      </c>
      <c r="AH981" t="s">
        <v>18462</v>
      </c>
      <c r="AI981" t="s">
        <v>18463</v>
      </c>
      <c r="AJ981" t="s">
        <v>18464</v>
      </c>
      <c r="AK981" t="s">
        <v>18465</v>
      </c>
      <c r="AL981" t="s">
        <v>18466</v>
      </c>
      <c r="BA981" t="str">
        <f>"2599"</f>
        <v>2599</v>
      </c>
      <c r="BB981" t="str">
        <f>"1095"</f>
        <v>1095</v>
      </c>
      <c r="BC981" t="s">
        <v>388</v>
      </c>
      <c r="BD981" t="str">
        <f t="shared" si="192"/>
        <v>1</v>
      </c>
      <c r="BE981" t="s">
        <v>389</v>
      </c>
      <c r="BF981" t="str">
        <f>"87.01"</f>
        <v>87.01</v>
      </c>
      <c r="BG981" t="str">
        <f>"26.38"</f>
        <v>26.38</v>
      </c>
      <c r="BH981" t="str">
        <f>"39.37"</f>
        <v>39.37</v>
      </c>
      <c r="BI981" t="str">
        <f>"313.05"</f>
        <v>313.05</v>
      </c>
      <c r="BY981" t="str">
        <f>"52.3"</f>
        <v>52.3</v>
      </c>
      <c r="BZ981" t="str">
        <f>"1.481"</f>
        <v>1.481</v>
      </c>
      <c r="CA981" t="s">
        <v>431</v>
      </c>
      <c r="CB981" t="s">
        <v>602</v>
      </c>
      <c r="CC981" t="s">
        <v>637</v>
      </c>
      <c r="CD981" t="s">
        <v>2146</v>
      </c>
      <c r="CE981" t="s">
        <v>474</v>
      </c>
      <c r="CF981" t="s">
        <v>2261</v>
      </c>
      <c r="CG981" t="s">
        <v>636</v>
      </c>
      <c r="CR981" t="s">
        <v>400</v>
      </c>
      <c r="CS981">
        <v>0</v>
      </c>
      <c r="CT981" t="s">
        <v>400</v>
      </c>
      <c r="CV981">
        <v>2</v>
      </c>
      <c r="CW981" t="s">
        <v>402</v>
      </c>
      <c r="CX981" t="s">
        <v>1980</v>
      </c>
      <c r="CY981" t="s">
        <v>954</v>
      </c>
      <c r="DA981">
        <v>18.14</v>
      </c>
      <c r="DB981">
        <v>40</v>
      </c>
      <c r="DC981">
        <v>2</v>
      </c>
      <c r="DK981" t="s">
        <v>18467</v>
      </c>
      <c r="DM981" t="s">
        <v>669</v>
      </c>
      <c r="DX981" t="s">
        <v>7985</v>
      </c>
      <c r="EM981" t="s">
        <v>402</v>
      </c>
      <c r="EN981">
        <v>4</v>
      </c>
      <c r="EZ981" t="s">
        <v>2261</v>
      </c>
      <c r="FA981" t="s">
        <v>956</v>
      </c>
      <c r="FB981" t="s">
        <v>511</v>
      </c>
      <c r="FC981" t="s">
        <v>474</v>
      </c>
      <c r="FD981" t="s">
        <v>956</v>
      </c>
      <c r="FE981" t="s">
        <v>636</v>
      </c>
      <c r="FF981">
        <v>0</v>
      </c>
      <c r="FG981" t="s">
        <v>402</v>
      </c>
      <c r="FH981" t="s">
        <v>959</v>
      </c>
      <c r="FI981">
        <v>4</v>
      </c>
      <c r="FJ981" t="s">
        <v>960</v>
      </c>
      <c r="FK981" t="s">
        <v>1246</v>
      </c>
      <c r="FL981">
        <v>0</v>
      </c>
      <c r="FM981" t="s">
        <v>402</v>
      </c>
      <c r="FO981" t="s">
        <v>984</v>
      </c>
      <c r="GB981" t="s">
        <v>474</v>
      </c>
      <c r="GC981" t="s">
        <v>2261</v>
      </c>
      <c r="GD981" t="s">
        <v>636</v>
      </c>
      <c r="GR981" t="s">
        <v>602</v>
      </c>
      <c r="GS981" t="s">
        <v>602</v>
      </c>
      <c r="GT981" t="s">
        <v>1159</v>
      </c>
      <c r="GU981" t="s">
        <v>1159</v>
      </c>
      <c r="GV981" t="s">
        <v>16891</v>
      </c>
      <c r="GW981" t="s">
        <v>16891</v>
      </c>
      <c r="GX981" t="s">
        <v>475</v>
      </c>
      <c r="HI981" t="s">
        <v>402</v>
      </c>
    </row>
    <row r="982" spans="1:303" x14ac:dyDescent="0.25">
      <c r="A982" t="s">
        <v>18468</v>
      </c>
      <c r="B982" t="str">
        <f>"198394025751"</f>
        <v>198394025751</v>
      </c>
      <c r="C982" t="s">
        <v>18469</v>
      </c>
      <c r="D982" t="s">
        <v>1276</v>
      </c>
      <c r="E982" t="s">
        <v>1021</v>
      </c>
      <c r="G982" t="str">
        <f>"82"</f>
        <v>82</v>
      </c>
      <c r="H982" t="str">
        <f>"19.25"</f>
        <v>19.25</v>
      </c>
      <c r="I982" t="str">
        <f>"30"</f>
        <v>30</v>
      </c>
      <c r="J982" t="str">
        <f>"254.63"</f>
        <v>254.63</v>
      </c>
      <c r="K982" t="s">
        <v>10072</v>
      </c>
      <c r="N982" t="s">
        <v>1970</v>
      </c>
      <c r="O982" t="s">
        <v>372</v>
      </c>
      <c r="T982" t="s">
        <v>373</v>
      </c>
      <c r="U982" t="s">
        <v>373</v>
      </c>
      <c r="V982" t="s">
        <v>18470</v>
      </c>
      <c r="W982" t="s">
        <v>18471</v>
      </c>
      <c r="X982" t="s">
        <v>18472</v>
      </c>
      <c r="Y982" t="s">
        <v>18473</v>
      </c>
      <c r="Z982" t="s">
        <v>18474</v>
      </c>
      <c r="AA982" t="s">
        <v>18475</v>
      </c>
      <c r="AB982" t="s">
        <v>18476</v>
      </c>
      <c r="AC982" t="s">
        <v>18477</v>
      </c>
      <c r="AD982" t="s">
        <v>18478</v>
      </c>
      <c r="AE982" t="s">
        <v>18479</v>
      </c>
      <c r="AF982" t="s">
        <v>18480</v>
      </c>
      <c r="AG982" t="s">
        <v>18481</v>
      </c>
      <c r="AH982" t="s">
        <v>18482</v>
      </c>
      <c r="AI982" t="s">
        <v>18483</v>
      </c>
      <c r="AJ982" t="s">
        <v>18484</v>
      </c>
      <c r="AK982" t="s">
        <v>18485</v>
      </c>
      <c r="AL982" t="s">
        <v>18486</v>
      </c>
      <c r="AM982" t="s">
        <v>18487</v>
      </c>
      <c r="BA982" t="str">
        <f>"2199"</f>
        <v>2199</v>
      </c>
      <c r="BB982" t="str">
        <f>"925"</f>
        <v>925</v>
      </c>
      <c r="BC982" t="s">
        <v>665</v>
      </c>
      <c r="BD982" t="str">
        <f t="shared" si="192"/>
        <v>1</v>
      </c>
      <c r="BE982" t="s">
        <v>389</v>
      </c>
      <c r="BF982" t="str">
        <f>"85.43"</f>
        <v>85.43</v>
      </c>
      <c r="BG982" t="str">
        <f>"25.2"</f>
        <v>25.2</v>
      </c>
      <c r="BH982" t="str">
        <f>"37.2"</f>
        <v>37.2</v>
      </c>
      <c r="BI982" t="str">
        <f>"314.16"</f>
        <v>314.16</v>
      </c>
      <c r="BY982" t="str">
        <f>"46.33"</f>
        <v>46.33</v>
      </c>
      <c r="BZ982" t="str">
        <f>"1.312"</f>
        <v>1.312</v>
      </c>
      <c r="CA982" t="s">
        <v>431</v>
      </c>
      <c r="CB982" t="s">
        <v>18488</v>
      </c>
      <c r="CC982" t="s">
        <v>3518</v>
      </c>
      <c r="CD982" t="s">
        <v>18489</v>
      </c>
      <c r="CE982" t="s">
        <v>18488</v>
      </c>
      <c r="CF982" t="s">
        <v>5070</v>
      </c>
      <c r="CG982" t="s">
        <v>18489</v>
      </c>
      <c r="CR982" t="s">
        <v>5068</v>
      </c>
      <c r="CS982">
        <v>4</v>
      </c>
      <c r="CT982" t="s">
        <v>400</v>
      </c>
      <c r="CV982">
        <v>1</v>
      </c>
      <c r="CW982" t="s">
        <v>402</v>
      </c>
      <c r="CX982" t="s">
        <v>953</v>
      </c>
      <c r="CY982" t="s">
        <v>954</v>
      </c>
      <c r="DA982">
        <v>18.14</v>
      </c>
      <c r="DB982">
        <v>40</v>
      </c>
      <c r="DC982">
        <v>1</v>
      </c>
      <c r="DK982" t="s">
        <v>13211</v>
      </c>
      <c r="DX982" t="s">
        <v>446</v>
      </c>
      <c r="EM982" t="s">
        <v>402</v>
      </c>
      <c r="EN982">
        <v>2</v>
      </c>
      <c r="EZ982" t="s">
        <v>11190</v>
      </c>
      <c r="FA982" t="s">
        <v>956</v>
      </c>
      <c r="FB982" t="s">
        <v>10093</v>
      </c>
      <c r="FC982" t="s">
        <v>4303</v>
      </c>
      <c r="FD982" t="s">
        <v>956</v>
      </c>
      <c r="FE982" t="s">
        <v>18490</v>
      </c>
      <c r="FG982" t="s">
        <v>402</v>
      </c>
      <c r="FH982" t="s">
        <v>959</v>
      </c>
      <c r="FI982">
        <v>2</v>
      </c>
      <c r="FJ982" t="s">
        <v>960</v>
      </c>
      <c r="FK982" t="s">
        <v>961</v>
      </c>
      <c r="FM982" t="s">
        <v>402</v>
      </c>
      <c r="FO982" t="s">
        <v>984</v>
      </c>
      <c r="FR982" t="s">
        <v>18491</v>
      </c>
      <c r="FT982" t="s">
        <v>11245</v>
      </c>
      <c r="FV982" t="s">
        <v>17495</v>
      </c>
      <c r="FX982" t="s">
        <v>4210</v>
      </c>
      <c r="FZ982" t="s">
        <v>953</v>
      </c>
      <c r="GB982" t="s">
        <v>18492</v>
      </c>
      <c r="GD982" t="s">
        <v>17117</v>
      </c>
      <c r="GE982">
        <v>0</v>
      </c>
      <c r="GT982" t="s">
        <v>979</v>
      </c>
      <c r="GX982" t="s">
        <v>392</v>
      </c>
      <c r="HI982" t="s">
        <v>402</v>
      </c>
    </row>
    <row r="983" spans="1:303" x14ac:dyDescent="0.25">
      <c r="A983" t="s">
        <v>18493</v>
      </c>
      <c r="B983" t="str">
        <f>"198394025768"</f>
        <v>198394025768</v>
      </c>
      <c r="C983" t="s">
        <v>18494</v>
      </c>
      <c r="D983" t="s">
        <v>1276</v>
      </c>
      <c r="E983" t="s">
        <v>1021</v>
      </c>
      <c r="G983" t="str">
        <f>"82"</f>
        <v>82</v>
      </c>
      <c r="H983" t="str">
        <f>"19.25"</f>
        <v>19.25</v>
      </c>
      <c r="I983" t="str">
        <f>"30"</f>
        <v>30</v>
      </c>
      <c r="J983" t="str">
        <f>"254.63"</f>
        <v>254.63</v>
      </c>
      <c r="K983" t="s">
        <v>4213</v>
      </c>
      <c r="N983" t="s">
        <v>1970</v>
      </c>
      <c r="O983" t="s">
        <v>372</v>
      </c>
      <c r="T983" t="s">
        <v>373</v>
      </c>
      <c r="U983" t="s">
        <v>373</v>
      </c>
      <c r="V983" t="s">
        <v>18495</v>
      </c>
      <c r="W983" t="s">
        <v>18496</v>
      </c>
      <c r="X983" t="s">
        <v>18497</v>
      </c>
      <c r="Y983" t="s">
        <v>18498</v>
      </c>
      <c r="Z983" t="s">
        <v>18499</v>
      </c>
      <c r="AA983" t="s">
        <v>18500</v>
      </c>
      <c r="AB983" t="s">
        <v>18501</v>
      </c>
      <c r="AC983" t="s">
        <v>18502</v>
      </c>
      <c r="AD983" t="s">
        <v>18503</v>
      </c>
      <c r="AE983" t="s">
        <v>18504</v>
      </c>
      <c r="AF983" t="s">
        <v>18505</v>
      </c>
      <c r="AG983" t="s">
        <v>18506</v>
      </c>
      <c r="AH983" t="s">
        <v>18507</v>
      </c>
      <c r="AI983" t="s">
        <v>18508</v>
      </c>
      <c r="AJ983" t="s">
        <v>18509</v>
      </c>
      <c r="AK983" t="s">
        <v>18510</v>
      </c>
      <c r="BA983" t="str">
        <f>"2199"</f>
        <v>2199</v>
      </c>
      <c r="BB983" t="str">
        <f>"925"</f>
        <v>925</v>
      </c>
      <c r="BC983" t="s">
        <v>665</v>
      </c>
      <c r="BD983" t="str">
        <f t="shared" si="192"/>
        <v>1</v>
      </c>
      <c r="BE983" t="s">
        <v>389</v>
      </c>
      <c r="BF983" t="str">
        <f>"85.43"</f>
        <v>85.43</v>
      </c>
      <c r="BG983" t="str">
        <f>"25.2"</f>
        <v>25.2</v>
      </c>
      <c r="BH983" t="str">
        <f>"37.2"</f>
        <v>37.2</v>
      </c>
      <c r="BI983" t="str">
        <f>"314.16"</f>
        <v>314.16</v>
      </c>
      <c r="BY983" t="str">
        <f>"46.33"</f>
        <v>46.33</v>
      </c>
      <c r="BZ983" t="str">
        <f>"1.312"</f>
        <v>1.312</v>
      </c>
      <c r="CA983" t="s">
        <v>431</v>
      </c>
      <c r="CB983" t="s">
        <v>18488</v>
      </c>
      <c r="CC983" t="s">
        <v>3518</v>
      </c>
      <c r="CD983" t="s">
        <v>18489</v>
      </c>
      <c r="CE983" t="s">
        <v>18488</v>
      </c>
      <c r="CF983" t="s">
        <v>5070</v>
      </c>
      <c r="CG983" t="s">
        <v>18489</v>
      </c>
      <c r="CR983" t="s">
        <v>5068</v>
      </c>
      <c r="CS983">
        <v>4</v>
      </c>
      <c r="CT983" t="s">
        <v>400</v>
      </c>
      <c r="CV983">
        <v>1</v>
      </c>
      <c r="CW983" t="s">
        <v>402</v>
      </c>
      <c r="CX983" t="s">
        <v>953</v>
      </c>
      <c r="CY983" t="s">
        <v>954</v>
      </c>
      <c r="DA983">
        <v>18.14</v>
      </c>
      <c r="DB983">
        <v>40</v>
      </c>
      <c r="DC983">
        <v>1</v>
      </c>
      <c r="DK983" t="s">
        <v>13211</v>
      </c>
      <c r="DX983" t="s">
        <v>446</v>
      </c>
      <c r="EM983" t="s">
        <v>402</v>
      </c>
      <c r="EN983">
        <v>2</v>
      </c>
      <c r="EZ983" t="s">
        <v>11190</v>
      </c>
      <c r="FA983" t="s">
        <v>956</v>
      </c>
      <c r="FB983" t="s">
        <v>10093</v>
      </c>
      <c r="FC983" t="s">
        <v>4303</v>
      </c>
      <c r="FD983" t="s">
        <v>956</v>
      </c>
      <c r="FE983" t="s">
        <v>18490</v>
      </c>
      <c r="FG983" t="s">
        <v>402</v>
      </c>
      <c r="FH983" t="s">
        <v>959</v>
      </c>
      <c r="FI983">
        <v>2</v>
      </c>
      <c r="FJ983" t="s">
        <v>960</v>
      </c>
      <c r="FK983" t="s">
        <v>961</v>
      </c>
      <c r="FM983" t="s">
        <v>402</v>
      </c>
      <c r="FO983" t="s">
        <v>984</v>
      </c>
      <c r="FR983" t="s">
        <v>18491</v>
      </c>
      <c r="FT983" t="s">
        <v>11245</v>
      </c>
      <c r="FV983" t="s">
        <v>17495</v>
      </c>
      <c r="FX983" t="s">
        <v>4210</v>
      </c>
      <c r="FZ983" t="s">
        <v>953</v>
      </c>
      <c r="GB983" t="s">
        <v>18492</v>
      </c>
      <c r="GD983" t="s">
        <v>17117</v>
      </c>
      <c r="GE983">
        <v>0</v>
      </c>
      <c r="GT983" t="s">
        <v>979</v>
      </c>
      <c r="GX983" t="s">
        <v>392</v>
      </c>
      <c r="HI983" t="s">
        <v>402</v>
      </c>
    </row>
    <row r="984" spans="1:303" x14ac:dyDescent="0.25">
      <c r="A984" t="s">
        <v>18511</v>
      </c>
      <c r="B984" t="str">
        <f>"198394058537"</f>
        <v>198394058537</v>
      </c>
      <c r="C984" t="s">
        <v>18512</v>
      </c>
      <c r="D984" t="s">
        <v>15654</v>
      </c>
      <c r="E984" t="s">
        <v>3813</v>
      </c>
      <c r="G984" t="str">
        <f>"50"</f>
        <v>50</v>
      </c>
      <c r="H984" t="str">
        <f>"21"</f>
        <v>21</v>
      </c>
      <c r="I984" t="str">
        <f>"82"</f>
        <v>82</v>
      </c>
      <c r="J984" t="str">
        <f>"222.66"</f>
        <v>222.66</v>
      </c>
      <c r="K984" t="s">
        <v>18513</v>
      </c>
      <c r="L984" t="s">
        <v>16565</v>
      </c>
      <c r="N984" t="s">
        <v>9043</v>
      </c>
      <c r="O984" t="s">
        <v>9042</v>
      </c>
      <c r="T984" t="s">
        <v>373</v>
      </c>
      <c r="U984" t="s">
        <v>373</v>
      </c>
      <c r="V984" t="s">
        <v>18514</v>
      </c>
      <c r="W984" t="s">
        <v>18515</v>
      </c>
      <c r="X984" t="s">
        <v>18516</v>
      </c>
      <c r="Y984" t="s">
        <v>18517</v>
      </c>
      <c r="Z984" t="s">
        <v>18518</v>
      </c>
      <c r="AA984" t="s">
        <v>18519</v>
      </c>
      <c r="AB984" t="s">
        <v>18520</v>
      </c>
      <c r="AC984" t="s">
        <v>18521</v>
      </c>
      <c r="AD984" t="s">
        <v>18522</v>
      </c>
      <c r="AE984" t="s">
        <v>18523</v>
      </c>
      <c r="AF984" t="s">
        <v>18524</v>
      </c>
      <c r="AG984" t="s">
        <v>18525</v>
      </c>
      <c r="AH984" t="s">
        <v>18526</v>
      </c>
      <c r="AI984" t="s">
        <v>18527</v>
      </c>
      <c r="AJ984" t="s">
        <v>18528</v>
      </c>
      <c r="AK984" t="s">
        <v>18529</v>
      </c>
      <c r="BA984" t="str">
        <f>"3499"</f>
        <v>3499</v>
      </c>
      <c r="BB984" t="str">
        <f>"1470"</f>
        <v>1470</v>
      </c>
      <c r="BC984" t="s">
        <v>665</v>
      </c>
      <c r="BD984" t="str">
        <f t="shared" si="192"/>
        <v>1</v>
      </c>
      <c r="BE984" t="s">
        <v>389</v>
      </c>
      <c r="BF984" t="str">
        <f>"56.3"</f>
        <v>56.3</v>
      </c>
      <c r="BG984" t="str">
        <f>"26.77"</f>
        <v>26.77</v>
      </c>
      <c r="BH984" t="str">
        <f>"87.99"</f>
        <v>87.99</v>
      </c>
      <c r="BI984" t="str">
        <f>"263.45"</f>
        <v>263.45</v>
      </c>
      <c r="BY984" t="str">
        <f>"76.74"</f>
        <v>76.74</v>
      </c>
      <c r="BZ984" t="str">
        <f>"2.173"</f>
        <v>2.173</v>
      </c>
      <c r="CA984" t="s">
        <v>495</v>
      </c>
      <c r="CB984" t="s">
        <v>17604</v>
      </c>
      <c r="CC984" t="s">
        <v>1552</v>
      </c>
      <c r="CD984" t="s">
        <v>1291</v>
      </c>
      <c r="CE984" t="s">
        <v>8248</v>
      </c>
      <c r="CF984" t="s">
        <v>18530</v>
      </c>
      <c r="CG984" t="s">
        <v>17311</v>
      </c>
      <c r="CR984" t="s">
        <v>400</v>
      </c>
      <c r="CS984">
        <v>0</v>
      </c>
      <c r="CT984" t="s">
        <v>400</v>
      </c>
      <c r="CV984">
        <v>4</v>
      </c>
      <c r="CW984" t="s">
        <v>402</v>
      </c>
      <c r="CX984" t="s">
        <v>12871</v>
      </c>
      <c r="CY984" t="s">
        <v>954</v>
      </c>
      <c r="DA984">
        <v>18.14</v>
      </c>
      <c r="DB984">
        <v>40</v>
      </c>
      <c r="DC984">
        <v>1</v>
      </c>
      <c r="DJ984" t="s">
        <v>982</v>
      </c>
      <c r="DK984" t="s">
        <v>18531</v>
      </c>
      <c r="DX984" t="s">
        <v>2170</v>
      </c>
      <c r="EM984" t="s">
        <v>402</v>
      </c>
      <c r="EN984">
        <v>7</v>
      </c>
      <c r="EZ984" t="s">
        <v>1711</v>
      </c>
      <c r="FA984" t="s">
        <v>956</v>
      </c>
      <c r="FB984" t="s">
        <v>11786</v>
      </c>
      <c r="FC984" t="s">
        <v>8248</v>
      </c>
      <c r="FD984" t="s">
        <v>956</v>
      </c>
      <c r="FE984" t="s">
        <v>17311</v>
      </c>
      <c r="FG984" t="s">
        <v>402</v>
      </c>
      <c r="FH984" t="s">
        <v>959</v>
      </c>
      <c r="FI984">
        <v>2</v>
      </c>
      <c r="FJ984" t="s">
        <v>960</v>
      </c>
      <c r="FK984" t="s">
        <v>1246</v>
      </c>
      <c r="FM984" t="s">
        <v>402</v>
      </c>
      <c r="FO984" t="s">
        <v>984</v>
      </c>
      <c r="GB984" t="s">
        <v>17604</v>
      </c>
      <c r="GC984" t="s">
        <v>546</v>
      </c>
      <c r="GD984" t="s">
        <v>1291</v>
      </c>
      <c r="GR984" t="s">
        <v>17604</v>
      </c>
      <c r="GS984" t="s">
        <v>17604</v>
      </c>
      <c r="GT984" t="s">
        <v>546</v>
      </c>
      <c r="GU984" t="s">
        <v>3189</v>
      </c>
      <c r="GV984" t="s">
        <v>1291</v>
      </c>
      <c r="GW984" t="s">
        <v>1291</v>
      </c>
      <c r="GX984" t="s">
        <v>1350</v>
      </c>
      <c r="HI984" t="s">
        <v>402</v>
      </c>
      <c r="JY984" t="s">
        <v>17604</v>
      </c>
      <c r="JZ984" t="s">
        <v>3189</v>
      </c>
      <c r="KA984" t="s">
        <v>1291</v>
      </c>
      <c r="KL984" t="s">
        <v>17604</v>
      </c>
      <c r="KM984" t="s">
        <v>17604</v>
      </c>
      <c r="KN984" t="s">
        <v>546</v>
      </c>
      <c r="KO984" t="s">
        <v>546</v>
      </c>
      <c r="KP984" t="s">
        <v>1291</v>
      </c>
      <c r="KQ984" t="s">
        <v>1291</v>
      </c>
    </row>
    <row r="985" spans="1:303" x14ac:dyDescent="0.25">
      <c r="A985" t="s">
        <v>18532</v>
      </c>
      <c r="B985" t="str">
        <f>"198394058544"</f>
        <v>198394058544</v>
      </c>
      <c r="C985" t="s">
        <v>18533</v>
      </c>
      <c r="D985" t="s">
        <v>15654</v>
      </c>
      <c r="E985" t="s">
        <v>1021</v>
      </c>
      <c r="G985" t="str">
        <f>"92"</f>
        <v>92</v>
      </c>
      <c r="H985" t="str">
        <f>"21"</f>
        <v>21</v>
      </c>
      <c r="I985" t="str">
        <f>"26"</f>
        <v>26</v>
      </c>
      <c r="J985" t="str">
        <f>"186.29"</f>
        <v>186.29</v>
      </c>
      <c r="K985" t="s">
        <v>18513</v>
      </c>
      <c r="L985" t="s">
        <v>16565</v>
      </c>
      <c r="N985" t="s">
        <v>9043</v>
      </c>
      <c r="O985" t="s">
        <v>9042</v>
      </c>
      <c r="T985" t="s">
        <v>373</v>
      </c>
      <c r="U985" t="s">
        <v>373</v>
      </c>
      <c r="V985" t="s">
        <v>18534</v>
      </c>
      <c r="W985" t="s">
        <v>18535</v>
      </c>
      <c r="X985" t="s">
        <v>18536</v>
      </c>
      <c r="Y985" t="s">
        <v>18537</v>
      </c>
      <c r="Z985" t="s">
        <v>18538</v>
      </c>
      <c r="AA985" t="s">
        <v>18539</v>
      </c>
      <c r="AB985" t="s">
        <v>18540</v>
      </c>
      <c r="AC985" t="s">
        <v>18541</v>
      </c>
      <c r="AD985" t="s">
        <v>18542</v>
      </c>
      <c r="AE985" t="s">
        <v>18543</v>
      </c>
      <c r="AF985" t="s">
        <v>18544</v>
      </c>
      <c r="AG985" t="s">
        <v>18545</v>
      </c>
      <c r="AH985" t="s">
        <v>18546</v>
      </c>
      <c r="AI985" t="s">
        <v>18547</v>
      </c>
      <c r="AJ985" t="s">
        <v>18548</v>
      </c>
      <c r="AK985" t="s">
        <v>18549</v>
      </c>
      <c r="AL985" t="s">
        <v>18550</v>
      </c>
      <c r="AM985" t="s">
        <v>18551</v>
      </c>
      <c r="AN985" t="s">
        <v>18552</v>
      </c>
      <c r="BA985" t="str">
        <f>"2599"</f>
        <v>2599</v>
      </c>
      <c r="BB985" t="str">
        <f>"1095"</f>
        <v>1095</v>
      </c>
      <c r="BC985" t="s">
        <v>665</v>
      </c>
      <c r="BD985" t="str">
        <f t="shared" si="192"/>
        <v>1</v>
      </c>
      <c r="BE985" t="s">
        <v>389</v>
      </c>
      <c r="BF985" t="str">
        <f>"98.03"</f>
        <v>98.03</v>
      </c>
      <c r="BG985" t="str">
        <f>"26.38"</f>
        <v>26.38</v>
      </c>
      <c r="BH985" t="str">
        <f>"31.69"</f>
        <v>31.69</v>
      </c>
      <c r="BI985" t="str">
        <f>"216.05"</f>
        <v>216.05</v>
      </c>
      <c r="BY985" t="str">
        <f>"47.43"</f>
        <v>47.43</v>
      </c>
      <c r="BZ985" t="str">
        <f>"1.343"</f>
        <v>1.343</v>
      </c>
      <c r="CA985" t="s">
        <v>495</v>
      </c>
      <c r="CB985" t="s">
        <v>8248</v>
      </c>
      <c r="CC985" t="s">
        <v>1552</v>
      </c>
      <c r="CD985" t="s">
        <v>18553</v>
      </c>
      <c r="CE985" t="s">
        <v>8248</v>
      </c>
      <c r="CF985" t="s">
        <v>543</v>
      </c>
      <c r="CG985" t="s">
        <v>18553</v>
      </c>
      <c r="CR985" t="s">
        <v>400</v>
      </c>
      <c r="CS985">
        <v>0</v>
      </c>
      <c r="CT985" t="s">
        <v>400</v>
      </c>
      <c r="CV985">
        <v>2</v>
      </c>
      <c r="CW985" t="s">
        <v>402</v>
      </c>
      <c r="CX985" t="s">
        <v>12871</v>
      </c>
      <c r="CY985" t="s">
        <v>954</v>
      </c>
      <c r="DA985">
        <v>18.14</v>
      </c>
      <c r="DB985">
        <v>40</v>
      </c>
      <c r="DC985">
        <v>1</v>
      </c>
      <c r="DK985" t="s">
        <v>18531</v>
      </c>
      <c r="DX985" t="s">
        <v>2170</v>
      </c>
      <c r="EM985" t="s">
        <v>402</v>
      </c>
      <c r="EN985">
        <v>5</v>
      </c>
      <c r="EZ985" t="s">
        <v>18006</v>
      </c>
      <c r="FA985" t="s">
        <v>956</v>
      </c>
      <c r="FB985" t="s">
        <v>6637</v>
      </c>
      <c r="FC985" t="s">
        <v>8059</v>
      </c>
      <c r="FD985" t="s">
        <v>956</v>
      </c>
      <c r="FE985" t="s">
        <v>3516</v>
      </c>
      <c r="FG985" t="s">
        <v>402</v>
      </c>
      <c r="FH985" t="s">
        <v>959</v>
      </c>
      <c r="FI985">
        <v>2</v>
      </c>
      <c r="FJ985" t="s">
        <v>960</v>
      </c>
      <c r="FK985" t="s">
        <v>1246</v>
      </c>
      <c r="FM985" t="s">
        <v>402</v>
      </c>
      <c r="FO985" t="s">
        <v>984</v>
      </c>
      <c r="GB985" t="s">
        <v>8248</v>
      </c>
      <c r="GC985" t="s">
        <v>543</v>
      </c>
      <c r="GD985" t="s">
        <v>18553</v>
      </c>
      <c r="GE985">
        <v>0</v>
      </c>
      <c r="GR985" t="s">
        <v>4245</v>
      </c>
      <c r="GS985" t="s">
        <v>4245</v>
      </c>
      <c r="GT985" t="s">
        <v>543</v>
      </c>
      <c r="GU985" t="s">
        <v>543</v>
      </c>
      <c r="GV985" t="s">
        <v>18553</v>
      </c>
      <c r="GW985" t="s">
        <v>18553</v>
      </c>
      <c r="GX985" t="s">
        <v>1350</v>
      </c>
      <c r="HI985" t="s">
        <v>402</v>
      </c>
      <c r="JY985" t="s">
        <v>8059</v>
      </c>
      <c r="JZ985" t="s">
        <v>3833</v>
      </c>
      <c r="KA985" t="s">
        <v>3516</v>
      </c>
    </row>
    <row r="986" spans="1:303" x14ac:dyDescent="0.25">
      <c r="A986" t="s">
        <v>18554</v>
      </c>
      <c r="B986" t="str">
        <f>"198394053754"</f>
        <v>198394053754</v>
      </c>
      <c r="C986" t="s">
        <v>18555</v>
      </c>
      <c r="D986" t="s">
        <v>9267</v>
      </c>
      <c r="E986" t="s">
        <v>367</v>
      </c>
      <c r="F986" t="s">
        <v>368</v>
      </c>
      <c r="G986" t="str">
        <f>"73"</f>
        <v>73</v>
      </c>
      <c r="H986" t="str">
        <f>"31.5"</f>
        <v>31.5</v>
      </c>
      <c r="I986" t="str">
        <f>"20.25"</f>
        <v>20.25</v>
      </c>
      <c r="J986" t="str">
        <f>"78.7"</f>
        <v>78.7</v>
      </c>
      <c r="K986" t="s">
        <v>18408</v>
      </c>
      <c r="L986" t="s">
        <v>18556</v>
      </c>
      <c r="N986" t="s">
        <v>371</v>
      </c>
      <c r="O986" t="s">
        <v>18557</v>
      </c>
      <c r="T986" t="s">
        <v>373</v>
      </c>
      <c r="U986" t="s">
        <v>373</v>
      </c>
      <c r="V986" t="s">
        <v>18558</v>
      </c>
      <c r="W986" t="s">
        <v>18559</v>
      </c>
      <c r="X986" t="s">
        <v>18560</v>
      </c>
      <c r="Y986" t="s">
        <v>18561</v>
      </c>
      <c r="Z986" t="s">
        <v>18562</v>
      </c>
      <c r="AA986" t="s">
        <v>18563</v>
      </c>
      <c r="AB986" t="s">
        <v>18564</v>
      </c>
      <c r="AC986" t="s">
        <v>18565</v>
      </c>
      <c r="AD986" t="s">
        <v>18566</v>
      </c>
      <c r="AE986" t="s">
        <v>18567</v>
      </c>
      <c r="AF986" t="s">
        <v>18568</v>
      </c>
      <c r="AG986" t="s">
        <v>18569</v>
      </c>
      <c r="AH986" t="s">
        <v>18570</v>
      </c>
      <c r="AI986" t="s">
        <v>18571</v>
      </c>
      <c r="BA986" t="str">
        <f>"1299"</f>
        <v>1299</v>
      </c>
      <c r="BB986" t="str">
        <f>"550"</f>
        <v>550</v>
      </c>
      <c r="BC986" t="s">
        <v>388</v>
      </c>
      <c r="BD986" t="str">
        <f t="shared" si="192"/>
        <v>1</v>
      </c>
      <c r="BE986" t="s">
        <v>389</v>
      </c>
      <c r="BF986" t="str">
        <f>"74.02"</f>
        <v>74.02</v>
      </c>
      <c r="BG986" t="str">
        <f>"33.07"</f>
        <v>33.07</v>
      </c>
      <c r="BH986" t="str">
        <f>"21.65"</f>
        <v>21.65</v>
      </c>
      <c r="BI986" t="str">
        <f>"109.35"</f>
        <v>109.35</v>
      </c>
      <c r="BY986" t="str">
        <f>"30.65"</f>
        <v>30.65</v>
      </c>
      <c r="BZ986" t="str">
        <f>"0.868"</f>
        <v>0.868</v>
      </c>
      <c r="CA986" t="s">
        <v>431</v>
      </c>
      <c r="CK986" t="s">
        <v>2078</v>
      </c>
      <c r="CL986" t="s">
        <v>15073</v>
      </c>
      <c r="CM986" t="s">
        <v>7739</v>
      </c>
      <c r="CN986">
        <v>0</v>
      </c>
      <c r="CO986">
        <v>0</v>
      </c>
      <c r="CP986" t="s">
        <v>398</v>
      </c>
      <c r="CQ986" t="s">
        <v>1152</v>
      </c>
      <c r="CR986" t="s">
        <v>400</v>
      </c>
      <c r="CS986">
        <v>0</v>
      </c>
      <c r="CT986" t="s">
        <v>400</v>
      </c>
      <c r="CV986">
        <v>0</v>
      </c>
      <c r="CY986" t="s">
        <v>400</v>
      </c>
      <c r="CZ986">
        <v>0</v>
      </c>
      <c r="DA986">
        <v>0</v>
      </c>
      <c r="DB986">
        <v>0</v>
      </c>
      <c r="DC986">
        <v>0</v>
      </c>
      <c r="DD986">
        <v>50000</v>
      </c>
      <c r="DE986" t="s">
        <v>405</v>
      </c>
      <c r="DH986">
        <v>0</v>
      </c>
      <c r="DI986">
        <v>3</v>
      </c>
      <c r="DJ986" t="s">
        <v>1437</v>
      </c>
      <c r="DK986" t="s">
        <v>18572</v>
      </c>
      <c r="DL986">
        <v>0</v>
      </c>
      <c r="DM986" t="s">
        <v>410</v>
      </c>
      <c r="EG986" t="s">
        <v>615</v>
      </c>
      <c r="EM986" t="s">
        <v>402</v>
      </c>
    </row>
    <row r="987" spans="1:303" x14ac:dyDescent="0.25">
      <c r="A987" t="s">
        <v>18573</v>
      </c>
      <c r="B987" t="str">
        <f>"198394053914"</f>
        <v>198394053914</v>
      </c>
      <c r="C987" t="s">
        <v>18574</v>
      </c>
      <c r="D987" t="s">
        <v>9267</v>
      </c>
      <c r="E987" t="s">
        <v>1077</v>
      </c>
      <c r="G987" t="str">
        <f>"48"</f>
        <v>48</v>
      </c>
      <c r="H987" t="str">
        <f>"48"</f>
        <v>48</v>
      </c>
      <c r="I987" t="str">
        <f>"16.5"</f>
        <v>16.5</v>
      </c>
      <c r="J987" t="str">
        <f>"120.81"</f>
        <v>120.81</v>
      </c>
      <c r="K987" t="s">
        <v>18575</v>
      </c>
      <c r="L987" t="s">
        <v>12521</v>
      </c>
      <c r="M987" t="s">
        <v>9067</v>
      </c>
      <c r="N987" t="s">
        <v>18575</v>
      </c>
      <c r="O987" t="s">
        <v>372</v>
      </c>
      <c r="P987" t="s">
        <v>1970</v>
      </c>
      <c r="T987" t="s">
        <v>373</v>
      </c>
      <c r="U987" t="s">
        <v>373</v>
      </c>
      <c r="V987" t="s">
        <v>18576</v>
      </c>
      <c r="W987" t="s">
        <v>18577</v>
      </c>
      <c r="X987" t="s">
        <v>18578</v>
      </c>
      <c r="Y987" t="s">
        <v>18579</v>
      </c>
      <c r="Z987" t="s">
        <v>18580</v>
      </c>
      <c r="AA987" t="s">
        <v>18581</v>
      </c>
      <c r="AB987" t="s">
        <v>18582</v>
      </c>
      <c r="AC987" t="s">
        <v>18583</v>
      </c>
      <c r="AD987" t="s">
        <v>18584</v>
      </c>
      <c r="AE987" t="s">
        <v>18585</v>
      </c>
      <c r="BA987" t="str">
        <f>"1649"</f>
        <v>1649</v>
      </c>
      <c r="BB987" t="str">
        <f>"695"</f>
        <v>695</v>
      </c>
      <c r="BC987" t="s">
        <v>388</v>
      </c>
      <c r="BD987" t="str">
        <f t="shared" si="192"/>
        <v>1</v>
      </c>
      <c r="BE987" t="s">
        <v>389</v>
      </c>
      <c r="BF987" t="str">
        <f>"51.57"</f>
        <v>51.57</v>
      </c>
      <c r="BG987" t="str">
        <f>"51.57"</f>
        <v>51.57</v>
      </c>
      <c r="BH987" t="str">
        <f>"20.47"</f>
        <v>20.47</v>
      </c>
      <c r="BI987" t="str">
        <f>"158.73"</f>
        <v>158.73</v>
      </c>
      <c r="BY987" t="str">
        <f>"31.5"</f>
        <v>31.5</v>
      </c>
      <c r="BZ987" t="str">
        <f>"0.892"</f>
        <v>0.892</v>
      </c>
      <c r="CA987" t="s">
        <v>495</v>
      </c>
      <c r="CB987" t="s">
        <v>7242</v>
      </c>
      <c r="CC987" t="s">
        <v>956</v>
      </c>
      <c r="CD987" t="s">
        <v>7242</v>
      </c>
      <c r="CE987" t="s">
        <v>7242</v>
      </c>
      <c r="CF987" t="s">
        <v>2908</v>
      </c>
      <c r="CG987" t="s">
        <v>7242</v>
      </c>
      <c r="CR987" t="s">
        <v>400</v>
      </c>
      <c r="CS987">
        <v>0</v>
      </c>
      <c r="CT987" t="s">
        <v>400</v>
      </c>
      <c r="CV987">
        <v>1</v>
      </c>
      <c r="CW987" t="s">
        <v>402</v>
      </c>
      <c r="CX987" t="s">
        <v>667</v>
      </c>
      <c r="CY987" t="s">
        <v>404</v>
      </c>
      <c r="DC987">
        <v>0</v>
      </c>
      <c r="DJ987" t="s">
        <v>1132</v>
      </c>
      <c r="DK987" t="s">
        <v>18586</v>
      </c>
      <c r="DM987" t="s">
        <v>473</v>
      </c>
      <c r="DX987" t="s">
        <v>475</v>
      </c>
      <c r="DY987" t="s">
        <v>6784</v>
      </c>
      <c r="DZ987" t="s">
        <v>6784</v>
      </c>
      <c r="EI987" t="s">
        <v>637</v>
      </c>
      <c r="EJ987" t="s">
        <v>2073</v>
      </c>
      <c r="EK987" t="s">
        <v>637</v>
      </c>
      <c r="EL987" t="s">
        <v>637</v>
      </c>
      <c r="EM987" t="s">
        <v>402</v>
      </c>
      <c r="EN987">
        <v>1</v>
      </c>
      <c r="EO987">
        <v>0</v>
      </c>
    </row>
    <row r="988" spans="1:303" x14ac:dyDescent="0.25">
      <c r="A988" t="s">
        <v>18587</v>
      </c>
      <c r="B988" t="str">
        <f>"198394028523"</f>
        <v>198394028523</v>
      </c>
      <c r="C988" t="s">
        <v>18588</v>
      </c>
      <c r="D988" t="s">
        <v>1420</v>
      </c>
      <c r="E988" t="s">
        <v>4074</v>
      </c>
      <c r="G988" t="str">
        <f>"79"</f>
        <v>79</v>
      </c>
      <c r="H988" t="str">
        <f>"19"</f>
        <v>19</v>
      </c>
      <c r="I988" t="str">
        <f>"31"</f>
        <v>31</v>
      </c>
      <c r="J988" t="str">
        <f>"136.69"</f>
        <v>136.69</v>
      </c>
      <c r="K988" t="s">
        <v>9067</v>
      </c>
      <c r="N988" t="s">
        <v>1463</v>
      </c>
      <c r="T988" t="s">
        <v>373</v>
      </c>
      <c r="U988" t="s">
        <v>373</v>
      </c>
      <c r="V988" t="s">
        <v>18589</v>
      </c>
      <c r="W988" t="s">
        <v>18590</v>
      </c>
      <c r="X988" t="s">
        <v>18591</v>
      </c>
      <c r="Y988" t="s">
        <v>18592</v>
      </c>
      <c r="Z988" t="s">
        <v>18593</v>
      </c>
      <c r="AA988" t="s">
        <v>18594</v>
      </c>
      <c r="AB988" t="s">
        <v>18595</v>
      </c>
      <c r="AC988" t="s">
        <v>18596</v>
      </c>
      <c r="AD988" t="s">
        <v>18597</v>
      </c>
      <c r="AE988" t="s">
        <v>18598</v>
      </c>
      <c r="AF988" t="s">
        <v>18599</v>
      </c>
      <c r="AG988" t="s">
        <v>18600</v>
      </c>
      <c r="AH988" t="s">
        <v>18601</v>
      </c>
      <c r="AI988" t="s">
        <v>18602</v>
      </c>
      <c r="AJ988" t="s">
        <v>18603</v>
      </c>
      <c r="AK988" t="s">
        <v>18604</v>
      </c>
      <c r="AL988" t="s">
        <v>18605</v>
      </c>
      <c r="AM988" t="s">
        <v>18606</v>
      </c>
      <c r="BA988" t="str">
        <f>"1999"</f>
        <v>1999</v>
      </c>
      <c r="BB988" t="str">
        <f>"840"</f>
        <v>840</v>
      </c>
      <c r="BC988" t="s">
        <v>665</v>
      </c>
      <c r="BD988" t="str">
        <f t="shared" si="192"/>
        <v>1</v>
      </c>
      <c r="BE988" t="s">
        <v>389</v>
      </c>
      <c r="BF988" t="str">
        <f>"82.87"</f>
        <v>82.87</v>
      </c>
      <c r="BG988" t="str">
        <f>"22.83"</f>
        <v>22.83</v>
      </c>
      <c r="BH988" t="str">
        <f>"37.2"</f>
        <v>37.2</v>
      </c>
      <c r="BI988" t="str">
        <f>"176.37"</f>
        <v>176.37</v>
      </c>
      <c r="BY988" t="str">
        <f>"40.75"</f>
        <v>40.75</v>
      </c>
      <c r="BZ988" t="str">
        <f>"1.154"</f>
        <v>1.154</v>
      </c>
      <c r="CA988" t="s">
        <v>431</v>
      </c>
      <c r="CB988" t="s">
        <v>2595</v>
      </c>
      <c r="CC988" t="s">
        <v>3518</v>
      </c>
      <c r="CD988" t="s">
        <v>18607</v>
      </c>
      <c r="CE988" t="s">
        <v>2595</v>
      </c>
      <c r="CF988" t="s">
        <v>18608</v>
      </c>
      <c r="CG988" t="s">
        <v>18607</v>
      </c>
      <c r="CR988" t="s">
        <v>1007</v>
      </c>
      <c r="CS988">
        <v>3</v>
      </c>
      <c r="CT988" t="s">
        <v>400</v>
      </c>
      <c r="CV988">
        <v>1</v>
      </c>
      <c r="CW988" t="s">
        <v>402</v>
      </c>
      <c r="CX988" t="s">
        <v>403</v>
      </c>
      <c r="CY988" t="s">
        <v>404</v>
      </c>
      <c r="DC988">
        <v>0</v>
      </c>
      <c r="DJ988" t="s">
        <v>1437</v>
      </c>
      <c r="DK988" t="s">
        <v>2267</v>
      </c>
      <c r="DM988" t="s">
        <v>669</v>
      </c>
      <c r="DX988" t="s">
        <v>675</v>
      </c>
      <c r="DZ988" t="s">
        <v>18609</v>
      </c>
      <c r="EI988" t="s">
        <v>2595</v>
      </c>
      <c r="EJ988" t="s">
        <v>13747</v>
      </c>
      <c r="EK988" t="s">
        <v>7700</v>
      </c>
      <c r="EL988" t="s">
        <v>3518</v>
      </c>
      <c r="EM988" t="s">
        <v>402</v>
      </c>
      <c r="EN988">
        <v>1</v>
      </c>
      <c r="EO988">
        <v>0</v>
      </c>
      <c r="EX988" t="s">
        <v>3984</v>
      </c>
      <c r="FI988">
        <v>0</v>
      </c>
      <c r="FJ988" t="s">
        <v>1012</v>
      </c>
      <c r="FR988" t="s">
        <v>4069</v>
      </c>
      <c r="FT988" t="s">
        <v>674</v>
      </c>
      <c r="FV988" t="s">
        <v>11153</v>
      </c>
      <c r="FX988" t="s">
        <v>1017</v>
      </c>
      <c r="FZ988" t="s">
        <v>1018</v>
      </c>
    </row>
    <row r="989" spans="1:303" x14ac:dyDescent="0.25">
      <c r="A989" t="s">
        <v>18610</v>
      </c>
      <c r="B989" t="str">
        <f>"198394055222"</f>
        <v>198394055222</v>
      </c>
      <c r="C989" t="s">
        <v>18611</v>
      </c>
      <c r="D989" t="s">
        <v>15654</v>
      </c>
      <c r="E989" t="s">
        <v>4074</v>
      </c>
      <c r="G989" t="str">
        <f>"78"</f>
        <v>78</v>
      </c>
      <c r="H989" t="str">
        <f>"18"</f>
        <v>18</v>
      </c>
      <c r="I989" t="str">
        <f>"27"</f>
        <v>27</v>
      </c>
      <c r="J989" t="str">
        <f>"132.28"</f>
        <v>132.28</v>
      </c>
      <c r="K989" t="s">
        <v>16565</v>
      </c>
      <c r="L989" t="s">
        <v>18513</v>
      </c>
      <c r="N989" t="s">
        <v>9042</v>
      </c>
      <c r="O989" t="s">
        <v>9043</v>
      </c>
      <c r="T989" t="s">
        <v>373</v>
      </c>
      <c r="U989" t="s">
        <v>373</v>
      </c>
      <c r="V989" t="s">
        <v>18612</v>
      </c>
      <c r="W989" t="s">
        <v>18613</v>
      </c>
      <c r="X989" t="s">
        <v>18614</v>
      </c>
      <c r="Y989" t="s">
        <v>18615</v>
      </c>
      <c r="Z989" t="s">
        <v>18616</v>
      </c>
      <c r="AA989" t="s">
        <v>18617</v>
      </c>
      <c r="AB989" t="s">
        <v>18618</v>
      </c>
      <c r="AC989" t="s">
        <v>18619</v>
      </c>
      <c r="AD989" t="s">
        <v>18620</v>
      </c>
      <c r="AE989" t="s">
        <v>18621</v>
      </c>
      <c r="AF989" t="s">
        <v>18622</v>
      </c>
      <c r="AG989" t="s">
        <v>18623</v>
      </c>
      <c r="AH989" t="s">
        <v>18624</v>
      </c>
      <c r="AI989" t="s">
        <v>18625</v>
      </c>
      <c r="AJ989" t="s">
        <v>18626</v>
      </c>
      <c r="AK989" t="s">
        <v>18627</v>
      </c>
      <c r="BA989" t="str">
        <f>"2299"</f>
        <v>2299</v>
      </c>
      <c r="BB989" t="str">
        <f>"970"</f>
        <v>970</v>
      </c>
      <c r="BC989" t="s">
        <v>665</v>
      </c>
      <c r="BD989" t="str">
        <f t="shared" si="192"/>
        <v>1</v>
      </c>
      <c r="BE989" t="s">
        <v>389</v>
      </c>
      <c r="BF989" t="str">
        <f>"83.86"</f>
        <v>83.86</v>
      </c>
      <c r="BG989" t="str">
        <f>"23.43"</f>
        <v>23.43</v>
      </c>
      <c r="BH989" t="str">
        <f>"33.07"</f>
        <v>33.07</v>
      </c>
      <c r="BI989" t="str">
        <f>"159.84"</f>
        <v>159.84</v>
      </c>
      <c r="BY989" t="str">
        <f>"37.61"</f>
        <v>37.61</v>
      </c>
      <c r="BZ989" t="str">
        <f>"1.065"</f>
        <v>1.065</v>
      </c>
      <c r="CA989" t="s">
        <v>495</v>
      </c>
      <c r="CB989" t="s">
        <v>8084</v>
      </c>
      <c r="CC989" t="s">
        <v>1552</v>
      </c>
      <c r="CD989" t="s">
        <v>16945</v>
      </c>
      <c r="CE989" t="s">
        <v>8084</v>
      </c>
      <c r="CF989" t="s">
        <v>10186</v>
      </c>
      <c r="CG989" t="s">
        <v>18628</v>
      </c>
      <c r="CR989" t="s">
        <v>400</v>
      </c>
      <c r="CS989">
        <v>0</v>
      </c>
      <c r="CT989" t="s">
        <v>400</v>
      </c>
      <c r="CV989">
        <v>1</v>
      </c>
      <c r="CW989" t="s">
        <v>402</v>
      </c>
      <c r="CX989" t="s">
        <v>12871</v>
      </c>
      <c r="CY989" t="s">
        <v>404</v>
      </c>
      <c r="DC989">
        <v>0</v>
      </c>
      <c r="DJ989" t="s">
        <v>408</v>
      </c>
      <c r="DK989" t="s">
        <v>18531</v>
      </c>
      <c r="DM989" t="s">
        <v>669</v>
      </c>
      <c r="DX989" t="s">
        <v>2170</v>
      </c>
      <c r="DY989" t="s">
        <v>8084</v>
      </c>
      <c r="DZ989" t="s">
        <v>18629</v>
      </c>
      <c r="EI989" t="s">
        <v>392</v>
      </c>
      <c r="EJ989" t="s">
        <v>1493</v>
      </c>
      <c r="EK989" t="s">
        <v>1552</v>
      </c>
      <c r="EL989" t="s">
        <v>392</v>
      </c>
      <c r="EM989" t="s">
        <v>402</v>
      </c>
      <c r="EN989">
        <v>6</v>
      </c>
      <c r="EO989">
        <v>0</v>
      </c>
      <c r="FI989">
        <v>0</v>
      </c>
      <c r="FJ989" t="s">
        <v>1012</v>
      </c>
      <c r="GB989" t="s">
        <v>8084</v>
      </c>
      <c r="GC989" t="s">
        <v>10186</v>
      </c>
      <c r="GD989" t="s">
        <v>18628</v>
      </c>
      <c r="GR989" t="s">
        <v>8084</v>
      </c>
      <c r="GS989" t="s">
        <v>8084</v>
      </c>
      <c r="GT989" t="s">
        <v>10186</v>
      </c>
      <c r="GU989" t="s">
        <v>10186</v>
      </c>
      <c r="GV989" t="s">
        <v>18628</v>
      </c>
      <c r="GW989" t="s">
        <v>18628</v>
      </c>
      <c r="JY989" t="s">
        <v>8084</v>
      </c>
      <c r="JZ989" t="s">
        <v>10186</v>
      </c>
      <c r="KA989" t="s">
        <v>18628</v>
      </c>
      <c r="KL989" t="s">
        <v>8084</v>
      </c>
      <c r="KN989" t="s">
        <v>10186</v>
      </c>
      <c r="KP989" t="s">
        <v>18628</v>
      </c>
    </row>
    <row r="990" spans="1:303" x14ac:dyDescent="0.25">
      <c r="A990" t="s">
        <v>18630</v>
      </c>
      <c r="B990" t="str">
        <f>"198394025591"</f>
        <v>198394025591</v>
      </c>
      <c r="C990" t="s">
        <v>18631</v>
      </c>
      <c r="D990" t="s">
        <v>1420</v>
      </c>
      <c r="E990" t="s">
        <v>3813</v>
      </c>
      <c r="G990" t="str">
        <f>"53"</f>
        <v>53</v>
      </c>
      <c r="H990" t="str">
        <f>"18.25"</f>
        <v>18.25</v>
      </c>
      <c r="I990" t="str">
        <f>"87.25"</f>
        <v>87.25</v>
      </c>
      <c r="J990" t="str">
        <f>"336.2"</f>
        <v>336.2</v>
      </c>
      <c r="K990" t="s">
        <v>15013</v>
      </c>
      <c r="N990" t="s">
        <v>1463</v>
      </c>
      <c r="T990" t="s">
        <v>373</v>
      </c>
      <c r="U990" t="s">
        <v>373</v>
      </c>
      <c r="V990" t="s">
        <v>18632</v>
      </c>
      <c r="W990" t="s">
        <v>18633</v>
      </c>
      <c r="X990" t="s">
        <v>18634</v>
      </c>
      <c r="Y990" t="s">
        <v>18635</v>
      </c>
      <c r="Z990" t="s">
        <v>18636</v>
      </c>
      <c r="AA990" t="s">
        <v>18637</v>
      </c>
      <c r="AB990" t="s">
        <v>18638</v>
      </c>
      <c r="AC990" t="s">
        <v>18639</v>
      </c>
      <c r="AD990" t="s">
        <v>18640</v>
      </c>
      <c r="AE990" t="s">
        <v>18641</v>
      </c>
      <c r="AF990" t="s">
        <v>18642</v>
      </c>
      <c r="AG990" t="s">
        <v>18643</v>
      </c>
      <c r="AH990" t="s">
        <v>18644</v>
      </c>
      <c r="AI990" t="s">
        <v>18645</v>
      </c>
      <c r="AJ990" t="s">
        <v>18646</v>
      </c>
      <c r="BA990" t="str">
        <f>"3499"</f>
        <v>3499</v>
      </c>
      <c r="BB990" t="str">
        <f>"1470"</f>
        <v>1470</v>
      </c>
      <c r="BC990" t="s">
        <v>665</v>
      </c>
      <c r="BD990" t="str">
        <f t="shared" si="192"/>
        <v>1</v>
      </c>
      <c r="BE990" t="s">
        <v>6522</v>
      </c>
      <c r="BF990" t="str">
        <f>"59.84"</f>
        <v>59.84</v>
      </c>
      <c r="BG990" t="str">
        <f>"24.02"</f>
        <v>24.02</v>
      </c>
      <c r="BH990" t="str">
        <f>"94.88"</f>
        <v>94.88</v>
      </c>
      <c r="BI990" t="str">
        <f>"402.34"</f>
        <v>402.34</v>
      </c>
      <c r="BY990" t="str">
        <f>"78.93"</f>
        <v>78.93</v>
      </c>
      <c r="BZ990" t="str">
        <f>"2.235"</f>
        <v>2.235</v>
      </c>
      <c r="CA990" t="s">
        <v>495</v>
      </c>
      <c r="CB990" t="s">
        <v>18647</v>
      </c>
      <c r="CC990" t="s">
        <v>1350</v>
      </c>
      <c r="CD990" t="s">
        <v>18648</v>
      </c>
      <c r="CE990" t="s">
        <v>18647</v>
      </c>
      <c r="CF990" t="s">
        <v>3983</v>
      </c>
      <c r="CG990" t="s">
        <v>18648</v>
      </c>
      <c r="CR990" t="s">
        <v>400</v>
      </c>
      <c r="CS990">
        <v>0</v>
      </c>
      <c r="CT990" t="s">
        <v>400</v>
      </c>
      <c r="CV990">
        <v>3</v>
      </c>
      <c r="CW990" t="s">
        <v>402</v>
      </c>
      <c r="CX990" t="s">
        <v>403</v>
      </c>
      <c r="CY990" t="s">
        <v>954</v>
      </c>
      <c r="DA990">
        <v>18.14</v>
      </c>
      <c r="DB990">
        <v>40</v>
      </c>
      <c r="DC990">
        <v>1</v>
      </c>
      <c r="DJ990" t="s">
        <v>982</v>
      </c>
      <c r="DK990" t="s">
        <v>15032</v>
      </c>
      <c r="DX990" t="s">
        <v>3079</v>
      </c>
      <c r="EM990" t="s">
        <v>402</v>
      </c>
      <c r="EN990">
        <v>5</v>
      </c>
      <c r="EZ990" t="s">
        <v>4609</v>
      </c>
      <c r="FA990" t="s">
        <v>956</v>
      </c>
      <c r="FB990" t="s">
        <v>1711</v>
      </c>
      <c r="FC990" t="s">
        <v>8173</v>
      </c>
      <c r="FD990" t="s">
        <v>4614</v>
      </c>
      <c r="FE990" t="s">
        <v>18649</v>
      </c>
      <c r="FG990" t="s">
        <v>402</v>
      </c>
      <c r="FH990" t="s">
        <v>1245</v>
      </c>
      <c r="FI990">
        <v>2</v>
      </c>
      <c r="FJ990" t="s">
        <v>960</v>
      </c>
      <c r="FK990" t="s">
        <v>961</v>
      </c>
      <c r="FM990" t="s">
        <v>402</v>
      </c>
      <c r="FO990" t="s">
        <v>984</v>
      </c>
      <c r="GB990" t="s">
        <v>18647</v>
      </c>
      <c r="GC990" t="s">
        <v>3983</v>
      </c>
      <c r="GD990" t="s">
        <v>18648</v>
      </c>
      <c r="GR990" t="s">
        <v>18647</v>
      </c>
      <c r="GS990" t="s">
        <v>18647</v>
      </c>
      <c r="GT990" t="s">
        <v>3983</v>
      </c>
      <c r="GU990" t="s">
        <v>3983</v>
      </c>
      <c r="GV990" t="s">
        <v>18648</v>
      </c>
      <c r="GW990" t="s">
        <v>18648</v>
      </c>
      <c r="GX990" t="s">
        <v>392</v>
      </c>
      <c r="HI990" t="s">
        <v>402</v>
      </c>
      <c r="JY990" t="s">
        <v>18650</v>
      </c>
      <c r="JZ990" t="s">
        <v>9106</v>
      </c>
      <c r="KA990" t="s">
        <v>16299</v>
      </c>
    </row>
    <row r="991" spans="1:303" x14ac:dyDescent="0.25">
      <c r="A991" t="s">
        <v>18651</v>
      </c>
      <c r="B991" t="str">
        <f>"198394025607"</f>
        <v>198394025607</v>
      </c>
      <c r="C991" t="s">
        <v>18652</v>
      </c>
      <c r="D991" t="s">
        <v>1420</v>
      </c>
      <c r="E991" t="s">
        <v>3813</v>
      </c>
      <c r="G991" t="str">
        <f>"53"</f>
        <v>53</v>
      </c>
      <c r="H991" t="str">
        <f>"18.25"</f>
        <v>18.25</v>
      </c>
      <c r="I991" t="str">
        <f>"87.25"</f>
        <v>87.25</v>
      </c>
      <c r="J991" t="str">
        <f>"336.2"</f>
        <v>336.2</v>
      </c>
      <c r="K991" t="s">
        <v>4099</v>
      </c>
      <c r="N991" t="s">
        <v>1463</v>
      </c>
      <c r="T991" t="s">
        <v>373</v>
      </c>
      <c r="U991" t="s">
        <v>373</v>
      </c>
      <c r="V991" t="s">
        <v>18653</v>
      </c>
      <c r="W991" t="s">
        <v>18654</v>
      </c>
      <c r="X991" t="s">
        <v>18655</v>
      </c>
      <c r="Y991" t="s">
        <v>18656</v>
      </c>
      <c r="Z991" t="s">
        <v>18657</v>
      </c>
      <c r="AA991" t="s">
        <v>18658</v>
      </c>
      <c r="AB991" t="s">
        <v>18659</v>
      </c>
      <c r="AC991" t="s">
        <v>18660</v>
      </c>
      <c r="AD991" t="s">
        <v>18661</v>
      </c>
      <c r="AE991" t="s">
        <v>18662</v>
      </c>
      <c r="AF991" t="s">
        <v>18663</v>
      </c>
      <c r="AG991" t="s">
        <v>18664</v>
      </c>
      <c r="AH991" t="s">
        <v>18665</v>
      </c>
      <c r="AI991" t="s">
        <v>18666</v>
      </c>
      <c r="AJ991" t="s">
        <v>18667</v>
      </c>
      <c r="BA991" t="str">
        <f>"3499"</f>
        <v>3499</v>
      </c>
      <c r="BB991" t="str">
        <f>"1470"</f>
        <v>1470</v>
      </c>
      <c r="BC991" t="s">
        <v>665</v>
      </c>
      <c r="BD991" t="str">
        <f t="shared" si="192"/>
        <v>1</v>
      </c>
      <c r="BE991" t="s">
        <v>6522</v>
      </c>
      <c r="BF991" t="str">
        <f>"59.84"</f>
        <v>59.84</v>
      </c>
      <c r="BG991" t="str">
        <f>"24.02"</f>
        <v>24.02</v>
      </c>
      <c r="BH991" t="str">
        <f>"94.88"</f>
        <v>94.88</v>
      </c>
      <c r="BI991" t="str">
        <f>"402.34"</f>
        <v>402.34</v>
      </c>
      <c r="BY991" t="str">
        <f>"78.93"</f>
        <v>78.93</v>
      </c>
      <c r="BZ991" t="str">
        <f>"2.235"</f>
        <v>2.235</v>
      </c>
      <c r="CA991" t="s">
        <v>495</v>
      </c>
      <c r="CB991" t="s">
        <v>18647</v>
      </c>
      <c r="CC991" t="s">
        <v>1350</v>
      </c>
      <c r="CD991" t="s">
        <v>18648</v>
      </c>
      <c r="CE991" t="s">
        <v>18647</v>
      </c>
      <c r="CF991" t="s">
        <v>3983</v>
      </c>
      <c r="CG991" t="s">
        <v>18648</v>
      </c>
      <c r="CR991" t="s">
        <v>400</v>
      </c>
      <c r="CS991">
        <v>0</v>
      </c>
      <c r="CT991" t="s">
        <v>400</v>
      </c>
      <c r="CV991">
        <v>3</v>
      </c>
      <c r="CW991" t="s">
        <v>402</v>
      </c>
      <c r="CX991" t="s">
        <v>403</v>
      </c>
      <c r="CY991" t="s">
        <v>954</v>
      </c>
      <c r="DA991">
        <v>18.14</v>
      </c>
      <c r="DB991">
        <v>40</v>
      </c>
      <c r="DC991">
        <v>1</v>
      </c>
      <c r="DJ991" t="s">
        <v>982</v>
      </c>
      <c r="DK991" t="s">
        <v>15032</v>
      </c>
      <c r="DX991" t="s">
        <v>3079</v>
      </c>
      <c r="EM991" t="s">
        <v>402</v>
      </c>
      <c r="EN991">
        <v>5</v>
      </c>
      <c r="EZ991" t="s">
        <v>4609</v>
      </c>
      <c r="FA991" t="s">
        <v>956</v>
      </c>
      <c r="FB991" t="s">
        <v>1711</v>
      </c>
      <c r="FC991" t="s">
        <v>8173</v>
      </c>
      <c r="FD991" t="s">
        <v>4614</v>
      </c>
      <c r="FE991" t="s">
        <v>18649</v>
      </c>
      <c r="FG991" t="s">
        <v>402</v>
      </c>
      <c r="FH991" t="s">
        <v>1245</v>
      </c>
      <c r="FI991">
        <v>2</v>
      </c>
      <c r="FJ991" t="s">
        <v>960</v>
      </c>
      <c r="FK991" t="s">
        <v>961</v>
      </c>
      <c r="FM991" t="s">
        <v>402</v>
      </c>
      <c r="FO991" t="s">
        <v>984</v>
      </c>
      <c r="GB991" t="s">
        <v>18647</v>
      </c>
      <c r="GC991" t="s">
        <v>3983</v>
      </c>
      <c r="GD991" t="s">
        <v>18648</v>
      </c>
      <c r="GR991" t="s">
        <v>18647</v>
      </c>
      <c r="GS991" t="s">
        <v>18647</v>
      </c>
      <c r="GT991" t="s">
        <v>3983</v>
      </c>
      <c r="GU991" t="s">
        <v>3983</v>
      </c>
      <c r="GV991" t="s">
        <v>18648</v>
      </c>
      <c r="GW991" t="s">
        <v>18648</v>
      </c>
      <c r="GX991" t="s">
        <v>392</v>
      </c>
      <c r="HI991" t="s">
        <v>402</v>
      </c>
      <c r="JY991" t="s">
        <v>18650</v>
      </c>
      <c r="JZ991" t="s">
        <v>9106</v>
      </c>
      <c r="KA991" t="s">
        <v>16299</v>
      </c>
    </row>
    <row r="992" spans="1:303" x14ac:dyDescent="0.25">
      <c r="A992" t="s">
        <v>18668</v>
      </c>
      <c r="B992" t="str">
        <f>"198394052641"</f>
        <v>198394052641</v>
      </c>
      <c r="C992" t="s">
        <v>18669</v>
      </c>
      <c r="D992" t="s">
        <v>1276</v>
      </c>
      <c r="E992" t="s">
        <v>1021</v>
      </c>
      <c r="G992" t="str">
        <f>"78"</f>
        <v>78</v>
      </c>
      <c r="H992" t="str">
        <f>"20"</f>
        <v>20</v>
      </c>
      <c r="I992" t="str">
        <f>"28"</f>
        <v>28</v>
      </c>
      <c r="J992" t="str">
        <f>"184.08"</f>
        <v>184.08</v>
      </c>
      <c r="K992" t="s">
        <v>1462</v>
      </c>
      <c r="N992" t="s">
        <v>1970</v>
      </c>
      <c r="O992" t="s">
        <v>372</v>
      </c>
      <c r="T992" t="s">
        <v>373</v>
      </c>
      <c r="U992" t="s">
        <v>373</v>
      </c>
      <c r="V992" t="s">
        <v>18670</v>
      </c>
      <c r="W992" t="s">
        <v>18671</v>
      </c>
      <c r="X992" t="s">
        <v>18672</v>
      </c>
      <c r="Y992" t="s">
        <v>18673</v>
      </c>
      <c r="Z992" t="s">
        <v>18674</v>
      </c>
      <c r="AA992" t="s">
        <v>18675</v>
      </c>
      <c r="AB992" t="s">
        <v>18676</v>
      </c>
      <c r="AC992" t="s">
        <v>18677</v>
      </c>
      <c r="AD992" t="s">
        <v>18678</v>
      </c>
      <c r="AE992" t="s">
        <v>18679</v>
      </c>
      <c r="AF992" t="s">
        <v>18680</v>
      </c>
      <c r="AG992" t="s">
        <v>18681</v>
      </c>
      <c r="AH992" t="s">
        <v>18682</v>
      </c>
      <c r="AI992" t="s">
        <v>18683</v>
      </c>
      <c r="AJ992" t="s">
        <v>18684</v>
      </c>
      <c r="AK992" t="s">
        <v>18685</v>
      </c>
      <c r="AL992" t="s">
        <v>18686</v>
      </c>
      <c r="BA992" t="str">
        <f>"2199"</f>
        <v>2199</v>
      </c>
      <c r="BB992" t="str">
        <f>"925"</f>
        <v>925</v>
      </c>
      <c r="BC992" t="s">
        <v>665</v>
      </c>
      <c r="BD992" t="str">
        <f t="shared" si="192"/>
        <v>1</v>
      </c>
      <c r="BE992" t="s">
        <v>389</v>
      </c>
      <c r="BF992" t="str">
        <f>"81.89"</f>
        <v>81.89</v>
      </c>
      <c r="BG992" t="str">
        <f>"24.41"</f>
        <v>24.41</v>
      </c>
      <c r="BH992" t="str">
        <f>"35.63"</f>
        <v>35.63</v>
      </c>
      <c r="BI992" t="str">
        <f>"250.22"</f>
        <v>250.22</v>
      </c>
      <c r="BY992" t="str">
        <f>"41.21"</f>
        <v>41.21</v>
      </c>
      <c r="BZ992" t="str">
        <f>"1.167"</f>
        <v>1.167</v>
      </c>
      <c r="CA992" t="s">
        <v>431</v>
      </c>
      <c r="CE992" t="s">
        <v>6910</v>
      </c>
      <c r="CF992" t="s">
        <v>396</v>
      </c>
      <c r="CG992" t="s">
        <v>7817</v>
      </c>
      <c r="CR992" t="s">
        <v>400</v>
      </c>
      <c r="CS992">
        <v>0</v>
      </c>
      <c r="CT992" t="s">
        <v>400</v>
      </c>
      <c r="CV992">
        <v>0</v>
      </c>
      <c r="CX992" t="s">
        <v>953</v>
      </c>
      <c r="CY992" t="s">
        <v>954</v>
      </c>
      <c r="DA992">
        <v>18.14</v>
      </c>
      <c r="DB992">
        <v>40</v>
      </c>
      <c r="DC992">
        <v>2</v>
      </c>
      <c r="DK992" t="s">
        <v>18687</v>
      </c>
      <c r="DX992" t="s">
        <v>3079</v>
      </c>
      <c r="EM992" t="s">
        <v>402</v>
      </c>
      <c r="EN992">
        <v>2</v>
      </c>
      <c r="EZ992" t="s">
        <v>602</v>
      </c>
      <c r="FA992" t="s">
        <v>3518</v>
      </c>
      <c r="FB992" t="s">
        <v>18688</v>
      </c>
      <c r="FC992" t="s">
        <v>6910</v>
      </c>
      <c r="FD992" t="s">
        <v>4614</v>
      </c>
      <c r="FE992" t="s">
        <v>7817</v>
      </c>
      <c r="FG992" t="s">
        <v>402</v>
      </c>
      <c r="FH992" t="s">
        <v>6663</v>
      </c>
      <c r="FI992">
        <v>4</v>
      </c>
      <c r="FJ992" t="s">
        <v>960</v>
      </c>
      <c r="FK992" t="s">
        <v>961</v>
      </c>
      <c r="FM992" t="s">
        <v>402</v>
      </c>
      <c r="FO992" t="s">
        <v>984</v>
      </c>
      <c r="GB992" t="s">
        <v>6910</v>
      </c>
      <c r="GC992" t="s">
        <v>396</v>
      </c>
      <c r="GD992" t="s">
        <v>7817</v>
      </c>
      <c r="GE992">
        <v>0</v>
      </c>
      <c r="GX992" t="s">
        <v>392</v>
      </c>
      <c r="HI992" t="s">
        <v>402</v>
      </c>
    </row>
    <row r="993" spans="1:346" x14ac:dyDescent="0.25">
      <c r="A993" t="s">
        <v>18689</v>
      </c>
      <c r="B993" t="str">
        <f>"198394028615"</f>
        <v>198394028615</v>
      </c>
      <c r="C993" t="s">
        <v>18690</v>
      </c>
      <c r="D993" t="s">
        <v>769</v>
      </c>
      <c r="E993" t="s">
        <v>2388</v>
      </c>
      <c r="G993" t="str">
        <f>"22.5"</f>
        <v>22.5</v>
      </c>
      <c r="H993" t="str">
        <f>"20.5"</f>
        <v>20.5</v>
      </c>
      <c r="I993" t="str">
        <f>"20.25"</f>
        <v>20.25</v>
      </c>
      <c r="J993" t="str">
        <f>"31.31"</f>
        <v>31.31</v>
      </c>
      <c r="K993" t="s">
        <v>9199</v>
      </c>
      <c r="L993" t="s">
        <v>585</v>
      </c>
      <c r="N993" t="s">
        <v>371</v>
      </c>
      <c r="O993" t="s">
        <v>775</v>
      </c>
      <c r="T993" t="s">
        <v>373</v>
      </c>
      <c r="U993" t="s">
        <v>373</v>
      </c>
      <c r="V993" t="s">
        <v>18691</v>
      </c>
      <c r="W993" t="s">
        <v>18692</v>
      </c>
      <c r="X993" t="s">
        <v>18693</v>
      </c>
      <c r="Y993" t="s">
        <v>18694</v>
      </c>
      <c r="Z993" t="s">
        <v>18695</v>
      </c>
      <c r="AA993" t="s">
        <v>18696</v>
      </c>
      <c r="AB993" t="s">
        <v>18697</v>
      </c>
      <c r="AC993" t="s">
        <v>18698</v>
      </c>
      <c r="AD993" t="s">
        <v>18699</v>
      </c>
      <c r="AE993" t="s">
        <v>18700</v>
      </c>
      <c r="BA993" t="str">
        <f>"649"</f>
        <v>649</v>
      </c>
      <c r="BB993" t="str">
        <f>"275"</f>
        <v>275</v>
      </c>
      <c r="BC993" t="s">
        <v>388</v>
      </c>
      <c r="BD993" t="str">
        <f t="shared" si="192"/>
        <v>1</v>
      </c>
      <c r="BE993" t="s">
        <v>389</v>
      </c>
      <c r="BF993" t="str">
        <f>"24.02"</f>
        <v>24.02</v>
      </c>
      <c r="BG993" t="str">
        <f>"22.44"</f>
        <v>22.44</v>
      </c>
      <c r="BH993" t="str">
        <f>"22.83"</f>
        <v>22.83</v>
      </c>
      <c r="BI993" t="str">
        <f>"41.23"</f>
        <v>41.23</v>
      </c>
      <c r="BY993" t="str">
        <f>"7.13"</f>
        <v>7.13</v>
      </c>
      <c r="BZ993" t="str">
        <f>"0.202"</f>
        <v>0.202</v>
      </c>
      <c r="CA993" t="s">
        <v>431</v>
      </c>
      <c r="CK993" t="s">
        <v>435</v>
      </c>
      <c r="CL993" t="s">
        <v>15073</v>
      </c>
      <c r="CM993" t="s">
        <v>856</v>
      </c>
      <c r="CN993">
        <v>0</v>
      </c>
      <c r="CO993">
        <v>0</v>
      </c>
      <c r="CP993" t="s">
        <v>398</v>
      </c>
      <c r="CQ993" t="s">
        <v>399</v>
      </c>
      <c r="CR993" t="s">
        <v>400</v>
      </c>
      <c r="CS993">
        <v>0</v>
      </c>
      <c r="CT993" t="s">
        <v>400</v>
      </c>
      <c r="CV993">
        <v>0</v>
      </c>
      <c r="CX993" t="s">
        <v>403</v>
      </c>
      <c r="CY993" t="s">
        <v>400</v>
      </c>
      <c r="CZ993">
        <v>0</v>
      </c>
      <c r="DA993">
        <v>0</v>
      </c>
      <c r="DB993">
        <v>0</v>
      </c>
      <c r="DC993">
        <v>0</v>
      </c>
      <c r="DD993">
        <v>100000</v>
      </c>
      <c r="DE993" t="s">
        <v>439</v>
      </c>
      <c r="DH993">
        <v>0</v>
      </c>
      <c r="DI993">
        <v>1</v>
      </c>
      <c r="DJ993" t="s">
        <v>1437</v>
      </c>
      <c r="DK993" t="s">
        <v>16785</v>
      </c>
      <c r="DL993">
        <v>0</v>
      </c>
      <c r="DM993" t="s">
        <v>538</v>
      </c>
      <c r="DX993" t="s">
        <v>448</v>
      </c>
      <c r="DZ993" t="s">
        <v>4976</v>
      </c>
      <c r="EG993" t="s">
        <v>1513</v>
      </c>
    </row>
    <row r="994" spans="1:346" x14ac:dyDescent="0.25">
      <c r="A994" t="s">
        <v>18701</v>
      </c>
      <c r="B994" t="str">
        <f>"198394076180"</f>
        <v>198394076180</v>
      </c>
      <c r="C994" t="s">
        <v>18702</v>
      </c>
      <c r="D994" t="s">
        <v>6787</v>
      </c>
      <c r="E994" t="s">
        <v>2006</v>
      </c>
      <c r="F994" t="s">
        <v>2007</v>
      </c>
      <c r="G994" t="str">
        <f>"70.5"</f>
        <v>70.5</v>
      </c>
      <c r="H994" t="str">
        <f>"88.5"</f>
        <v>88.5</v>
      </c>
      <c r="I994" t="str">
        <f>"48.5"</f>
        <v>48.5</v>
      </c>
      <c r="J994" t="str">
        <f>"233.69"</f>
        <v>233.69</v>
      </c>
      <c r="K994" t="s">
        <v>15703</v>
      </c>
      <c r="L994" t="s">
        <v>1323</v>
      </c>
      <c r="N994" t="s">
        <v>1534</v>
      </c>
      <c r="O994" t="s">
        <v>12436</v>
      </c>
      <c r="P994" t="s">
        <v>1463</v>
      </c>
      <c r="T994" t="s">
        <v>373</v>
      </c>
      <c r="U994" t="s">
        <v>373</v>
      </c>
      <c r="V994" t="s">
        <v>18703</v>
      </c>
      <c r="W994" t="s">
        <v>18704</v>
      </c>
      <c r="X994" t="s">
        <v>18705</v>
      </c>
      <c r="Y994" t="s">
        <v>18706</v>
      </c>
      <c r="Z994" t="s">
        <v>18707</v>
      </c>
      <c r="AA994" t="s">
        <v>18708</v>
      </c>
      <c r="AB994" t="s">
        <v>18709</v>
      </c>
      <c r="AC994" t="s">
        <v>18710</v>
      </c>
      <c r="AD994" t="s">
        <v>18711</v>
      </c>
      <c r="AE994" t="s">
        <v>18712</v>
      </c>
      <c r="AF994" t="s">
        <v>18713</v>
      </c>
      <c r="AG994" t="s">
        <v>18714</v>
      </c>
      <c r="AH994" t="s">
        <v>18715</v>
      </c>
      <c r="BA994" t="str">
        <f>"2399"</f>
        <v>2399</v>
      </c>
      <c r="BB994" t="str">
        <f>"1010"</f>
        <v>1010</v>
      </c>
      <c r="BC994" t="s">
        <v>665</v>
      </c>
      <c r="BD994" t="str">
        <f>"2"</f>
        <v>2</v>
      </c>
      <c r="BE994" t="s">
        <v>2026</v>
      </c>
      <c r="BF994" t="str">
        <f>"86.42"</f>
        <v>86.42</v>
      </c>
      <c r="BG994" t="str">
        <f>"12.4"</f>
        <v>12.4</v>
      </c>
      <c r="BH994" t="str">
        <f>"17.72"</f>
        <v>17.72</v>
      </c>
      <c r="BI994" t="str">
        <f>"127.87"</f>
        <v>127.87</v>
      </c>
      <c r="BJ994" t="s">
        <v>18716</v>
      </c>
      <c r="BK994" t="str">
        <f>"76.57"</f>
        <v>76.57</v>
      </c>
      <c r="BL994" t="str">
        <f>"16.54"</f>
        <v>16.54</v>
      </c>
      <c r="BM994" t="str">
        <f>"51.97"</f>
        <v>51.97</v>
      </c>
      <c r="BN994" t="str">
        <f>"145.51"</f>
        <v>145.51</v>
      </c>
      <c r="BY994" t="str">
        <f>"49.05"</f>
        <v>49.05</v>
      </c>
      <c r="BZ994" t="str">
        <f>"1.389"</f>
        <v>1.389</v>
      </c>
      <c r="CA994" t="s">
        <v>495</v>
      </c>
      <c r="CQ994" t="s">
        <v>1152</v>
      </c>
      <c r="CR994" t="s">
        <v>400</v>
      </c>
      <c r="CS994">
        <v>0</v>
      </c>
      <c r="CT994" t="s">
        <v>400</v>
      </c>
      <c r="CV994">
        <v>0</v>
      </c>
      <c r="CX994" t="s">
        <v>16475</v>
      </c>
      <c r="CY994" t="s">
        <v>400</v>
      </c>
      <c r="DA994">
        <v>0</v>
      </c>
      <c r="DB994">
        <v>0</v>
      </c>
      <c r="DC994">
        <v>0</v>
      </c>
      <c r="DD994">
        <v>15000</v>
      </c>
      <c r="DK994" t="s">
        <v>18717</v>
      </c>
      <c r="DM994" t="s">
        <v>2028</v>
      </c>
      <c r="EG994" t="s">
        <v>749</v>
      </c>
      <c r="EN994">
        <v>0</v>
      </c>
      <c r="HQ994" t="s">
        <v>17653</v>
      </c>
      <c r="HR994" t="s">
        <v>8925</v>
      </c>
      <c r="HS994" t="s">
        <v>18718</v>
      </c>
      <c r="HT994" t="s">
        <v>18719</v>
      </c>
      <c r="HU994" t="s">
        <v>1013</v>
      </c>
      <c r="HV994" t="s">
        <v>18720</v>
      </c>
      <c r="HW994" t="s">
        <v>2171</v>
      </c>
      <c r="HX994" t="s">
        <v>7699</v>
      </c>
      <c r="HY994" t="s">
        <v>3273</v>
      </c>
      <c r="HZ994" t="s">
        <v>17653</v>
      </c>
      <c r="IA994" t="s">
        <v>12910</v>
      </c>
      <c r="IB994" t="s">
        <v>8153</v>
      </c>
      <c r="IC994" t="s">
        <v>402</v>
      </c>
      <c r="ID994" t="s">
        <v>2036</v>
      </c>
      <c r="IE994" t="s">
        <v>2037</v>
      </c>
      <c r="IF994" t="s">
        <v>2177</v>
      </c>
      <c r="IG994" t="s">
        <v>2007</v>
      </c>
      <c r="IM994" t="s">
        <v>675</v>
      </c>
      <c r="IP994" t="s">
        <v>402</v>
      </c>
      <c r="IQ994" t="s">
        <v>3522</v>
      </c>
      <c r="IT994" t="s">
        <v>16481</v>
      </c>
      <c r="IU994" t="s">
        <v>17031</v>
      </c>
    </row>
    <row r="995" spans="1:346" x14ac:dyDescent="0.25">
      <c r="A995" t="s">
        <v>18721</v>
      </c>
      <c r="B995" t="str">
        <f>"198394076173"</f>
        <v>198394076173</v>
      </c>
      <c r="C995" t="s">
        <v>18702</v>
      </c>
      <c r="D995" t="s">
        <v>6787</v>
      </c>
      <c r="E995" t="s">
        <v>2006</v>
      </c>
      <c r="F995" t="s">
        <v>2040</v>
      </c>
      <c r="G995" t="str">
        <f>"86.5"</f>
        <v>86.5</v>
      </c>
      <c r="H995" t="str">
        <f>"88.5"</f>
        <v>88.5</v>
      </c>
      <c r="I995" t="str">
        <f>"48.5"</f>
        <v>48.5</v>
      </c>
      <c r="J995" t="str">
        <f>"255.73"</f>
        <v>255.73</v>
      </c>
      <c r="K995" t="s">
        <v>15703</v>
      </c>
      <c r="L995" t="s">
        <v>1323</v>
      </c>
      <c r="N995" t="s">
        <v>1534</v>
      </c>
      <c r="O995" t="s">
        <v>12436</v>
      </c>
      <c r="P995" t="s">
        <v>1463</v>
      </c>
      <c r="T995" t="s">
        <v>373</v>
      </c>
      <c r="U995" t="s">
        <v>373</v>
      </c>
      <c r="V995" t="s">
        <v>18703</v>
      </c>
      <c r="W995" t="s">
        <v>18704</v>
      </c>
      <c r="X995" t="s">
        <v>18705</v>
      </c>
      <c r="Y995" t="s">
        <v>18706</v>
      </c>
      <c r="Z995" t="s">
        <v>18707</v>
      </c>
      <c r="AA995" t="s">
        <v>18708</v>
      </c>
      <c r="AB995" t="s">
        <v>18709</v>
      </c>
      <c r="AC995" t="s">
        <v>18710</v>
      </c>
      <c r="AD995" t="s">
        <v>18711</v>
      </c>
      <c r="AE995" t="s">
        <v>18712</v>
      </c>
      <c r="AF995" t="s">
        <v>18713</v>
      </c>
      <c r="AG995" t="s">
        <v>18714</v>
      </c>
      <c r="AH995" t="s">
        <v>18715</v>
      </c>
      <c r="BA995" t="str">
        <f>"2699"</f>
        <v>2699</v>
      </c>
      <c r="BB995" t="str">
        <f>"1135"</f>
        <v>1135</v>
      </c>
      <c r="BC995" t="s">
        <v>665</v>
      </c>
      <c r="BD995" t="str">
        <f>"2"</f>
        <v>2</v>
      </c>
      <c r="BE995" t="s">
        <v>2026</v>
      </c>
      <c r="BF995" t="str">
        <f>"88.39"</f>
        <v>88.39</v>
      </c>
      <c r="BG995" t="str">
        <f>"12.6"</f>
        <v>12.6</v>
      </c>
      <c r="BH995" t="str">
        <f>"17.91"</f>
        <v>17.91</v>
      </c>
      <c r="BI995" t="str">
        <f>"136.69"</f>
        <v>136.69</v>
      </c>
      <c r="BJ995" t="s">
        <v>18716</v>
      </c>
      <c r="BK995" t="str">
        <f>"91.93"</f>
        <v>91.93</v>
      </c>
      <c r="BL995" t="str">
        <f>"15.55"</f>
        <v>15.55</v>
      </c>
      <c r="BM995" t="str">
        <f>"52.56"</f>
        <v>52.56</v>
      </c>
      <c r="BN995" t="str">
        <f>"170.86"</f>
        <v>170.86</v>
      </c>
      <c r="BY995" t="str">
        <f>"55.02"</f>
        <v>55.02</v>
      </c>
      <c r="BZ995" t="str">
        <f>"1.558"</f>
        <v>1.558</v>
      </c>
      <c r="CA995" t="s">
        <v>495</v>
      </c>
      <c r="CQ995" t="s">
        <v>1152</v>
      </c>
      <c r="CR995" t="s">
        <v>400</v>
      </c>
      <c r="CS995">
        <v>0</v>
      </c>
      <c r="CT995" t="s">
        <v>400</v>
      </c>
      <c r="CV995">
        <v>0</v>
      </c>
      <c r="CX995" t="s">
        <v>16475</v>
      </c>
      <c r="CY995" t="s">
        <v>400</v>
      </c>
      <c r="DA995">
        <v>0</v>
      </c>
      <c r="DB995">
        <v>0</v>
      </c>
      <c r="DC995">
        <v>0</v>
      </c>
      <c r="DD995">
        <v>15000</v>
      </c>
      <c r="DK995" t="s">
        <v>18717</v>
      </c>
      <c r="DM995" t="s">
        <v>2028</v>
      </c>
      <c r="EG995" t="s">
        <v>749</v>
      </c>
      <c r="EN995">
        <v>0</v>
      </c>
      <c r="HQ995" t="s">
        <v>17653</v>
      </c>
      <c r="HR995" t="s">
        <v>8925</v>
      </c>
      <c r="HS995" t="s">
        <v>18722</v>
      </c>
      <c r="HT995" t="s">
        <v>18719</v>
      </c>
      <c r="HU995" t="s">
        <v>1013</v>
      </c>
      <c r="HV995" t="s">
        <v>8041</v>
      </c>
      <c r="HW995" t="s">
        <v>2171</v>
      </c>
      <c r="HX995" t="s">
        <v>7699</v>
      </c>
      <c r="HY995" t="s">
        <v>3255</v>
      </c>
      <c r="HZ995" t="s">
        <v>17653</v>
      </c>
      <c r="IA995" t="s">
        <v>12910</v>
      </c>
      <c r="IB995" t="s">
        <v>8153</v>
      </c>
      <c r="IC995" t="s">
        <v>402</v>
      </c>
      <c r="ID995" t="s">
        <v>2036</v>
      </c>
      <c r="IE995" t="s">
        <v>2037</v>
      </c>
      <c r="IF995" t="s">
        <v>2177</v>
      </c>
      <c r="IG995" t="s">
        <v>2040</v>
      </c>
      <c r="IM995" t="s">
        <v>675</v>
      </c>
      <c r="IP995" t="s">
        <v>402</v>
      </c>
      <c r="IQ995" t="s">
        <v>3522</v>
      </c>
      <c r="IT995" t="s">
        <v>16481</v>
      </c>
      <c r="IU995" t="s">
        <v>17034</v>
      </c>
    </row>
    <row r="996" spans="1:346" x14ac:dyDescent="0.25">
      <c r="A996" t="s">
        <v>18723</v>
      </c>
      <c r="B996" t="str">
        <f>"198394050807"</f>
        <v>198394050807</v>
      </c>
      <c r="C996" t="s">
        <v>18724</v>
      </c>
      <c r="D996" t="s">
        <v>1276</v>
      </c>
      <c r="E996" t="s">
        <v>988</v>
      </c>
      <c r="G996" t="str">
        <f>"69"</f>
        <v>69</v>
      </c>
      <c r="H996" t="str">
        <f>"20.5"</f>
        <v>20.5</v>
      </c>
      <c r="I996" t="str">
        <f>"31"</f>
        <v>31</v>
      </c>
      <c r="J996" t="str">
        <f>"242.51"</f>
        <v>242.51</v>
      </c>
      <c r="K996" t="s">
        <v>584</v>
      </c>
      <c r="L996" t="s">
        <v>18725</v>
      </c>
      <c r="N996" t="s">
        <v>416</v>
      </c>
      <c r="O996" t="s">
        <v>372</v>
      </c>
      <c r="T996" t="s">
        <v>373</v>
      </c>
      <c r="U996" t="s">
        <v>373</v>
      </c>
      <c r="V996" t="s">
        <v>18726</v>
      </c>
      <c r="W996" t="s">
        <v>18727</v>
      </c>
      <c r="X996" t="s">
        <v>18728</v>
      </c>
      <c r="Y996" t="s">
        <v>18729</v>
      </c>
      <c r="Z996" t="s">
        <v>18730</v>
      </c>
      <c r="AA996" t="s">
        <v>18731</v>
      </c>
      <c r="AB996" t="s">
        <v>18732</v>
      </c>
      <c r="AC996" t="s">
        <v>18733</v>
      </c>
      <c r="AD996" t="s">
        <v>18734</v>
      </c>
      <c r="AE996" t="s">
        <v>18735</v>
      </c>
      <c r="AF996" t="s">
        <v>18736</v>
      </c>
      <c r="AG996" t="s">
        <v>18737</v>
      </c>
      <c r="AH996" t="s">
        <v>18738</v>
      </c>
      <c r="AI996" t="s">
        <v>18739</v>
      </c>
      <c r="AJ996" t="s">
        <v>18740</v>
      </c>
      <c r="AK996" t="s">
        <v>18741</v>
      </c>
      <c r="BA996" t="str">
        <f>"2599"</f>
        <v>2599</v>
      </c>
      <c r="BB996" t="str">
        <f>"1095"</f>
        <v>1095</v>
      </c>
      <c r="BC996" t="s">
        <v>665</v>
      </c>
      <c r="BD996" t="str">
        <f>"1"</f>
        <v>1</v>
      </c>
      <c r="BE996" t="s">
        <v>389</v>
      </c>
      <c r="BF996" t="str">
        <f>"74.41"</f>
        <v>74.41</v>
      </c>
      <c r="BG996" t="str">
        <f>"25.79"</f>
        <v>25.79</v>
      </c>
      <c r="BH996" t="str">
        <f>"37.01"</f>
        <v>37.01</v>
      </c>
      <c r="BI996" t="str">
        <f>"289.91"</f>
        <v>289.91</v>
      </c>
      <c r="BY996" t="str">
        <f>"41.11"</f>
        <v>41.11</v>
      </c>
      <c r="BZ996" t="str">
        <f>"1.164"</f>
        <v>1.164</v>
      </c>
      <c r="CA996" t="s">
        <v>495</v>
      </c>
      <c r="CQ996" t="s">
        <v>438</v>
      </c>
      <c r="CR996" t="s">
        <v>5068</v>
      </c>
      <c r="CS996">
        <v>6</v>
      </c>
      <c r="CT996" t="s">
        <v>400</v>
      </c>
      <c r="CV996">
        <v>0</v>
      </c>
      <c r="CX996" t="s">
        <v>953</v>
      </c>
      <c r="CY996" t="s">
        <v>1009</v>
      </c>
      <c r="DC996">
        <v>0</v>
      </c>
      <c r="DD996">
        <v>0</v>
      </c>
      <c r="DJ996" t="s">
        <v>1010</v>
      </c>
      <c r="DK996" t="s">
        <v>18742</v>
      </c>
      <c r="DM996" t="s">
        <v>473</v>
      </c>
      <c r="DX996" t="s">
        <v>446</v>
      </c>
      <c r="EM996" t="s">
        <v>402</v>
      </c>
      <c r="EN996">
        <v>0</v>
      </c>
      <c r="FI996">
        <v>0</v>
      </c>
      <c r="FJ996" t="s">
        <v>1012</v>
      </c>
      <c r="FP996" t="s">
        <v>402</v>
      </c>
      <c r="FR996" t="s">
        <v>8173</v>
      </c>
      <c r="FT996" t="s">
        <v>18743</v>
      </c>
      <c r="FV996" t="s">
        <v>18744</v>
      </c>
      <c r="FX996" t="s">
        <v>4210</v>
      </c>
      <c r="FZ996" t="s">
        <v>953</v>
      </c>
    </row>
    <row r="997" spans="1:346" x14ac:dyDescent="0.25">
      <c r="A997" t="s">
        <v>18745</v>
      </c>
      <c r="B997" t="str">
        <f>"198394050814"</f>
        <v>198394050814</v>
      </c>
      <c r="C997" t="s">
        <v>18746</v>
      </c>
      <c r="D997" t="s">
        <v>1276</v>
      </c>
      <c r="E997" t="s">
        <v>1043</v>
      </c>
      <c r="G997" t="str">
        <f>"28"</f>
        <v>28</v>
      </c>
      <c r="H997" t="str">
        <f>"19.5"</f>
        <v>19.5</v>
      </c>
      <c r="I997" t="str">
        <f>"23"</f>
        <v>23</v>
      </c>
      <c r="J997" t="str">
        <f>"78.26"</f>
        <v>78.26</v>
      </c>
      <c r="K997" t="s">
        <v>18747</v>
      </c>
      <c r="L997" t="s">
        <v>584</v>
      </c>
      <c r="N997" t="s">
        <v>1463</v>
      </c>
      <c r="O997" t="s">
        <v>416</v>
      </c>
      <c r="P997" t="s">
        <v>372</v>
      </c>
      <c r="T997" t="s">
        <v>373</v>
      </c>
      <c r="U997" t="s">
        <v>373</v>
      </c>
      <c r="V997" t="s">
        <v>18748</v>
      </c>
      <c r="W997" t="s">
        <v>18749</v>
      </c>
      <c r="X997" t="s">
        <v>18750</v>
      </c>
      <c r="Y997" t="s">
        <v>18751</v>
      </c>
      <c r="Z997" t="s">
        <v>18752</v>
      </c>
      <c r="AA997" t="s">
        <v>18753</v>
      </c>
      <c r="AB997" t="s">
        <v>18754</v>
      </c>
      <c r="AC997" t="s">
        <v>18755</v>
      </c>
      <c r="AD997" t="s">
        <v>18756</v>
      </c>
      <c r="AE997" t="s">
        <v>18757</v>
      </c>
      <c r="AF997" t="s">
        <v>18758</v>
      </c>
      <c r="AG997" t="s">
        <v>18759</v>
      </c>
      <c r="AH997" t="s">
        <v>18760</v>
      </c>
      <c r="AI997" t="s">
        <v>18761</v>
      </c>
      <c r="AJ997" t="s">
        <v>18762</v>
      </c>
      <c r="BA997" t="str">
        <f>"899"</f>
        <v>899</v>
      </c>
      <c r="BB997" t="str">
        <f>"380"</f>
        <v>380</v>
      </c>
      <c r="BC997" t="s">
        <v>665</v>
      </c>
      <c r="BD997" t="str">
        <f>"1"</f>
        <v>1</v>
      </c>
      <c r="BE997" t="s">
        <v>389</v>
      </c>
      <c r="BF997" t="str">
        <f>"31.69"</f>
        <v>31.69</v>
      </c>
      <c r="BG997" t="str">
        <f>"23.23"</f>
        <v>23.23</v>
      </c>
      <c r="BH997" t="str">
        <f>"28.74"</f>
        <v>28.74</v>
      </c>
      <c r="BI997" t="str">
        <f>"100.31"</f>
        <v>100.31</v>
      </c>
      <c r="BY997" t="str">
        <f>"12.25"</f>
        <v>12.25</v>
      </c>
      <c r="BZ997" t="str">
        <f>"0.347"</f>
        <v>0.347</v>
      </c>
      <c r="CA997" t="s">
        <v>495</v>
      </c>
      <c r="CR997" t="s">
        <v>5068</v>
      </c>
      <c r="CS997">
        <v>2</v>
      </c>
      <c r="CT997" t="s">
        <v>400</v>
      </c>
      <c r="CV997">
        <v>0</v>
      </c>
      <c r="CX997" t="s">
        <v>953</v>
      </c>
      <c r="CY997" t="s">
        <v>1009</v>
      </c>
      <c r="DC997">
        <v>0</v>
      </c>
      <c r="DJ997" t="s">
        <v>408</v>
      </c>
      <c r="DK997" t="s">
        <v>18742</v>
      </c>
      <c r="DM997" t="s">
        <v>473</v>
      </c>
      <c r="DX997" t="s">
        <v>446</v>
      </c>
      <c r="EM997" t="s">
        <v>402</v>
      </c>
      <c r="EN997">
        <v>0</v>
      </c>
      <c r="FI997">
        <v>0</v>
      </c>
      <c r="FJ997" t="s">
        <v>1012</v>
      </c>
      <c r="FP997" t="s">
        <v>402</v>
      </c>
      <c r="FR997" t="s">
        <v>8173</v>
      </c>
      <c r="FT997" t="s">
        <v>1015</v>
      </c>
      <c r="FV997" t="s">
        <v>13676</v>
      </c>
      <c r="FX997" t="s">
        <v>4210</v>
      </c>
      <c r="FZ997" t="s">
        <v>953</v>
      </c>
    </row>
    <row r="998" spans="1:346" x14ac:dyDescent="0.25">
      <c r="A998" t="s">
        <v>18763</v>
      </c>
      <c r="B998" t="str">
        <f>"198394053815"</f>
        <v>198394053815</v>
      </c>
      <c r="C998" t="s">
        <v>18764</v>
      </c>
      <c r="D998" t="s">
        <v>18765</v>
      </c>
      <c r="E998" t="s">
        <v>459</v>
      </c>
      <c r="G998" t="str">
        <f>"12.75"</f>
        <v>12.75</v>
      </c>
      <c r="H998" t="str">
        <f>"12.75"</f>
        <v>12.75</v>
      </c>
      <c r="I998" t="str">
        <f>"20"</f>
        <v>20</v>
      </c>
      <c r="J998" t="str">
        <f>"74.95"</f>
        <v>74.95</v>
      </c>
      <c r="K998" t="s">
        <v>18766</v>
      </c>
      <c r="N998" t="s">
        <v>18767</v>
      </c>
      <c r="T998" t="s">
        <v>373</v>
      </c>
      <c r="U998" t="s">
        <v>373</v>
      </c>
      <c r="V998" t="s">
        <v>18768</v>
      </c>
      <c r="W998" t="s">
        <v>18769</v>
      </c>
      <c r="X998" t="s">
        <v>18770</v>
      </c>
      <c r="Y998" t="s">
        <v>18771</v>
      </c>
      <c r="Z998" t="s">
        <v>18772</v>
      </c>
      <c r="AA998" t="s">
        <v>18773</v>
      </c>
      <c r="AB998" t="s">
        <v>18774</v>
      </c>
      <c r="AC998" t="s">
        <v>18775</v>
      </c>
      <c r="AD998" t="s">
        <v>18776</v>
      </c>
      <c r="AE998" t="s">
        <v>18777</v>
      </c>
      <c r="AF998" t="s">
        <v>18778</v>
      </c>
      <c r="AG998" t="s">
        <v>18779</v>
      </c>
      <c r="BA998" t="str">
        <f>"649"</f>
        <v>649</v>
      </c>
      <c r="BB998" t="str">
        <f>"275"</f>
        <v>275</v>
      </c>
      <c r="BC998" t="s">
        <v>665</v>
      </c>
      <c r="BD998" t="str">
        <f>"2"</f>
        <v>2</v>
      </c>
      <c r="BE998" t="s">
        <v>389</v>
      </c>
      <c r="BF998" t="str">
        <f>"16.14"</f>
        <v>16.14</v>
      </c>
      <c r="BG998" t="str">
        <f>"16.14"</f>
        <v>16.14</v>
      </c>
      <c r="BH998" t="str">
        <f>"25.79"</f>
        <v>25.79</v>
      </c>
      <c r="BI998" t="str">
        <f>"48.5"</f>
        <v>48.5</v>
      </c>
      <c r="BJ998" t="s">
        <v>389</v>
      </c>
      <c r="BK998" t="str">
        <f>"19.29"</f>
        <v>19.29</v>
      </c>
      <c r="BL998" t="str">
        <f>"19.29"</f>
        <v>19.29</v>
      </c>
      <c r="BM998" t="str">
        <f>"24.61"</f>
        <v>24.61</v>
      </c>
      <c r="BN998" t="str">
        <f>"63.93"</f>
        <v>63.93</v>
      </c>
      <c r="BY998" t="str">
        <f>"9.18"</f>
        <v>9.18</v>
      </c>
      <c r="BZ998" t="str">
        <f>"0.26"</f>
        <v>0.26</v>
      </c>
      <c r="CA998" t="s">
        <v>431</v>
      </c>
      <c r="CR998" t="s">
        <v>400</v>
      </c>
      <c r="CT998" t="s">
        <v>400</v>
      </c>
      <c r="CY998" t="s">
        <v>400</v>
      </c>
      <c r="DJ998" t="s">
        <v>471</v>
      </c>
      <c r="DK998" t="s">
        <v>14775</v>
      </c>
      <c r="DM998" t="s">
        <v>473</v>
      </c>
    </row>
    <row r="999" spans="1:346" x14ac:dyDescent="0.25">
      <c r="A999" t="s">
        <v>18780</v>
      </c>
      <c r="B999" t="str">
        <f>"198394025713"</f>
        <v>198394025713</v>
      </c>
      <c r="C999" t="s">
        <v>18781</v>
      </c>
      <c r="D999" t="s">
        <v>1420</v>
      </c>
      <c r="E999" t="s">
        <v>1319</v>
      </c>
      <c r="F999" t="s">
        <v>3836</v>
      </c>
      <c r="G999" t="str">
        <f>"65"</f>
        <v>65</v>
      </c>
      <c r="H999" t="str">
        <f>"27"</f>
        <v>27</v>
      </c>
      <c r="I999" t="str">
        <f>"30"</f>
        <v>30</v>
      </c>
      <c r="J999" t="str">
        <f>"97"</f>
        <v>97</v>
      </c>
      <c r="K999" t="s">
        <v>1446</v>
      </c>
      <c r="L999" t="s">
        <v>1447</v>
      </c>
      <c r="N999" t="s">
        <v>1423</v>
      </c>
      <c r="O999" t="s">
        <v>1424</v>
      </c>
      <c r="T999" t="s">
        <v>402</v>
      </c>
      <c r="U999" t="s">
        <v>373</v>
      </c>
      <c r="V999" t="s">
        <v>18782</v>
      </c>
      <c r="W999" t="s">
        <v>18783</v>
      </c>
      <c r="X999" t="s">
        <v>18784</v>
      </c>
      <c r="Y999" t="s">
        <v>18785</v>
      </c>
      <c r="Z999" t="s">
        <v>18786</v>
      </c>
      <c r="AA999" t="s">
        <v>18787</v>
      </c>
      <c r="AB999" t="s">
        <v>18788</v>
      </c>
      <c r="AC999" t="s">
        <v>18789</v>
      </c>
      <c r="AD999" t="s">
        <v>18790</v>
      </c>
      <c r="AE999" t="s">
        <v>18791</v>
      </c>
      <c r="AF999" t="s">
        <v>18792</v>
      </c>
      <c r="AG999" t="s">
        <v>18793</v>
      </c>
      <c r="AH999" t="s">
        <v>18794</v>
      </c>
      <c r="BA999" t="str">
        <f>"1049"</f>
        <v>1049</v>
      </c>
      <c r="BB999" t="str">
        <f>"445"</f>
        <v>445</v>
      </c>
      <c r="BC999" t="s">
        <v>665</v>
      </c>
      <c r="BD999" t="str">
        <f>"2"</f>
        <v>2</v>
      </c>
      <c r="BE999" t="s">
        <v>18795</v>
      </c>
      <c r="BF999" t="str">
        <f>"70.08"</f>
        <v>70.08</v>
      </c>
      <c r="BG999" t="str">
        <f>"4.72"</f>
        <v>4.72</v>
      </c>
      <c r="BH999" t="str">
        <f>"30.91"</f>
        <v>30.91</v>
      </c>
      <c r="BI999" t="str">
        <f>"60.63"</f>
        <v>60.63</v>
      </c>
      <c r="BJ999" t="s">
        <v>18796</v>
      </c>
      <c r="BK999" t="str">
        <f>"22.44"</f>
        <v>22.44</v>
      </c>
      <c r="BL999" t="str">
        <f>"21.46"</f>
        <v>21.46</v>
      </c>
      <c r="BM999" t="str">
        <f>"33.27"</f>
        <v>33.27</v>
      </c>
      <c r="BN999" t="str">
        <f>"60.63"</f>
        <v>60.63</v>
      </c>
      <c r="BY999" t="str">
        <f>"15.19"</f>
        <v>15.19</v>
      </c>
      <c r="BZ999" t="str">
        <f>"0.43"</f>
        <v>0.43</v>
      </c>
      <c r="CA999" t="s">
        <v>431</v>
      </c>
      <c r="CR999" t="s">
        <v>400</v>
      </c>
      <c r="CS999">
        <v>0</v>
      </c>
      <c r="CT999" t="s">
        <v>400</v>
      </c>
      <c r="CV999">
        <v>0</v>
      </c>
      <c r="CX999" t="s">
        <v>1241</v>
      </c>
      <c r="CY999" t="s">
        <v>400</v>
      </c>
      <c r="DC999">
        <v>0</v>
      </c>
      <c r="DJ999" t="s">
        <v>3853</v>
      </c>
      <c r="DK999" t="s">
        <v>1438</v>
      </c>
      <c r="DM999" t="s">
        <v>473</v>
      </c>
      <c r="DX999" t="s">
        <v>1439</v>
      </c>
      <c r="DZ999" t="s">
        <v>13120</v>
      </c>
      <c r="EL999" t="s">
        <v>1441</v>
      </c>
      <c r="EM999" t="s">
        <v>402</v>
      </c>
      <c r="EN999">
        <v>0</v>
      </c>
      <c r="EW999" t="s">
        <v>1439</v>
      </c>
      <c r="FI999">
        <v>0</v>
      </c>
      <c r="FJ999" t="s">
        <v>1012</v>
      </c>
      <c r="GE999">
        <v>0</v>
      </c>
      <c r="HH999" t="s">
        <v>402</v>
      </c>
    </row>
    <row r="1000" spans="1:346" x14ac:dyDescent="0.25">
      <c r="A1000" t="s">
        <v>18797</v>
      </c>
      <c r="B1000" t="str">
        <f>"198394025744"</f>
        <v>198394025744</v>
      </c>
      <c r="C1000" t="s">
        <v>18798</v>
      </c>
      <c r="D1000" t="s">
        <v>1420</v>
      </c>
      <c r="E1000" t="s">
        <v>1319</v>
      </c>
      <c r="F1000" t="s">
        <v>3836</v>
      </c>
      <c r="G1000" t="str">
        <f>"65"</f>
        <v>65</v>
      </c>
      <c r="H1000" t="str">
        <f>"27"</f>
        <v>27</v>
      </c>
      <c r="I1000" t="str">
        <f>"30"</f>
        <v>30</v>
      </c>
      <c r="J1000" t="str">
        <f>"106.92"</f>
        <v>106.92</v>
      </c>
      <c r="K1000" t="s">
        <v>10432</v>
      </c>
      <c r="L1000" t="s">
        <v>1462</v>
      </c>
      <c r="N1000" t="s">
        <v>372</v>
      </c>
      <c r="O1000" t="s">
        <v>1463</v>
      </c>
      <c r="T1000" t="s">
        <v>402</v>
      </c>
      <c r="U1000" t="s">
        <v>373</v>
      </c>
      <c r="V1000" t="s">
        <v>18799</v>
      </c>
      <c r="W1000" t="s">
        <v>18800</v>
      </c>
      <c r="X1000" t="s">
        <v>18801</v>
      </c>
      <c r="Y1000" t="s">
        <v>18802</v>
      </c>
      <c r="Z1000" t="s">
        <v>18803</v>
      </c>
      <c r="AA1000" t="s">
        <v>18804</v>
      </c>
      <c r="AB1000" t="s">
        <v>18805</v>
      </c>
      <c r="AC1000" t="s">
        <v>18806</v>
      </c>
      <c r="AD1000" t="s">
        <v>18807</v>
      </c>
      <c r="AE1000" t="s">
        <v>18808</v>
      </c>
      <c r="AF1000" t="s">
        <v>18809</v>
      </c>
      <c r="AG1000" t="s">
        <v>18810</v>
      </c>
      <c r="AH1000" t="s">
        <v>18811</v>
      </c>
      <c r="AI1000" t="s">
        <v>18812</v>
      </c>
      <c r="AJ1000" t="s">
        <v>18813</v>
      </c>
      <c r="AK1000" t="s">
        <v>18814</v>
      </c>
      <c r="AL1000" t="s">
        <v>18815</v>
      </c>
      <c r="AM1000" t="s">
        <v>18816</v>
      </c>
      <c r="BA1000" t="str">
        <f>"1299"</f>
        <v>1299</v>
      </c>
      <c r="BB1000" t="str">
        <f>"550"</f>
        <v>550</v>
      </c>
      <c r="BC1000" t="s">
        <v>665</v>
      </c>
      <c r="BD1000" t="str">
        <f>"2"</f>
        <v>2</v>
      </c>
      <c r="BE1000" t="s">
        <v>18795</v>
      </c>
      <c r="BF1000" t="str">
        <f>"70.08"</f>
        <v>70.08</v>
      </c>
      <c r="BG1000" t="str">
        <f>"4.72"</f>
        <v>4.72</v>
      </c>
      <c r="BH1000" t="str">
        <f>"30.91"</f>
        <v>30.91</v>
      </c>
      <c r="BI1000" t="str">
        <f>"65.04"</f>
        <v>65.04</v>
      </c>
      <c r="BJ1000" t="s">
        <v>18796</v>
      </c>
      <c r="BK1000" t="str">
        <f>"22.44"</f>
        <v>22.44</v>
      </c>
      <c r="BL1000" t="str">
        <f>"21.46"</f>
        <v>21.46</v>
      </c>
      <c r="BM1000" t="str">
        <f>"33.27"</f>
        <v>33.27</v>
      </c>
      <c r="BN1000" t="str">
        <f>"66.14"</f>
        <v>66.14</v>
      </c>
      <c r="BY1000" t="str">
        <f>"15.19"</f>
        <v>15.19</v>
      </c>
      <c r="BZ1000" t="str">
        <f>"0.43"</f>
        <v>0.43</v>
      </c>
      <c r="CA1000" t="s">
        <v>495</v>
      </c>
      <c r="CR1000" t="s">
        <v>400</v>
      </c>
      <c r="CS1000">
        <v>0</v>
      </c>
      <c r="CT1000" t="s">
        <v>400</v>
      </c>
      <c r="CV1000">
        <v>0</v>
      </c>
      <c r="CX1000" t="s">
        <v>1241</v>
      </c>
      <c r="CY1000" t="s">
        <v>400</v>
      </c>
      <c r="DC1000">
        <v>0</v>
      </c>
      <c r="DJ1000" t="s">
        <v>3853</v>
      </c>
      <c r="DK1000" t="s">
        <v>1438</v>
      </c>
      <c r="DM1000" t="s">
        <v>473</v>
      </c>
      <c r="DX1000" t="s">
        <v>1439</v>
      </c>
      <c r="DZ1000" t="s">
        <v>13120</v>
      </c>
      <c r="EL1000" t="s">
        <v>1441</v>
      </c>
      <c r="EM1000" t="s">
        <v>402</v>
      </c>
      <c r="EN1000">
        <v>0</v>
      </c>
      <c r="EW1000" t="s">
        <v>1439</v>
      </c>
      <c r="FI1000">
        <v>0</v>
      </c>
      <c r="FJ1000" t="s">
        <v>1012</v>
      </c>
      <c r="GE1000">
        <v>0</v>
      </c>
      <c r="HH1000" t="s">
        <v>402</v>
      </c>
    </row>
    <row r="1001" spans="1:346" x14ac:dyDescent="0.25">
      <c r="A1001" t="s">
        <v>18817</v>
      </c>
      <c r="B1001" t="str">
        <f>"198394076128"</f>
        <v>198394076128</v>
      </c>
      <c r="C1001" t="s">
        <v>18818</v>
      </c>
      <c r="D1001" t="s">
        <v>6787</v>
      </c>
      <c r="E1001" t="s">
        <v>2006</v>
      </c>
      <c r="F1001" t="s">
        <v>2007</v>
      </c>
      <c r="G1001" t="str">
        <f>"70.5"</f>
        <v>70.5</v>
      </c>
      <c r="H1001" t="str">
        <f>"87"</f>
        <v>87</v>
      </c>
      <c r="I1001" t="str">
        <f>"48.5"</f>
        <v>48.5</v>
      </c>
      <c r="J1001" t="str">
        <f>"218.26"</f>
        <v>218.26</v>
      </c>
      <c r="K1001" t="s">
        <v>15703</v>
      </c>
      <c r="L1001" t="s">
        <v>1323</v>
      </c>
      <c r="N1001" t="s">
        <v>1534</v>
      </c>
      <c r="O1001" t="s">
        <v>12436</v>
      </c>
      <c r="P1001" t="s">
        <v>1463</v>
      </c>
      <c r="T1001" t="s">
        <v>373</v>
      </c>
      <c r="U1001" t="s">
        <v>373</v>
      </c>
      <c r="V1001" t="s">
        <v>18819</v>
      </c>
      <c r="W1001" t="s">
        <v>18820</v>
      </c>
      <c r="X1001" t="s">
        <v>18821</v>
      </c>
      <c r="Y1001" t="s">
        <v>18822</v>
      </c>
      <c r="Z1001" t="s">
        <v>18823</v>
      </c>
      <c r="AA1001" t="s">
        <v>18824</v>
      </c>
      <c r="AB1001" t="s">
        <v>18825</v>
      </c>
      <c r="AC1001" t="s">
        <v>18826</v>
      </c>
      <c r="AD1001" t="s">
        <v>18827</v>
      </c>
      <c r="AE1001" t="s">
        <v>18828</v>
      </c>
      <c r="AF1001" t="s">
        <v>18829</v>
      </c>
      <c r="AG1001" t="s">
        <v>18830</v>
      </c>
      <c r="AH1001" t="s">
        <v>18831</v>
      </c>
      <c r="AI1001" t="s">
        <v>18832</v>
      </c>
      <c r="AJ1001" t="s">
        <v>18833</v>
      </c>
      <c r="BA1001" t="str">
        <f>"2599"</f>
        <v>2599</v>
      </c>
      <c r="BB1001" t="str">
        <f>"1095"</f>
        <v>1095</v>
      </c>
      <c r="BC1001" t="s">
        <v>665</v>
      </c>
      <c r="BD1001" t="str">
        <f>"2"</f>
        <v>2</v>
      </c>
      <c r="BE1001" t="s">
        <v>18834</v>
      </c>
      <c r="BF1001" t="str">
        <f>"76.57"</f>
        <v>76.57</v>
      </c>
      <c r="BG1001" t="str">
        <f>"16.54"</f>
        <v>16.54</v>
      </c>
      <c r="BH1001" t="str">
        <f>"51.97"</f>
        <v>51.97</v>
      </c>
      <c r="BI1001" t="str">
        <f>"143.3"</f>
        <v>143.3</v>
      </c>
      <c r="BJ1001" t="s">
        <v>18835</v>
      </c>
      <c r="BK1001" t="str">
        <f>"88.78"</f>
        <v>88.78</v>
      </c>
      <c r="BL1001" t="str">
        <f>"11.22"</f>
        <v>11.22</v>
      </c>
      <c r="BM1001" t="str">
        <f>"18.11"</f>
        <v>18.11</v>
      </c>
      <c r="BN1001" t="str">
        <f>"121.25"</f>
        <v>121.25</v>
      </c>
      <c r="BY1001" t="str">
        <f>"48.52"</f>
        <v>48.52</v>
      </c>
      <c r="BZ1001" t="str">
        <f>"1.374"</f>
        <v>1.374</v>
      </c>
      <c r="CA1001" t="s">
        <v>495</v>
      </c>
      <c r="CQ1001" t="s">
        <v>1152</v>
      </c>
      <c r="CR1001" t="s">
        <v>400</v>
      </c>
      <c r="CS1001">
        <v>0</v>
      </c>
      <c r="CT1001" t="s">
        <v>400</v>
      </c>
      <c r="CV1001">
        <v>0</v>
      </c>
      <c r="CX1001" t="s">
        <v>16475</v>
      </c>
      <c r="CY1001" t="s">
        <v>400</v>
      </c>
      <c r="DA1001">
        <v>0</v>
      </c>
      <c r="DB1001">
        <v>0</v>
      </c>
      <c r="DC1001">
        <v>0</v>
      </c>
      <c r="DD1001">
        <v>15000</v>
      </c>
      <c r="DK1001" t="s">
        <v>18717</v>
      </c>
      <c r="DM1001" t="s">
        <v>2028</v>
      </c>
      <c r="EG1001" t="s">
        <v>749</v>
      </c>
      <c r="EN1001">
        <v>0</v>
      </c>
      <c r="HQ1001" t="s">
        <v>12378</v>
      </c>
      <c r="HR1001" t="s">
        <v>675</v>
      </c>
      <c r="HS1001" t="s">
        <v>18836</v>
      </c>
      <c r="HT1001" t="s">
        <v>18719</v>
      </c>
      <c r="HU1001" t="s">
        <v>3983</v>
      </c>
      <c r="HV1001" t="s">
        <v>18720</v>
      </c>
      <c r="HW1001" t="s">
        <v>2171</v>
      </c>
      <c r="HX1001" t="s">
        <v>392</v>
      </c>
      <c r="HY1001" t="s">
        <v>3273</v>
      </c>
      <c r="HZ1001" t="s">
        <v>12378</v>
      </c>
      <c r="IA1001" t="s">
        <v>12910</v>
      </c>
      <c r="IB1001" t="s">
        <v>3518</v>
      </c>
      <c r="IC1001" t="s">
        <v>402</v>
      </c>
      <c r="ID1001" t="s">
        <v>2036</v>
      </c>
      <c r="IE1001" t="s">
        <v>1008</v>
      </c>
      <c r="IF1001" t="s">
        <v>2177</v>
      </c>
      <c r="IG1001" t="s">
        <v>2007</v>
      </c>
      <c r="IM1001" t="s">
        <v>675</v>
      </c>
      <c r="IN1001" t="s">
        <v>635</v>
      </c>
      <c r="IP1001" t="s">
        <v>402</v>
      </c>
      <c r="IQ1001" t="s">
        <v>3522</v>
      </c>
      <c r="IT1001" t="s">
        <v>16481</v>
      </c>
      <c r="IU1001" t="s">
        <v>17031</v>
      </c>
    </row>
    <row r="1002" spans="1:346" x14ac:dyDescent="0.25">
      <c r="A1002" t="s">
        <v>18837</v>
      </c>
      <c r="B1002" t="str">
        <f>"198394076111"</f>
        <v>198394076111</v>
      </c>
      <c r="C1002" t="s">
        <v>18818</v>
      </c>
      <c r="D1002" t="s">
        <v>6787</v>
      </c>
      <c r="E1002" t="s">
        <v>2006</v>
      </c>
      <c r="F1002" t="s">
        <v>2040</v>
      </c>
      <c r="G1002" t="str">
        <f>"86.5"</f>
        <v>86.5</v>
      </c>
      <c r="H1002" t="str">
        <f>"87"</f>
        <v>87</v>
      </c>
      <c r="I1002" t="str">
        <f>"48.5"</f>
        <v>48.5</v>
      </c>
      <c r="J1002" t="str">
        <f>"273.37"</f>
        <v>273.37</v>
      </c>
      <c r="K1002" t="s">
        <v>15703</v>
      </c>
      <c r="L1002" t="s">
        <v>1323</v>
      </c>
      <c r="N1002" t="s">
        <v>1534</v>
      </c>
      <c r="O1002" t="s">
        <v>12436</v>
      </c>
      <c r="P1002" t="s">
        <v>1463</v>
      </c>
      <c r="T1002" t="s">
        <v>373</v>
      </c>
      <c r="U1002" t="s">
        <v>373</v>
      </c>
      <c r="V1002" t="s">
        <v>18819</v>
      </c>
      <c r="W1002" t="s">
        <v>18820</v>
      </c>
      <c r="X1002" t="s">
        <v>18821</v>
      </c>
      <c r="Y1002" t="s">
        <v>18822</v>
      </c>
      <c r="Z1002" t="s">
        <v>18823</v>
      </c>
      <c r="AA1002" t="s">
        <v>18824</v>
      </c>
      <c r="AB1002" t="s">
        <v>18825</v>
      </c>
      <c r="AC1002" t="s">
        <v>18826</v>
      </c>
      <c r="AD1002" t="s">
        <v>18827</v>
      </c>
      <c r="AE1002" t="s">
        <v>18828</v>
      </c>
      <c r="AF1002" t="s">
        <v>18829</v>
      </c>
      <c r="AG1002" t="s">
        <v>18830</v>
      </c>
      <c r="AH1002" t="s">
        <v>18831</v>
      </c>
      <c r="AI1002" t="s">
        <v>18832</v>
      </c>
      <c r="AJ1002" t="s">
        <v>18833</v>
      </c>
      <c r="AK1002" t="s">
        <v>18838</v>
      </c>
      <c r="AL1002" t="s">
        <v>18839</v>
      </c>
      <c r="BA1002" t="str">
        <f>"2899"</f>
        <v>2899</v>
      </c>
      <c r="BB1002" t="str">
        <f>"1220"</f>
        <v>1220</v>
      </c>
      <c r="BC1002" t="s">
        <v>665</v>
      </c>
      <c r="BD1002" t="str">
        <f>"2"</f>
        <v>2</v>
      </c>
      <c r="BE1002" t="s">
        <v>18834</v>
      </c>
      <c r="BF1002" t="str">
        <f>"91.93"</f>
        <v>91.93</v>
      </c>
      <c r="BG1002" t="str">
        <f>"15.55"</f>
        <v>15.55</v>
      </c>
      <c r="BH1002" t="str">
        <f>"52.56"</f>
        <v>52.56</v>
      </c>
      <c r="BI1002" t="str">
        <f>"190.7"</f>
        <v>190.7</v>
      </c>
      <c r="BJ1002" t="s">
        <v>18835</v>
      </c>
      <c r="BK1002" t="str">
        <f>"85.83"</f>
        <v>85.83</v>
      </c>
      <c r="BL1002" t="str">
        <f>"12.4"</f>
        <v>12.4</v>
      </c>
      <c r="BM1002" t="str">
        <f>"17.72"</f>
        <v>17.72</v>
      </c>
      <c r="BN1002" t="str">
        <f>"137.79"</f>
        <v>137.79</v>
      </c>
      <c r="BY1002" t="str">
        <f>"54.38"</f>
        <v>54.38</v>
      </c>
      <c r="BZ1002" t="str">
        <f>"1.54"</f>
        <v>1.54</v>
      </c>
      <c r="CA1002" t="s">
        <v>495</v>
      </c>
      <c r="CQ1002" t="s">
        <v>1152</v>
      </c>
      <c r="CR1002" t="s">
        <v>400</v>
      </c>
      <c r="CS1002">
        <v>0</v>
      </c>
      <c r="CT1002" t="s">
        <v>400</v>
      </c>
      <c r="CV1002">
        <v>0</v>
      </c>
      <c r="CX1002" t="s">
        <v>16475</v>
      </c>
      <c r="CY1002" t="s">
        <v>400</v>
      </c>
      <c r="DA1002">
        <v>0</v>
      </c>
      <c r="DB1002">
        <v>0</v>
      </c>
      <c r="DC1002">
        <v>0</v>
      </c>
      <c r="DD1002">
        <v>15000</v>
      </c>
      <c r="DK1002" t="s">
        <v>18717</v>
      </c>
      <c r="DM1002" t="s">
        <v>2028</v>
      </c>
      <c r="EG1002" t="s">
        <v>749</v>
      </c>
      <c r="EN1002">
        <v>0</v>
      </c>
      <c r="HQ1002" t="s">
        <v>12378</v>
      </c>
      <c r="HR1002" t="s">
        <v>675</v>
      </c>
      <c r="HS1002" t="s">
        <v>18840</v>
      </c>
      <c r="HT1002" t="s">
        <v>18719</v>
      </c>
      <c r="HU1002" t="s">
        <v>3983</v>
      </c>
      <c r="HV1002" t="s">
        <v>8041</v>
      </c>
      <c r="HW1002" t="s">
        <v>2171</v>
      </c>
      <c r="HX1002" t="s">
        <v>392</v>
      </c>
      <c r="HY1002" t="s">
        <v>3255</v>
      </c>
      <c r="HZ1002" t="s">
        <v>12378</v>
      </c>
      <c r="IA1002" t="s">
        <v>12910</v>
      </c>
      <c r="IB1002" t="s">
        <v>3518</v>
      </c>
      <c r="IC1002" t="s">
        <v>402</v>
      </c>
      <c r="ID1002" t="s">
        <v>2036</v>
      </c>
      <c r="IE1002" t="s">
        <v>1008</v>
      </c>
      <c r="IF1002" t="s">
        <v>2177</v>
      </c>
      <c r="IG1002" t="s">
        <v>2040</v>
      </c>
      <c r="IM1002" t="s">
        <v>675</v>
      </c>
      <c r="IN1002" t="s">
        <v>635</v>
      </c>
      <c r="IP1002" t="s">
        <v>402</v>
      </c>
      <c r="IQ1002" t="s">
        <v>3522</v>
      </c>
      <c r="IT1002" t="s">
        <v>16481</v>
      </c>
      <c r="IU1002" t="s">
        <v>17034</v>
      </c>
    </row>
    <row r="1003" spans="1:346" x14ac:dyDescent="0.25">
      <c r="A1003" t="s">
        <v>18841</v>
      </c>
      <c r="B1003" t="str">
        <f>"198394058551"</f>
        <v>198394058551</v>
      </c>
      <c r="C1003" t="s">
        <v>18842</v>
      </c>
      <c r="D1003" t="s">
        <v>722</v>
      </c>
      <c r="E1003" t="s">
        <v>1021</v>
      </c>
      <c r="G1003" t="str">
        <f>"80"</f>
        <v>80</v>
      </c>
      <c r="H1003" t="str">
        <f>"18"</f>
        <v>18</v>
      </c>
      <c r="I1003" t="str">
        <f>"28"</f>
        <v>28</v>
      </c>
      <c r="J1003" t="str">
        <f>"152.12"</f>
        <v>152.12</v>
      </c>
      <c r="K1003" t="s">
        <v>18843</v>
      </c>
      <c r="L1003" t="s">
        <v>6616</v>
      </c>
      <c r="N1003" t="s">
        <v>1970</v>
      </c>
      <c r="O1003" t="s">
        <v>372</v>
      </c>
      <c r="P1003" t="s">
        <v>555</v>
      </c>
      <c r="T1003" t="s">
        <v>373</v>
      </c>
      <c r="U1003" t="s">
        <v>373</v>
      </c>
      <c r="V1003" t="s">
        <v>18844</v>
      </c>
      <c r="W1003" t="s">
        <v>18845</v>
      </c>
      <c r="X1003" t="s">
        <v>18846</v>
      </c>
      <c r="Y1003" t="s">
        <v>18847</v>
      </c>
      <c r="Z1003" t="s">
        <v>18848</v>
      </c>
      <c r="AA1003" t="s">
        <v>18849</v>
      </c>
      <c r="AB1003" t="s">
        <v>18850</v>
      </c>
      <c r="AC1003" t="s">
        <v>18851</v>
      </c>
      <c r="AD1003" t="s">
        <v>18852</v>
      </c>
      <c r="AE1003" t="s">
        <v>18853</v>
      </c>
      <c r="AF1003" t="s">
        <v>18854</v>
      </c>
      <c r="AG1003" t="s">
        <v>18855</v>
      </c>
      <c r="AH1003" t="s">
        <v>18856</v>
      </c>
      <c r="BA1003" t="str">
        <f>"3499"</f>
        <v>3499</v>
      </c>
      <c r="BB1003" t="str">
        <f>"1470"</f>
        <v>1470</v>
      </c>
      <c r="BC1003" t="s">
        <v>388</v>
      </c>
      <c r="BD1003" t="str">
        <f>"1"</f>
        <v>1</v>
      </c>
      <c r="BE1003" t="s">
        <v>389</v>
      </c>
      <c r="BF1003" t="str">
        <f>"84.25"</f>
        <v>84.25</v>
      </c>
      <c r="BG1003" t="str">
        <f>"21.26"</f>
        <v>21.26</v>
      </c>
      <c r="BH1003" t="str">
        <f>"33.07"</f>
        <v>33.07</v>
      </c>
      <c r="BI1003" t="str">
        <f>"182.98"</f>
        <v>182.98</v>
      </c>
      <c r="BY1003" t="str">
        <f>"34.29"</f>
        <v>34.29</v>
      </c>
      <c r="BZ1003" t="str">
        <f>"0.971"</f>
        <v>0.971</v>
      </c>
      <c r="CA1003" t="s">
        <v>495</v>
      </c>
      <c r="CE1003" t="s">
        <v>5043</v>
      </c>
      <c r="CF1003" t="s">
        <v>1510</v>
      </c>
      <c r="CG1003" t="s">
        <v>5048</v>
      </c>
      <c r="CR1003" t="s">
        <v>400</v>
      </c>
      <c r="CS1003">
        <v>0</v>
      </c>
      <c r="CT1003" t="s">
        <v>400</v>
      </c>
      <c r="CV1003">
        <v>0</v>
      </c>
      <c r="CX1003" t="s">
        <v>403</v>
      </c>
      <c r="CY1003" t="s">
        <v>954</v>
      </c>
      <c r="DA1003">
        <v>18.14</v>
      </c>
      <c r="DB1003">
        <v>40</v>
      </c>
      <c r="DC1003">
        <v>2</v>
      </c>
      <c r="DK1003" t="s">
        <v>18857</v>
      </c>
      <c r="DX1003" t="s">
        <v>2241</v>
      </c>
      <c r="EM1003" t="s">
        <v>402</v>
      </c>
      <c r="EN1003">
        <v>2</v>
      </c>
      <c r="EZ1003" t="s">
        <v>2074</v>
      </c>
      <c r="FA1003" t="s">
        <v>1040</v>
      </c>
      <c r="FB1003" t="s">
        <v>4865</v>
      </c>
      <c r="FC1003" t="s">
        <v>5043</v>
      </c>
      <c r="FD1003" t="s">
        <v>637</v>
      </c>
      <c r="FE1003" t="s">
        <v>5048</v>
      </c>
      <c r="FG1003" t="s">
        <v>402</v>
      </c>
      <c r="FH1003" t="s">
        <v>6663</v>
      </c>
      <c r="FI1003">
        <v>4</v>
      </c>
      <c r="FJ1003" t="s">
        <v>960</v>
      </c>
      <c r="FK1003" t="s">
        <v>1611</v>
      </c>
      <c r="FM1003" t="s">
        <v>402</v>
      </c>
      <c r="FO1003" t="s">
        <v>5044</v>
      </c>
      <c r="GB1003" t="s">
        <v>5043</v>
      </c>
      <c r="GC1003" t="s">
        <v>1510</v>
      </c>
      <c r="GD1003" t="s">
        <v>5048</v>
      </c>
      <c r="GE1003">
        <v>0</v>
      </c>
      <c r="GX1003" t="s">
        <v>475</v>
      </c>
      <c r="HI1003" t="s">
        <v>402</v>
      </c>
    </row>
    <row r="1004" spans="1:346" x14ac:dyDescent="0.25">
      <c r="A1004" t="s">
        <v>18858</v>
      </c>
      <c r="B1004" t="str">
        <f>"198394026734"</f>
        <v>198394026734</v>
      </c>
      <c r="C1004" t="s">
        <v>18859</v>
      </c>
      <c r="D1004" t="s">
        <v>3642</v>
      </c>
      <c r="E1004" t="s">
        <v>1166</v>
      </c>
      <c r="F1004" t="s">
        <v>1167</v>
      </c>
      <c r="G1004" t="str">
        <f>"125.5"</f>
        <v>125.5</v>
      </c>
      <c r="H1004" t="str">
        <f>"61"</f>
        <v>61</v>
      </c>
      <c r="I1004" t="str">
        <f>"35"</f>
        <v>35</v>
      </c>
      <c r="J1004" t="str">
        <f>"404"</f>
        <v>404</v>
      </c>
      <c r="K1004" t="s">
        <v>3643</v>
      </c>
      <c r="L1004" t="s">
        <v>3645</v>
      </c>
      <c r="M1004" t="s">
        <v>3644</v>
      </c>
      <c r="N1004" t="s">
        <v>3646</v>
      </c>
      <c r="O1004" t="s">
        <v>3647</v>
      </c>
      <c r="P1004" t="s">
        <v>3648</v>
      </c>
      <c r="Q1004" t="s">
        <v>3649</v>
      </c>
      <c r="R1004" t="s">
        <v>2013</v>
      </c>
      <c r="T1004" t="s">
        <v>373</v>
      </c>
      <c r="U1004" t="s">
        <v>402</v>
      </c>
      <c r="V1004" t="s">
        <v>18860</v>
      </c>
      <c r="W1004" t="s">
        <v>18861</v>
      </c>
      <c r="X1004" t="s">
        <v>18862</v>
      </c>
      <c r="Y1004" t="s">
        <v>18863</v>
      </c>
      <c r="Z1004" t="s">
        <v>18864</v>
      </c>
      <c r="AA1004" t="s">
        <v>18865</v>
      </c>
      <c r="AB1004" t="s">
        <v>18866</v>
      </c>
      <c r="AC1004" t="s">
        <v>18867</v>
      </c>
      <c r="AD1004" t="s">
        <v>18868</v>
      </c>
      <c r="AE1004" t="s">
        <v>18869</v>
      </c>
      <c r="AF1004" t="s">
        <v>18870</v>
      </c>
      <c r="AG1004" t="s">
        <v>18871</v>
      </c>
      <c r="AH1004" t="s">
        <v>18872</v>
      </c>
      <c r="AI1004" t="s">
        <v>18873</v>
      </c>
      <c r="AJ1004" t="s">
        <v>18874</v>
      </c>
      <c r="AK1004" t="s">
        <v>18875</v>
      </c>
      <c r="AL1004" t="s">
        <v>18876</v>
      </c>
      <c r="BA1004" t="str">
        <f>"6999"</f>
        <v>6999</v>
      </c>
      <c r="BB1004" t="str">
        <f>"2940"</f>
        <v>2940</v>
      </c>
      <c r="BC1004" t="s">
        <v>3670</v>
      </c>
      <c r="BD1004" t="str">
        <f>"2"</f>
        <v>2</v>
      </c>
      <c r="BE1004" t="s">
        <v>16938</v>
      </c>
      <c r="BF1004" t="str">
        <f>"86"</f>
        <v>86</v>
      </c>
      <c r="BG1004" t="str">
        <f>"38"</f>
        <v>38</v>
      </c>
      <c r="BH1004" t="str">
        <f>"36"</f>
        <v>36</v>
      </c>
      <c r="BI1004" t="str">
        <f>"234"</f>
        <v>234</v>
      </c>
      <c r="BJ1004" t="s">
        <v>18877</v>
      </c>
      <c r="BK1004" t="str">
        <f>"46"</f>
        <v>46</v>
      </c>
      <c r="BL1004" t="str">
        <f>"61"</f>
        <v>61</v>
      </c>
      <c r="BM1004" t="str">
        <f>"38"</f>
        <v>38</v>
      </c>
      <c r="BN1004" t="str">
        <f>"188"</f>
        <v>188</v>
      </c>
      <c r="BY1004" t="str">
        <f>"129.78"</f>
        <v>129.78</v>
      </c>
      <c r="BZ1004" t="str">
        <f>"3.675"</f>
        <v>3.675</v>
      </c>
      <c r="CA1004" t="s">
        <v>431</v>
      </c>
      <c r="CP1004" t="s">
        <v>437</v>
      </c>
      <c r="CQ1004" t="s">
        <v>1152</v>
      </c>
      <c r="CU1004" t="s">
        <v>401</v>
      </c>
      <c r="CX1004" t="s">
        <v>667</v>
      </c>
      <c r="DD1004">
        <v>33000</v>
      </c>
      <c r="DE1004" t="s">
        <v>405</v>
      </c>
      <c r="DF1004" t="s">
        <v>632</v>
      </c>
      <c r="DG1004" t="s">
        <v>407</v>
      </c>
      <c r="DI1004">
        <v>6</v>
      </c>
      <c r="DJ1004" t="s">
        <v>400</v>
      </c>
      <c r="DK1004" t="s">
        <v>3673</v>
      </c>
      <c r="DM1004" t="s">
        <v>14532</v>
      </c>
      <c r="ED1004" t="s">
        <v>406</v>
      </c>
      <c r="EE1004" t="s">
        <v>454</v>
      </c>
      <c r="EF1004" t="s">
        <v>401</v>
      </c>
      <c r="EG1004" t="s">
        <v>401</v>
      </c>
      <c r="ET1004" t="s">
        <v>832</v>
      </c>
      <c r="GP1004" t="s">
        <v>11059</v>
      </c>
      <c r="GQ1004" t="s">
        <v>1192</v>
      </c>
      <c r="MH1004" t="s">
        <v>402</v>
      </c>
    </row>
    <row r="1005" spans="1:346" x14ac:dyDescent="0.25">
      <c r="A1005" t="s">
        <v>18878</v>
      </c>
      <c r="B1005" t="str">
        <f>"198394026772"</f>
        <v>198394026772</v>
      </c>
      <c r="C1005" t="s">
        <v>18859</v>
      </c>
      <c r="D1005" t="s">
        <v>3642</v>
      </c>
      <c r="E1005" t="s">
        <v>1166</v>
      </c>
      <c r="F1005" t="s">
        <v>3759</v>
      </c>
      <c r="G1005" t="str">
        <f>"125.5"</f>
        <v>125.5</v>
      </c>
      <c r="H1005" t="str">
        <f>"61"</f>
        <v>61</v>
      </c>
      <c r="I1005" t="str">
        <f>"35"</f>
        <v>35</v>
      </c>
      <c r="J1005" t="str">
        <f>"404"</f>
        <v>404</v>
      </c>
      <c r="K1005" t="s">
        <v>3643</v>
      </c>
      <c r="L1005" t="s">
        <v>3645</v>
      </c>
      <c r="M1005" t="s">
        <v>3644</v>
      </c>
      <c r="N1005" t="s">
        <v>3646</v>
      </c>
      <c r="O1005" t="s">
        <v>3647</v>
      </c>
      <c r="P1005" t="s">
        <v>3648</v>
      </c>
      <c r="Q1005" t="s">
        <v>3649</v>
      </c>
      <c r="R1005" t="s">
        <v>2013</v>
      </c>
      <c r="T1005" t="s">
        <v>373</v>
      </c>
      <c r="U1005" t="s">
        <v>402</v>
      </c>
      <c r="V1005" t="s">
        <v>18879</v>
      </c>
      <c r="W1005" t="s">
        <v>18880</v>
      </c>
      <c r="X1005" t="s">
        <v>18881</v>
      </c>
      <c r="Y1005" t="s">
        <v>18882</v>
      </c>
      <c r="Z1005" t="s">
        <v>18883</v>
      </c>
      <c r="AA1005" t="s">
        <v>18884</v>
      </c>
      <c r="AB1005" t="s">
        <v>18885</v>
      </c>
      <c r="AC1005" t="s">
        <v>18886</v>
      </c>
      <c r="AD1005" t="s">
        <v>18887</v>
      </c>
      <c r="AE1005" t="s">
        <v>18888</v>
      </c>
      <c r="AF1005" t="s">
        <v>18889</v>
      </c>
      <c r="AG1005" t="s">
        <v>18890</v>
      </c>
      <c r="AH1005" t="s">
        <v>18891</v>
      </c>
      <c r="AI1005" t="s">
        <v>18892</v>
      </c>
      <c r="AJ1005" t="s">
        <v>18893</v>
      </c>
      <c r="AK1005" t="s">
        <v>18894</v>
      </c>
      <c r="AL1005" t="s">
        <v>18895</v>
      </c>
      <c r="BA1005" t="str">
        <f>"6999"</f>
        <v>6999</v>
      </c>
      <c r="BB1005" t="str">
        <f>"2940"</f>
        <v>2940</v>
      </c>
      <c r="BC1005" t="s">
        <v>3670</v>
      </c>
      <c r="BD1005" t="str">
        <f>"2"</f>
        <v>2</v>
      </c>
      <c r="BE1005" t="s">
        <v>16938</v>
      </c>
      <c r="BF1005" t="str">
        <f>"86"</f>
        <v>86</v>
      </c>
      <c r="BG1005" t="str">
        <f>"38"</f>
        <v>38</v>
      </c>
      <c r="BH1005" t="str">
        <f>"36"</f>
        <v>36</v>
      </c>
      <c r="BI1005" t="str">
        <f>"234"</f>
        <v>234</v>
      </c>
      <c r="BJ1005" t="s">
        <v>18877</v>
      </c>
      <c r="BK1005" t="str">
        <f>"46"</f>
        <v>46</v>
      </c>
      <c r="BL1005" t="str">
        <f>"61"</f>
        <v>61</v>
      </c>
      <c r="BM1005" t="str">
        <f>"38"</f>
        <v>38</v>
      </c>
      <c r="BN1005" t="str">
        <f>"188"</f>
        <v>188</v>
      </c>
      <c r="BY1005" t="str">
        <f>"129.78"</f>
        <v>129.78</v>
      </c>
      <c r="BZ1005" t="str">
        <f>"3.675"</f>
        <v>3.675</v>
      </c>
      <c r="CA1005" t="s">
        <v>431</v>
      </c>
      <c r="CP1005" t="s">
        <v>437</v>
      </c>
      <c r="CQ1005" t="s">
        <v>1152</v>
      </c>
      <c r="CU1005" t="s">
        <v>401</v>
      </c>
      <c r="CX1005" t="s">
        <v>667</v>
      </c>
      <c r="CY1005" t="s">
        <v>3672</v>
      </c>
      <c r="DD1005">
        <v>33000</v>
      </c>
      <c r="DE1005" t="s">
        <v>405</v>
      </c>
      <c r="DF1005" t="s">
        <v>632</v>
      </c>
      <c r="DG1005" t="s">
        <v>407</v>
      </c>
      <c r="DI1005">
        <v>6</v>
      </c>
      <c r="DJ1005" t="s">
        <v>400</v>
      </c>
      <c r="DK1005" t="s">
        <v>3673</v>
      </c>
      <c r="DM1005" t="s">
        <v>14532</v>
      </c>
      <c r="ED1005" t="s">
        <v>406</v>
      </c>
      <c r="EE1005" t="s">
        <v>454</v>
      </c>
      <c r="EF1005" t="s">
        <v>401</v>
      </c>
      <c r="EG1005" t="s">
        <v>401</v>
      </c>
      <c r="ET1005" t="s">
        <v>832</v>
      </c>
      <c r="GP1005" t="s">
        <v>11059</v>
      </c>
      <c r="GQ1005" t="s">
        <v>3767</v>
      </c>
      <c r="MH1005" t="s">
        <v>402</v>
      </c>
    </row>
    <row r="1006" spans="1:346" x14ac:dyDescent="0.25">
      <c r="A1006" t="s">
        <v>18896</v>
      </c>
      <c r="B1006" t="str">
        <f>"198394026727"</f>
        <v>198394026727</v>
      </c>
      <c r="C1006" t="s">
        <v>18859</v>
      </c>
      <c r="D1006" t="s">
        <v>3642</v>
      </c>
      <c r="E1006" t="s">
        <v>1166</v>
      </c>
      <c r="F1006" t="s">
        <v>1167</v>
      </c>
      <c r="G1006" t="str">
        <f>"126.5"</f>
        <v>126.5</v>
      </c>
      <c r="H1006" t="str">
        <f>"62.25"</f>
        <v>62.25</v>
      </c>
      <c r="I1006" t="str">
        <f>"35"</f>
        <v>35</v>
      </c>
      <c r="J1006" t="str">
        <f>"340"</f>
        <v>340</v>
      </c>
      <c r="K1006" t="s">
        <v>3643</v>
      </c>
      <c r="L1006" t="s">
        <v>3645</v>
      </c>
      <c r="M1006" t="s">
        <v>3644</v>
      </c>
      <c r="N1006" t="s">
        <v>3646</v>
      </c>
      <c r="O1006" t="s">
        <v>3647</v>
      </c>
      <c r="P1006" t="s">
        <v>3648</v>
      </c>
      <c r="Q1006" t="s">
        <v>3649</v>
      </c>
      <c r="R1006" t="s">
        <v>2013</v>
      </c>
      <c r="T1006" t="s">
        <v>373</v>
      </c>
      <c r="U1006" t="s">
        <v>402</v>
      </c>
      <c r="V1006" t="s">
        <v>18897</v>
      </c>
      <c r="W1006" t="s">
        <v>18898</v>
      </c>
      <c r="X1006" t="s">
        <v>18899</v>
      </c>
      <c r="Y1006" t="s">
        <v>18900</v>
      </c>
      <c r="Z1006" t="s">
        <v>18901</v>
      </c>
      <c r="AA1006" t="s">
        <v>18902</v>
      </c>
      <c r="AB1006" t="s">
        <v>18903</v>
      </c>
      <c r="AC1006" t="s">
        <v>18904</v>
      </c>
      <c r="AD1006" t="s">
        <v>18905</v>
      </c>
      <c r="AE1006" t="s">
        <v>18906</v>
      </c>
      <c r="AF1006" t="s">
        <v>18907</v>
      </c>
      <c r="AG1006" t="s">
        <v>18908</v>
      </c>
      <c r="AH1006" t="s">
        <v>18909</v>
      </c>
      <c r="AI1006" t="s">
        <v>18910</v>
      </c>
      <c r="AJ1006" t="s">
        <v>18911</v>
      </c>
      <c r="AK1006" t="s">
        <v>18912</v>
      </c>
      <c r="AL1006" t="s">
        <v>18913</v>
      </c>
      <c r="AM1006" t="s">
        <v>18914</v>
      </c>
      <c r="BA1006" t="str">
        <f>"6699"</f>
        <v>6699</v>
      </c>
      <c r="BB1006" t="str">
        <f>"2815"</f>
        <v>2815</v>
      </c>
      <c r="BC1006" t="s">
        <v>3670</v>
      </c>
      <c r="BD1006" t="str">
        <f>"2"</f>
        <v>2</v>
      </c>
      <c r="BE1006" t="s">
        <v>16938</v>
      </c>
      <c r="BF1006" t="str">
        <f>"86"</f>
        <v>86</v>
      </c>
      <c r="BG1006" t="str">
        <f>"38"</f>
        <v>38</v>
      </c>
      <c r="BH1006" t="str">
        <f>"36"</f>
        <v>36</v>
      </c>
      <c r="BI1006" t="str">
        <f>"234"</f>
        <v>234</v>
      </c>
      <c r="BJ1006" t="s">
        <v>18915</v>
      </c>
      <c r="BK1006" t="str">
        <f>"46"</f>
        <v>46</v>
      </c>
      <c r="BL1006" t="str">
        <f>"61"</f>
        <v>61</v>
      </c>
      <c r="BM1006" t="str">
        <f>"38"</f>
        <v>38</v>
      </c>
      <c r="BN1006" t="str">
        <f>"132"</f>
        <v>132</v>
      </c>
      <c r="BY1006" t="str">
        <f>"129.78"</f>
        <v>129.78</v>
      </c>
      <c r="BZ1006" t="str">
        <f>"3.675"</f>
        <v>3.675</v>
      </c>
      <c r="CA1006" t="s">
        <v>431</v>
      </c>
      <c r="CP1006" t="s">
        <v>437</v>
      </c>
      <c r="CQ1006" t="s">
        <v>1152</v>
      </c>
      <c r="CU1006" t="s">
        <v>401</v>
      </c>
      <c r="CX1006" t="s">
        <v>667</v>
      </c>
      <c r="CY1006" t="s">
        <v>3672</v>
      </c>
      <c r="DD1006">
        <v>33000</v>
      </c>
      <c r="DE1006" t="s">
        <v>405</v>
      </c>
      <c r="DI1006">
        <v>6</v>
      </c>
      <c r="DK1006" t="s">
        <v>3673</v>
      </c>
      <c r="DM1006" t="s">
        <v>14532</v>
      </c>
      <c r="ED1006" t="s">
        <v>406</v>
      </c>
      <c r="EE1006" t="s">
        <v>454</v>
      </c>
      <c r="EF1006" t="s">
        <v>401</v>
      </c>
      <c r="EG1006" t="s">
        <v>401</v>
      </c>
      <c r="ET1006" t="s">
        <v>832</v>
      </c>
      <c r="GP1006" t="s">
        <v>11059</v>
      </c>
      <c r="GQ1006" t="s">
        <v>1192</v>
      </c>
      <c r="MH1006" t="s">
        <v>402</v>
      </c>
    </row>
    <row r="1007" spans="1:346" x14ac:dyDescent="0.25">
      <c r="A1007" t="s">
        <v>18916</v>
      </c>
      <c r="B1007" t="str">
        <f>"198394058599"</f>
        <v>198394058599</v>
      </c>
      <c r="C1007" t="s">
        <v>18917</v>
      </c>
      <c r="D1007" t="s">
        <v>17207</v>
      </c>
      <c r="E1007" t="s">
        <v>647</v>
      </c>
      <c r="F1007" t="s">
        <v>648</v>
      </c>
      <c r="G1007" t="str">
        <f>"96"</f>
        <v>96</v>
      </c>
      <c r="H1007" t="str">
        <f>"42"</f>
        <v>42</v>
      </c>
      <c r="I1007" t="str">
        <f>"30"</f>
        <v>30</v>
      </c>
      <c r="J1007" t="str">
        <f>"159.83"</f>
        <v>159.83</v>
      </c>
      <c r="K1007" t="s">
        <v>17340</v>
      </c>
      <c r="N1007" t="s">
        <v>1970</v>
      </c>
      <c r="O1007" t="s">
        <v>519</v>
      </c>
      <c r="T1007" t="s">
        <v>373</v>
      </c>
      <c r="U1007" t="s">
        <v>373</v>
      </c>
      <c r="V1007" t="s">
        <v>18918</v>
      </c>
      <c r="W1007" t="s">
        <v>18919</v>
      </c>
      <c r="X1007" t="s">
        <v>18920</v>
      </c>
      <c r="Y1007" t="s">
        <v>18921</v>
      </c>
      <c r="Z1007" t="s">
        <v>18922</v>
      </c>
      <c r="AA1007" t="s">
        <v>18923</v>
      </c>
      <c r="AB1007" t="s">
        <v>18924</v>
      </c>
      <c r="AC1007" t="s">
        <v>18925</v>
      </c>
      <c r="AD1007" t="s">
        <v>18926</v>
      </c>
      <c r="AE1007" t="s">
        <v>18927</v>
      </c>
      <c r="AF1007" t="s">
        <v>18928</v>
      </c>
      <c r="AG1007" t="s">
        <v>18929</v>
      </c>
      <c r="AH1007" t="s">
        <v>17334</v>
      </c>
      <c r="BA1007" t="str">
        <f>"2999"</f>
        <v>2999</v>
      </c>
      <c r="BB1007" t="str">
        <f>"1260"</f>
        <v>1260</v>
      </c>
      <c r="BC1007" t="s">
        <v>665</v>
      </c>
      <c r="BD1007" t="str">
        <f>"1"</f>
        <v>1</v>
      </c>
      <c r="BE1007" t="s">
        <v>18930</v>
      </c>
      <c r="BF1007" t="str">
        <f>"102.95"</f>
        <v>102.95</v>
      </c>
      <c r="BG1007" t="str">
        <f>"8.66"</f>
        <v>8.66</v>
      </c>
      <c r="BH1007" t="str">
        <f>"46.65"</f>
        <v>46.65</v>
      </c>
      <c r="BI1007" t="str">
        <f>"205.03"</f>
        <v>205.03</v>
      </c>
      <c r="BY1007" t="str">
        <f>"24.08"</f>
        <v>24.08</v>
      </c>
      <c r="BZ1007" t="str">
        <f>"0.682"</f>
        <v>0.682</v>
      </c>
      <c r="CA1007" t="s">
        <v>431</v>
      </c>
      <c r="CR1007" t="s">
        <v>400</v>
      </c>
      <c r="CS1007">
        <v>0</v>
      </c>
      <c r="CT1007" t="s">
        <v>400</v>
      </c>
      <c r="CV1007">
        <v>0</v>
      </c>
      <c r="CX1007" t="s">
        <v>953</v>
      </c>
      <c r="CY1007" t="s">
        <v>400</v>
      </c>
      <c r="DA1007">
        <v>0</v>
      </c>
      <c r="DB1007">
        <v>0</v>
      </c>
      <c r="DC1007">
        <v>0</v>
      </c>
      <c r="DI1007">
        <v>10</v>
      </c>
      <c r="DJ1007" t="s">
        <v>408</v>
      </c>
      <c r="DK1007" t="s">
        <v>17352</v>
      </c>
      <c r="DM1007" t="s">
        <v>669</v>
      </c>
      <c r="DX1007" t="s">
        <v>12224</v>
      </c>
      <c r="DY1007" t="s">
        <v>18931</v>
      </c>
      <c r="DZ1007" t="s">
        <v>18932</v>
      </c>
      <c r="EI1007" t="s">
        <v>18933</v>
      </c>
      <c r="EJ1007" t="s">
        <v>6524</v>
      </c>
      <c r="EK1007" t="s">
        <v>18933</v>
      </c>
      <c r="EL1007" t="s">
        <v>637</v>
      </c>
      <c r="EM1007" t="s">
        <v>402</v>
      </c>
      <c r="EN1007">
        <v>0</v>
      </c>
      <c r="EO1007">
        <v>0</v>
      </c>
      <c r="EV1007" t="s">
        <v>395</v>
      </c>
      <c r="EW1007" t="s">
        <v>12224</v>
      </c>
      <c r="EY1007" t="s">
        <v>5485</v>
      </c>
    </row>
    <row r="1008" spans="1:346" x14ac:dyDescent="0.25">
      <c r="A1008" t="s">
        <v>18934</v>
      </c>
      <c r="B1008" t="str">
        <f>"198394122870"</f>
        <v>198394122870</v>
      </c>
      <c r="C1008" t="s">
        <v>18935</v>
      </c>
      <c r="D1008" t="s">
        <v>3642</v>
      </c>
      <c r="E1008" t="s">
        <v>413</v>
      </c>
      <c r="G1008" t="str">
        <f>"86"</f>
        <v>86</v>
      </c>
      <c r="H1008" t="str">
        <f>"36.5"</f>
        <v>36.5</v>
      </c>
      <c r="I1008" t="str">
        <f>"28"</f>
        <v>28</v>
      </c>
      <c r="J1008" t="str">
        <f>"166"</f>
        <v>166</v>
      </c>
      <c r="K1008" t="s">
        <v>15742</v>
      </c>
      <c r="L1008" t="s">
        <v>15743</v>
      </c>
      <c r="N1008" t="s">
        <v>15744</v>
      </c>
      <c r="O1008" t="s">
        <v>15745</v>
      </c>
      <c r="P1008" t="s">
        <v>1535</v>
      </c>
      <c r="Q1008" t="s">
        <v>519</v>
      </c>
      <c r="T1008" t="s">
        <v>373</v>
      </c>
      <c r="U1008" t="s">
        <v>373</v>
      </c>
      <c r="V1008" t="s">
        <v>18936</v>
      </c>
      <c r="W1008" t="s">
        <v>18937</v>
      </c>
      <c r="X1008" t="s">
        <v>18938</v>
      </c>
      <c r="Y1008" t="s">
        <v>18939</v>
      </c>
      <c r="Z1008" t="s">
        <v>18940</v>
      </c>
      <c r="AA1008" t="s">
        <v>18941</v>
      </c>
      <c r="AB1008" t="s">
        <v>18942</v>
      </c>
      <c r="AC1008" t="s">
        <v>18943</v>
      </c>
      <c r="AD1008" t="s">
        <v>18944</v>
      </c>
      <c r="AE1008" t="s">
        <v>18945</v>
      </c>
      <c r="AF1008" t="s">
        <v>18946</v>
      </c>
      <c r="AG1008" t="s">
        <v>18947</v>
      </c>
      <c r="BA1008" t="str">
        <f>"2999"</f>
        <v>2999</v>
      </c>
      <c r="BB1008" t="str">
        <f>"1260"</f>
        <v>1260</v>
      </c>
      <c r="BC1008" t="s">
        <v>3670</v>
      </c>
      <c r="BD1008" t="str">
        <f>"1"</f>
        <v>1</v>
      </c>
      <c r="BE1008" t="s">
        <v>14037</v>
      </c>
      <c r="BF1008" t="str">
        <f>"92"</f>
        <v>92</v>
      </c>
      <c r="BG1008" t="str">
        <f>"38"</f>
        <v>38</v>
      </c>
      <c r="BH1008" t="str">
        <f>"32"</f>
        <v>32</v>
      </c>
      <c r="BI1008" t="str">
        <f>"178"</f>
        <v>178</v>
      </c>
      <c r="BY1008" t="str">
        <f>"64.73"</f>
        <v>64.73</v>
      </c>
      <c r="BZ1008" t="str">
        <f>"1.833"</f>
        <v>1.833</v>
      </c>
      <c r="CA1008" t="s">
        <v>495</v>
      </c>
      <c r="CH1008" t="s">
        <v>2792</v>
      </c>
      <c r="CI1008" t="s">
        <v>797</v>
      </c>
      <c r="CJ1008" t="s">
        <v>3712</v>
      </c>
      <c r="CK1008" t="s">
        <v>2078</v>
      </c>
      <c r="CL1008" t="s">
        <v>449</v>
      </c>
      <c r="CM1008" t="s">
        <v>6370</v>
      </c>
      <c r="CN1008">
        <v>2</v>
      </c>
      <c r="CO1008">
        <v>1</v>
      </c>
      <c r="CP1008" t="s">
        <v>437</v>
      </c>
      <c r="CQ1008" t="s">
        <v>631</v>
      </c>
      <c r="CU1008" t="s">
        <v>401</v>
      </c>
      <c r="CX1008" t="s">
        <v>667</v>
      </c>
      <c r="CY1008" t="s">
        <v>400</v>
      </c>
      <c r="CZ1008">
        <v>0</v>
      </c>
      <c r="DD1008">
        <v>27000</v>
      </c>
      <c r="DE1008" t="s">
        <v>405</v>
      </c>
      <c r="DF1008" t="s">
        <v>406</v>
      </c>
      <c r="DG1008" t="s">
        <v>407</v>
      </c>
      <c r="DH1008">
        <v>1</v>
      </c>
      <c r="DI1008">
        <v>3</v>
      </c>
      <c r="DK1008" t="s">
        <v>15766</v>
      </c>
      <c r="DL1008">
        <v>0</v>
      </c>
      <c r="DM1008" t="s">
        <v>410</v>
      </c>
      <c r="DN1008" t="s">
        <v>609</v>
      </c>
      <c r="DO1008" t="s">
        <v>635</v>
      </c>
      <c r="DP1008" t="s">
        <v>434</v>
      </c>
      <c r="DQ1008" t="s">
        <v>2078</v>
      </c>
      <c r="DR1008" t="s">
        <v>2908</v>
      </c>
      <c r="DS1008" t="s">
        <v>448</v>
      </c>
      <c r="DT1008" t="s">
        <v>2080</v>
      </c>
      <c r="DU1008" t="s">
        <v>1037</v>
      </c>
      <c r="DV1008" t="s">
        <v>979</v>
      </c>
      <c r="DW1008" t="s">
        <v>3712</v>
      </c>
      <c r="DX1008" t="s">
        <v>447</v>
      </c>
      <c r="DY1008" t="s">
        <v>3482</v>
      </c>
      <c r="DZ1008" t="s">
        <v>15767</v>
      </c>
      <c r="EA1008" t="s">
        <v>635</v>
      </c>
      <c r="EB1008" t="s">
        <v>407</v>
      </c>
      <c r="EC1008" t="s">
        <v>402</v>
      </c>
      <c r="ED1008" t="s">
        <v>406</v>
      </c>
      <c r="EE1008" t="s">
        <v>407</v>
      </c>
      <c r="EF1008" t="s">
        <v>401</v>
      </c>
      <c r="EG1008" t="s">
        <v>401</v>
      </c>
      <c r="ET1008" t="s">
        <v>832</v>
      </c>
    </row>
    <row r="1009" spans="1:352" x14ac:dyDescent="0.25">
      <c r="A1009" t="s">
        <v>18948</v>
      </c>
      <c r="B1009" t="str">
        <f>"198394083539"</f>
        <v>198394083539</v>
      </c>
      <c r="C1009" t="s">
        <v>18949</v>
      </c>
      <c r="D1009" t="s">
        <v>18950</v>
      </c>
      <c r="E1009" t="s">
        <v>988</v>
      </c>
      <c r="G1009" t="str">
        <f>"72"</f>
        <v>72</v>
      </c>
      <c r="H1009" t="str">
        <f>"20"</f>
        <v>20</v>
      </c>
      <c r="I1009" t="str">
        <f>"33.25"</f>
        <v>33.25</v>
      </c>
      <c r="J1009" t="str">
        <f>"312.61"</f>
        <v>312.61</v>
      </c>
      <c r="K1009" t="s">
        <v>7901</v>
      </c>
      <c r="L1009" t="s">
        <v>1323</v>
      </c>
      <c r="M1009" t="s">
        <v>1382</v>
      </c>
      <c r="N1009" t="s">
        <v>7902</v>
      </c>
      <c r="O1009" t="s">
        <v>1970</v>
      </c>
      <c r="P1009" t="s">
        <v>372</v>
      </c>
      <c r="T1009" t="s">
        <v>373</v>
      </c>
      <c r="U1009" t="s">
        <v>373</v>
      </c>
      <c r="V1009" t="s">
        <v>18951</v>
      </c>
      <c r="W1009" t="s">
        <v>18952</v>
      </c>
      <c r="X1009" t="s">
        <v>18953</v>
      </c>
      <c r="Y1009" t="s">
        <v>18954</v>
      </c>
      <c r="Z1009" t="s">
        <v>18955</v>
      </c>
      <c r="AA1009" t="s">
        <v>18956</v>
      </c>
      <c r="AB1009" t="s">
        <v>18957</v>
      </c>
      <c r="AC1009" t="s">
        <v>18958</v>
      </c>
      <c r="AD1009" t="s">
        <v>18959</v>
      </c>
      <c r="AE1009" t="s">
        <v>18960</v>
      </c>
      <c r="AF1009" t="s">
        <v>18961</v>
      </c>
      <c r="AG1009" t="s">
        <v>18962</v>
      </c>
      <c r="AH1009" t="s">
        <v>18963</v>
      </c>
      <c r="AI1009" t="s">
        <v>18964</v>
      </c>
      <c r="AJ1009" t="s">
        <v>18965</v>
      </c>
      <c r="AK1009" t="s">
        <v>18966</v>
      </c>
      <c r="AL1009" t="s">
        <v>18967</v>
      </c>
      <c r="BA1009" t="str">
        <f>"3899"</f>
        <v>3899</v>
      </c>
      <c r="BB1009" t="str">
        <f>"1640"</f>
        <v>1640</v>
      </c>
      <c r="BC1009" t="s">
        <v>665</v>
      </c>
      <c r="BD1009" t="str">
        <f>"1"</f>
        <v>1</v>
      </c>
      <c r="BE1009" t="s">
        <v>389</v>
      </c>
      <c r="BF1009" t="str">
        <f>"74.8"</f>
        <v>74.8</v>
      </c>
      <c r="BG1009" t="str">
        <f>"24.02"</f>
        <v>24.02</v>
      </c>
      <c r="BH1009" t="str">
        <f>"43.7"</f>
        <v>43.7</v>
      </c>
      <c r="BI1009" t="str">
        <f>"412.93"</f>
        <v>412.93</v>
      </c>
      <c r="BY1009" t="str">
        <f>"45.41"</f>
        <v>45.41</v>
      </c>
      <c r="BZ1009" t="str">
        <f>"1.286"</f>
        <v>1.286</v>
      </c>
      <c r="CA1009" t="s">
        <v>495</v>
      </c>
      <c r="CR1009" t="s">
        <v>5068</v>
      </c>
      <c r="CS1009">
        <v>6</v>
      </c>
      <c r="CT1009" t="s">
        <v>1312</v>
      </c>
      <c r="CV1009">
        <v>0</v>
      </c>
      <c r="CX1009" t="s">
        <v>953</v>
      </c>
      <c r="CY1009" t="s">
        <v>1009</v>
      </c>
      <c r="DC1009">
        <v>0</v>
      </c>
      <c r="DD1009">
        <v>0</v>
      </c>
      <c r="DJ1009" t="s">
        <v>1010</v>
      </c>
      <c r="DK1009" t="s">
        <v>18968</v>
      </c>
      <c r="DM1009" t="s">
        <v>669</v>
      </c>
      <c r="DX1009" t="s">
        <v>18969</v>
      </c>
      <c r="EM1009" t="s">
        <v>402</v>
      </c>
      <c r="EN1009">
        <v>0</v>
      </c>
      <c r="FI1009">
        <v>0</v>
      </c>
      <c r="FJ1009" t="s">
        <v>1012</v>
      </c>
      <c r="FP1009" t="s">
        <v>402</v>
      </c>
      <c r="FR1009" t="s">
        <v>9623</v>
      </c>
      <c r="FT1009" t="s">
        <v>5071</v>
      </c>
      <c r="FV1009" t="s">
        <v>17373</v>
      </c>
      <c r="FX1009" t="s">
        <v>4210</v>
      </c>
      <c r="FZ1009" t="s">
        <v>1018</v>
      </c>
      <c r="GA1009" t="s">
        <v>402</v>
      </c>
      <c r="KF1009" t="s">
        <v>402</v>
      </c>
    </row>
    <row r="1010" spans="1:352" x14ac:dyDescent="0.25">
      <c r="A1010" t="s">
        <v>18970</v>
      </c>
      <c r="B1010" t="str">
        <f>"198394091374"</f>
        <v>198394091374</v>
      </c>
      <c r="C1010" t="s">
        <v>18971</v>
      </c>
      <c r="D1010" t="s">
        <v>514</v>
      </c>
      <c r="E1010" t="s">
        <v>1166</v>
      </c>
      <c r="G1010" t="str">
        <f>"125.75"</f>
        <v>125.75</v>
      </c>
      <c r="H1010" t="str">
        <f>"125.75"</f>
        <v>125.75</v>
      </c>
      <c r="I1010" t="str">
        <f>"28.25"</f>
        <v>28.25</v>
      </c>
      <c r="J1010" t="str">
        <f>"365"</f>
        <v>365</v>
      </c>
      <c r="K1010" t="s">
        <v>18972</v>
      </c>
      <c r="L1010" t="s">
        <v>518</v>
      </c>
      <c r="N1010" t="s">
        <v>371</v>
      </c>
      <c r="O1010" t="s">
        <v>519</v>
      </c>
      <c r="T1010" t="s">
        <v>373</v>
      </c>
      <c r="U1010" t="s">
        <v>373</v>
      </c>
      <c r="V1010" t="s">
        <v>18973</v>
      </c>
      <c r="W1010" t="s">
        <v>18974</v>
      </c>
      <c r="X1010" t="s">
        <v>18975</v>
      </c>
      <c r="Y1010" t="s">
        <v>18976</v>
      </c>
      <c r="Z1010" t="s">
        <v>18977</v>
      </c>
      <c r="AA1010" t="s">
        <v>18978</v>
      </c>
      <c r="AB1010" t="s">
        <v>18979</v>
      </c>
      <c r="AC1010" t="s">
        <v>18980</v>
      </c>
      <c r="AD1010" t="s">
        <v>18981</v>
      </c>
      <c r="AE1010" t="s">
        <v>18982</v>
      </c>
      <c r="AF1010" t="s">
        <v>18983</v>
      </c>
      <c r="AG1010" t="s">
        <v>18984</v>
      </c>
      <c r="AH1010" t="s">
        <v>18985</v>
      </c>
      <c r="AI1010" t="s">
        <v>18986</v>
      </c>
      <c r="AJ1010" t="s">
        <v>18987</v>
      </c>
      <c r="BA1010" t="str">
        <f>"11199"</f>
        <v>11199</v>
      </c>
      <c r="BB1010" t="str">
        <f>"4705"</f>
        <v>4705</v>
      </c>
      <c r="BC1010" t="s">
        <v>388</v>
      </c>
      <c r="BD1010" t="str">
        <f>"2"</f>
        <v>2</v>
      </c>
      <c r="BE1010" t="s">
        <v>389</v>
      </c>
      <c r="BF1010" t="str">
        <f>"46.5"</f>
        <v>46.5</v>
      </c>
      <c r="BG1010" t="str">
        <f>"39"</f>
        <v>39</v>
      </c>
      <c r="BH1010" t="str">
        <f>"30.5"</f>
        <v>30.5</v>
      </c>
      <c r="BI1010" t="str">
        <f>"68"</f>
        <v>68</v>
      </c>
      <c r="BJ1010" t="s">
        <v>389</v>
      </c>
      <c r="BK1010" t="str">
        <f>"46"</f>
        <v>46</v>
      </c>
      <c r="BL1010" t="str">
        <f>"45.5"</f>
        <v>45.5</v>
      </c>
      <c r="BM1010" t="str">
        <f>"29.5"</f>
        <v>29.5</v>
      </c>
      <c r="BN1010" t="str">
        <f>"106"</f>
        <v>106</v>
      </c>
      <c r="BY1010" t="str">
        <f>"171.21"</f>
        <v>171.21</v>
      </c>
      <c r="BZ1010" t="str">
        <f>"4.848"</f>
        <v>4.848</v>
      </c>
      <c r="CA1010" t="s">
        <v>495</v>
      </c>
      <c r="CP1010" t="s">
        <v>398</v>
      </c>
      <c r="CQ1010" t="s">
        <v>2743</v>
      </c>
      <c r="CX1010" t="s">
        <v>403</v>
      </c>
      <c r="CY1010" t="s">
        <v>400</v>
      </c>
      <c r="DD1010">
        <v>0</v>
      </c>
      <c r="DE1010" t="s">
        <v>439</v>
      </c>
      <c r="DF1010" t="s">
        <v>632</v>
      </c>
      <c r="DI1010">
        <v>5</v>
      </c>
      <c r="DJ1010" t="s">
        <v>12398</v>
      </c>
      <c r="DK1010" t="s">
        <v>18988</v>
      </c>
      <c r="DM1010" t="s">
        <v>3739</v>
      </c>
      <c r="ED1010" t="s">
        <v>632</v>
      </c>
      <c r="EG1010" t="s">
        <v>18989</v>
      </c>
      <c r="ET1010" t="s">
        <v>2003</v>
      </c>
      <c r="GP1010" t="s">
        <v>11059</v>
      </c>
    </row>
    <row r="1011" spans="1:352" x14ac:dyDescent="0.25">
      <c r="A1011" t="s">
        <v>18990</v>
      </c>
      <c r="B1011" t="str">
        <f>"198394092074"</f>
        <v>198394092074</v>
      </c>
      <c r="C1011" t="s">
        <v>18991</v>
      </c>
      <c r="D1011" t="s">
        <v>1276</v>
      </c>
      <c r="E1011" t="s">
        <v>988</v>
      </c>
      <c r="G1011" t="str">
        <f>"66"</f>
        <v>66</v>
      </c>
      <c r="H1011" t="str">
        <f>"18.5"</f>
        <v>18.5</v>
      </c>
      <c r="I1011" t="str">
        <f>"30"</f>
        <v>30</v>
      </c>
      <c r="J1011" t="str">
        <f>"227.07"</f>
        <v>227.07</v>
      </c>
      <c r="K1011" t="s">
        <v>18992</v>
      </c>
      <c r="L1011" t="s">
        <v>13731</v>
      </c>
      <c r="N1011" t="s">
        <v>1463</v>
      </c>
      <c r="O1011" t="s">
        <v>555</v>
      </c>
      <c r="T1011" t="s">
        <v>373</v>
      </c>
      <c r="U1011" t="s">
        <v>373</v>
      </c>
      <c r="V1011" t="s">
        <v>18993</v>
      </c>
      <c r="W1011" t="s">
        <v>18994</v>
      </c>
      <c r="X1011" t="s">
        <v>18995</v>
      </c>
      <c r="Y1011" t="s">
        <v>18996</v>
      </c>
      <c r="Z1011" t="s">
        <v>18997</v>
      </c>
      <c r="AA1011" t="s">
        <v>18998</v>
      </c>
      <c r="AB1011" t="s">
        <v>18999</v>
      </c>
      <c r="AC1011" t="s">
        <v>19000</v>
      </c>
      <c r="AD1011" t="s">
        <v>19001</v>
      </c>
      <c r="AE1011" t="s">
        <v>19002</v>
      </c>
      <c r="AF1011" t="s">
        <v>19003</v>
      </c>
      <c r="BA1011" t="str">
        <f>"2099"</f>
        <v>2099</v>
      </c>
      <c r="BB1011" t="str">
        <f>"885"</f>
        <v>885</v>
      </c>
      <c r="BC1011" t="s">
        <v>665</v>
      </c>
      <c r="BD1011" t="str">
        <f>"1"</f>
        <v>1</v>
      </c>
      <c r="BE1011" t="s">
        <v>1090</v>
      </c>
      <c r="BF1011" t="str">
        <f>"71.65"</f>
        <v>71.65</v>
      </c>
      <c r="BG1011" t="str">
        <f>"24.41"</f>
        <v>24.41</v>
      </c>
      <c r="BH1011" t="str">
        <f>"36.42"</f>
        <v>36.42</v>
      </c>
      <c r="BI1011" t="str">
        <f>"267.86"</f>
        <v>267.86</v>
      </c>
      <c r="BY1011" t="str">
        <f>"36.87"</f>
        <v>36.87</v>
      </c>
      <c r="BZ1011" t="str">
        <f>"1.044"</f>
        <v>1.044</v>
      </c>
      <c r="CA1011" t="s">
        <v>495</v>
      </c>
      <c r="CR1011" t="s">
        <v>5068</v>
      </c>
      <c r="CS1011">
        <v>6</v>
      </c>
      <c r="CT1011" t="s">
        <v>400</v>
      </c>
      <c r="CV1011">
        <v>0</v>
      </c>
      <c r="CX1011" t="s">
        <v>953</v>
      </c>
      <c r="CY1011" t="s">
        <v>954</v>
      </c>
      <c r="DC1011">
        <v>0</v>
      </c>
      <c r="DJ1011" t="s">
        <v>1010</v>
      </c>
      <c r="DK1011" t="s">
        <v>19004</v>
      </c>
      <c r="DM1011" t="s">
        <v>473</v>
      </c>
      <c r="EN1011">
        <v>0</v>
      </c>
      <c r="FI1011">
        <v>0</v>
      </c>
      <c r="FJ1011" t="s">
        <v>1012</v>
      </c>
      <c r="FR1011" t="s">
        <v>979</v>
      </c>
      <c r="FT1011" t="s">
        <v>18167</v>
      </c>
      <c r="FV1011" t="s">
        <v>1439</v>
      </c>
      <c r="FX1011" t="s">
        <v>1017</v>
      </c>
      <c r="FZ1011" t="s">
        <v>1018</v>
      </c>
      <c r="KF1011" t="s">
        <v>402</v>
      </c>
    </row>
    <row r="1012" spans="1:352" x14ac:dyDescent="0.25">
      <c r="A1012" t="s">
        <v>19005</v>
      </c>
      <c r="B1012" t="str">
        <f>"198394126205"</f>
        <v>198394126205</v>
      </c>
      <c r="C1012" t="s">
        <v>19006</v>
      </c>
      <c r="D1012" t="s">
        <v>3642</v>
      </c>
      <c r="E1012" t="s">
        <v>413</v>
      </c>
      <c r="G1012" t="str">
        <f>"87"</f>
        <v>87</v>
      </c>
      <c r="H1012" t="str">
        <f>"41.5"</f>
        <v>41.5</v>
      </c>
      <c r="I1012" t="str">
        <f>"34.5"</f>
        <v>34.5</v>
      </c>
      <c r="J1012" t="str">
        <f>"160"</f>
        <v>160</v>
      </c>
      <c r="K1012" t="s">
        <v>3643</v>
      </c>
      <c r="L1012" t="s">
        <v>3645</v>
      </c>
      <c r="N1012" t="s">
        <v>3646</v>
      </c>
      <c r="O1012" t="s">
        <v>3647</v>
      </c>
      <c r="P1012" t="s">
        <v>3648</v>
      </c>
      <c r="Q1012" t="s">
        <v>3649</v>
      </c>
      <c r="T1012" t="s">
        <v>373</v>
      </c>
      <c r="U1012" t="s">
        <v>402</v>
      </c>
      <c r="V1012" t="s">
        <v>19007</v>
      </c>
      <c r="W1012" t="s">
        <v>19008</v>
      </c>
      <c r="X1012" t="s">
        <v>19009</v>
      </c>
      <c r="Y1012" t="s">
        <v>19010</v>
      </c>
      <c r="Z1012" t="s">
        <v>19011</v>
      </c>
      <c r="AA1012" t="s">
        <v>19012</v>
      </c>
      <c r="AB1012" t="s">
        <v>19013</v>
      </c>
      <c r="AC1012" t="s">
        <v>19014</v>
      </c>
      <c r="AD1012" t="s">
        <v>19015</v>
      </c>
      <c r="AE1012" t="s">
        <v>19016</v>
      </c>
      <c r="AF1012" t="s">
        <v>19017</v>
      </c>
      <c r="AG1012" t="s">
        <v>19018</v>
      </c>
      <c r="AH1012" t="s">
        <v>19019</v>
      </c>
      <c r="BA1012" t="str">
        <f>"2999"</f>
        <v>2999</v>
      </c>
      <c r="BB1012" t="str">
        <f>"1260"</f>
        <v>1260</v>
      </c>
      <c r="BC1012" t="s">
        <v>3670</v>
      </c>
      <c r="BD1012" t="str">
        <f>"1"</f>
        <v>1</v>
      </c>
      <c r="BE1012" t="s">
        <v>14037</v>
      </c>
      <c r="BF1012" t="str">
        <f>"86"</f>
        <v>86</v>
      </c>
      <c r="BG1012" t="str">
        <f>"43"</f>
        <v>43</v>
      </c>
      <c r="BH1012" t="str">
        <f>"27.5"</f>
        <v>27.5</v>
      </c>
      <c r="BI1012" t="str">
        <f>"172"</f>
        <v>172</v>
      </c>
      <c r="BY1012" t="str">
        <f>"58.83"</f>
        <v>58.83</v>
      </c>
      <c r="BZ1012" t="str">
        <f>"1.666"</f>
        <v>1.666</v>
      </c>
      <c r="CA1012" t="s">
        <v>431</v>
      </c>
      <c r="CH1012" t="s">
        <v>789</v>
      </c>
      <c r="CI1012" t="s">
        <v>448</v>
      </c>
      <c r="CJ1012" t="s">
        <v>5384</v>
      </c>
      <c r="CK1012" t="s">
        <v>856</v>
      </c>
      <c r="CL1012" t="s">
        <v>791</v>
      </c>
      <c r="CM1012" t="s">
        <v>5384</v>
      </c>
      <c r="CN1012">
        <v>0</v>
      </c>
      <c r="CO1012">
        <v>2</v>
      </c>
      <c r="CP1012" t="s">
        <v>437</v>
      </c>
      <c r="CQ1012" t="s">
        <v>1152</v>
      </c>
      <c r="CU1012" t="s">
        <v>401</v>
      </c>
      <c r="CX1012" t="s">
        <v>667</v>
      </c>
      <c r="CY1012" t="s">
        <v>400</v>
      </c>
      <c r="CZ1012">
        <v>0</v>
      </c>
      <c r="DD1012">
        <v>33000</v>
      </c>
      <c r="DE1012" t="s">
        <v>405</v>
      </c>
      <c r="DF1012" t="s">
        <v>406</v>
      </c>
      <c r="DG1012" t="s">
        <v>407</v>
      </c>
      <c r="DH1012">
        <v>1</v>
      </c>
      <c r="DI1012">
        <v>4</v>
      </c>
      <c r="DK1012" t="s">
        <v>3673</v>
      </c>
      <c r="DL1012">
        <v>0</v>
      </c>
      <c r="DM1012" t="s">
        <v>795</v>
      </c>
      <c r="DN1012" t="s">
        <v>634</v>
      </c>
      <c r="DO1012" t="s">
        <v>610</v>
      </c>
      <c r="DP1012" t="s">
        <v>3674</v>
      </c>
      <c r="DT1012" t="s">
        <v>2510</v>
      </c>
      <c r="DU1012" t="s">
        <v>2240</v>
      </c>
      <c r="DV1012" t="s">
        <v>2073</v>
      </c>
      <c r="DW1012" t="s">
        <v>2141</v>
      </c>
      <c r="DX1012" t="s">
        <v>827</v>
      </c>
      <c r="DY1012" t="s">
        <v>612</v>
      </c>
      <c r="DZ1012" t="s">
        <v>19020</v>
      </c>
      <c r="EA1012" t="s">
        <v>610</v>
      </c>
      <c r="ED1012" t="s">
        <v>406</v>
      </c>
      <c r="EE1012" t="s">
        <v>407</v>
      </c>
      <c r="EG1012" t="s">
        <v>401</v>
      </c>
      <c r="ET1012" t="s">
        <v>832</v>
      </c>
    </row>
    <row r="1013" spans="1:352" x14ac:dyDescent="0.25">
      <c r="A1013" t="s">
        <v>19021</v>
      </c>
      <c r="B1013" t="str">
        <f>"198394123068"</f>
        <v>198394123068</v>
      </c>
      <c r="C1013" t="s">
        <v>16424</v>
      </c>
      <c r="D1013" t="s">
        <v>1318</v>
      </c>
      <c r="E1013" t="s">
        <v>2006</v>
      </c>
      <c r="F1013" t="s">
        <v>2040</v>
      </c>
      <c r="G1013" t="str">
        <f>"118"</f>
        <v>118</v>
      </c>
      <c r="H1013" t="str">
        <f>"95.5"</f>
        <v>95.5</v>
      </c>
      <c r="I1013" t="str">
        <f>"47.5"</f>
        <v>47.5</v>
      </c>
      <c r="J1013" t="str">
        <f>"550.05"</f>
        <v>550.05</v>
      </c>
      <c r="K1013" t="s">
        <v>16425</v>
      </c>
      <c r="L1013" t="s">
        <v>16211</v>
      </c>
      <c r="M1013" t="s">
        <v>16339</v>
      </c>
      <c r="N1013" t="s">
        <v>11157</v>
      </c>
      <c r="O1013" t="s">
        <v>16426</v>
      </c>
      <c r="P1013" t="s">
        <v>9602</v>
      </c>
      <c r="Q1013" t="s">
        <v>1970</v>
      </c>
      <c r="T1013" t="s">
        <v>373</v>
      </c>
      <c r="U1013" t="s">
        <v>373</v>
      </c>
      <c r="V1013" t="s">
        <v>16427</v>
      </c>
      <c r="W1013" t="s">
        <v>19022</v>
      </c>
      <c r="X1013" t="s">
        <v>19023</v>
      </c>
      <c r="Y1013" t="s">
        <v>19024</v>
      </c>
      <c r="Z1013" t="s">
        <v>19025</v>
      </c>
      <c r="AA1013" t="s">
        <v>19026</v>
      </c>
      <c r="AB1013" t="s">
        <v>19027</v>
      </c>
      <c r="AC1013" t="s">
        <v>19028</v>
      </c>
      <c r="AD1013" t="s">
        <v>19029</v>
      </c>
      <c r="AE1013" t="s">
        <v>19030</v>
      </c>
      <c r="AF1013" t="s">
        <v>19031</v>
      </c>
      <c r="AG1013" t="s">
        <v>19032</v>
      </c>
      <c r="AH1013" t="s">
        <v>19033</v>
      </c>
      <c r="AI1013" t="s">
        <v>19034</v>
      </c>
      <c r="BA1013" t="str">
        <f>"5899"</f>
        <v>5899</v>
      </c>
      <c r="BB1013" t="str">
        <f>"2480"</f>
        <v>2480</v>
      </c>
      <c r="BC1013" t="s">
        <v>665</v>
      </c>
      <c r="BD1013" t="str">
        <f>"3"</f>
        <v>3</v>
      </c>
      <c r="BE1013" t="s">
        <v>19035</v>
      </c>
      <c r="BF1013" t="str">
        <f>"52.56"</f>
        <v>52.56</v>
      </c>
      <c r="BG1013" t="str">
        <f>"44.49"</f>
        <v>44.49</v>
      </c>
      <c r="BH1013" t="str">
        <f>"26.18"</f>
        <v>26.18</v>
      </c>
      <c r="BI1013" t="str">
        <f>"306.44"</f>
        <v>306.44</v>
      </c>
      <c r="BJ1013" t="s">
        <v>19036</v>
      </c>
      <c r="BK1013" t="str">
        <f>"94.49"</f>
        <v>94.49</v>
      </c>
      <c r="BL1013" t="str">
        <f>"27.95"</f>
        <v>27.95</v>
      </c>
      <c r="BM1013" t="str">
        <f>"19.88"</f>
        <v>19.88</v>
      </c>
      <c r="BN1013" t="str">
        <f>"224.87"</f>
        <v>224.87</v>
      </c>
      <c r="BO1013" t="s">
        <v>19037</v>
      </c>
      <c r="BP1013" t="str">
        <f>"101.57"</f>
        <v>101.57</v>
      </c>
      <c r="BQ1013" t="str">
        <f>"12.99"</f>
        <v>12.99</v>
      </c>
      <c r="BR1013" t="str">
        <f>"20.87"</f>
        <v>20.87</v>
      </c>
      <c r="BS1013" t="str">
        <f>"85.98"</f>
        <v>85.98</v>
      </c>
      <c r="BY1013" t="str">
        <f>"81.75"</f>
        <v>81.75</v>
      </c>
      <c r="BZ1013" t="str">
        <f>"2.315"</f>
        <v>2.315</v>
      </c>
      <c r="CA1013" t="s">
        <v>495</v>
      </c>
      <c r="CQ1013" t="s">
        <v>631</v>
      </c>
      <c r="CR1013" t="s">
        <v>400</v>
      </c>
      <c r="CS1013">
        <v>0</v>
      </c>
      <c r="CT1013" t="s">
        <v>400</v>
      </c>
      <c r="CV1013">
        <v>0</v>
      </c>
      <c r="CX1013" t="s">
        <v>403</v>
      </c>
      <c r="CY1013" t="s">
        <v>400</v>
      </c>
      <c r="DA1013">
        <v>0</v>
      </c>
      <c r="DB1013">
        <v>0</v>
      </c>
      <c r="DC1013">
        <v>0</v>
      </c>
      <c r="DD1013">
        <v>25000</v>
      </c>
      <c r="DK1013" t="s">
        <v>16442</v>
      </c>
      <c r="DM1013" t="s">
        <v>2028</v>
      </c>
      <c r="EN1013">
        <v>0</v>
      </c>
      <c r="HQ1013" t="s">
        <v>3319</v>
      </c>
      <c r="HR1013" t="s">
        <v>16443</v>
      </c>
      <c r="HS1013" t="s">
        <v>19038</v>
      </c>
      <c r="HT1013" t="s">
        <v>17114</v>
      </c>
      <c r="HU1013" t="s">
        <v>1739</v>
      </c>
      <c r="HV1013" t="s">
        <v>19039</v>
      </c>
      <c r="HW1013" t="s">
        <v>2171</v>
      </c>
      <c r="HX1013" t="s">
        <v>4208</v>
      </c>
      <c r="HY1013" t="s">
        <v>3255</v>
      </c>
      <c r="HZ1013" t="s">
        <v>4207</v>
      </c>
      <c r="IA1013" t="s">
        <v>16447</v>
      </c>
      <c r="IB1013" t="s">
        <v>16443</v>
      </c>
      <c r="IC1013" t="s">
        <v>402</v>
      </c>
      <c r="ID1013" t="s">
        <v>3519</v>
      </c>
      <c r="IE1013" t="s">
        <v>1008</v>
      </c>
      <c r="IF1013" t="s">
        <v>2177</v>
      </c>
      <c r="IG1013" t="s">
        <v>2040</v>
      </c>
      <c r="IM1013" t="s">
        <v>7587</v>
      </c>
      <c r="IN1013" t="s">
        <v>3256</v>
      </c>
      <c r="IP1013" t="s">
        <v>402</v>
      </c>
      <c r="IQ1013" t="s">
        <v>3522</v>
      </c>
      <c r="IT1013" t="s">
        <v>16448</v>
      </c>
      <c r="IU1013" t="s">
        <v>17943</v>
      </c>
    </row>
    <row r="1014" spans="1:352" x14ac:dyDescent="0.25">
      <c r="A1014" t="s">
        <v>19040</v>
      </c>
      <c r="B1014" t="str">
        <f>"198394138642"</f>
        <v>198394138642</v>
      </c>
      <c r="C1014" t="s">
        <v>19041</v>
      </c>
      <c r="D1014" t="s">
        <v>1224</v>
      </c>
      <c r="E1014" t="s">
        <v>18044</v>
      </c>
      <c r="G1014" t="str">
        <f>"107.75"</f>
        <v>107.75</v>
      </c>
      <c r="H1014" t="str">
        <f>"58.25"</f>
        <v>58.25</v>
      </c>
      <c r="I1014" t="str">
        <f>"36.25"</f>
        <v>36.25</v>
      </c>
      <c r="J1014" t="str">
        <f>"280.87"</f>
        <v>280.87</v>
      </c>
      <c r="K1014" t="s">
        <v>19042</v>
      </c>
      <c r="L1014" t="s">
        <v>19043</v>
      </c>
      <c r="N1014" t="s">
        <v>555</v>
      </c>
      <c r="O1014" t="s">
        <v>1227</v>
      </c>
      <c r="T1014" t="s">
        <v>373</v>
      </c>
      <c r="U1014" t="s">
        <v>373</v>
      </c>
      <c r="V1014" t="s">
        <v>19044</v>
      </c>
      <c r="W1014" t="s">
        <v>19045</v>
      </c>
      <c r="X1014" t="s">
        <v>19046</v>
      </c>
      <c r="Y1014" t="s">
        <v>19047</v>
      </c>
      <c r="Z1014" t="s">
        <v>19048</v>
      </c>
      <c r="AA1014" t="s">
        <v>19049</v>
      </c>
      <c r="AB1014" t="s">
        <v>19050</v>
      </c>
      <c r="AC1014" t="s">
        <v>19051</v>
      </c>
      <c r="AD1014" t="s">
        <v>19052</v>
      </c>
      <c r="AE1014" t="s">
        <v>19053</v>
      </c>
      <c r="AF1014" t="s">
        <v>19054</v>
      </c>
      <c r="AG1014" t="s">
        <v>19055</v>
      </c>
      <c r="AH1014" t="s">
        <v>19056</v>
      </c>
      <c r="AI1014" t="s">
        <v>19057</v>
      </c>
      <c r="AJ1014" t="s">
        <v>19058</v>
      </c>
      <c r="AK1014" t="s">
        <v>19059</v>
      </c>
      <c r="AL1014" t="s">
        <v>19060</v>
      </c>
      <c r="BA1014" t="str">
        <f>"8999"</f>
        <v>8999</v>
      </c>
      <c r="BB1014" t="str">
        <f>"3780"</f>
        <v>3780</v>
      </c>
      <c r="BC1014" t="s">
        <v>1149</v>
      </c>
      <c r="BD1014" t="str">
        <f>"2"</f>
        <v>2</v>
      </c>
      <c r="BE1014" t="s">
        <v>19061</v>
      </c>
      <c r="BF1014" t="str">
        <f>"122.05"</f>
        <v>122.05</v>
      </c>
      <c r="BG1014" t="str">
        <f>"6.69"</f>
        <v>6.69</v>
      </c>
      <c r="BH1014" t="str">
        <f>"64.57"</f>
        <v>64.57</v>
      </c>
      <c r="BI1014" t="str">
        <f>"335.98"</f>
        <v>335.98</v>
      </c>
      <c r="BJ1014" t="s">
        <v>19062</v>
      </c>
      <c r="BK1014" t="str">
        <f>"53.15"</f>
        <v>53.15</v>
      </c>
      <c r="BL1014" t="str">
        <f>"44.88"</f>
        <v>44.88</v>
      </c>
      <c r="BM1014" t="str">
        <f>"37.4"</f>
        <v>37.4</v>
      </c>
      <c r="BN1014" t="str">
        <f>"166.89"</f>
        <v>166.89</v>
      </c>
      <c r="BY1014" t="str">
        <f>"82.14"</f>
        <v>82.14</v>
      </c>
      <c r="BZ1014" t="str">
        <f>"2.326"</f>
        <v>2.326</v>
      </c>
      <c r="CA1014" t="s">
        <v>495</v>
      </c>
      <c r="DK1014" t="s">
        <v>19063</v>
      </c>
      <c r="DX1014" t="s">
        <v>609</v>
      </c>
      <c r="EI1014" t="s">
        <v>19064</v>
      </c>
      <c r="EJ1014" t="s">
        <v>609</v>
      </c>
      <c r="EK1014" t="s">
        <v>1162</v>
      </c>
      <c r="EM1014" t="s">
        <v>402</v>
      </c>
      <c r="EX1014" t="s">
        <v>19065</v>
      </c>
      <c r="LV1014">
        <v>4</v>
      </c>
      <c r="LW1014">
        <v>0</v>
      </c>
      <c r="LY1014">
        <v>0</v>
      </c>
      <c r="LZ1014">
        <v>0</v>
      </c>
      <c r="MA1014">
        <v>0</v>
      </c>
      <c r="MB1014" t="s">
        <v>19066</v>
      </c>
      <c r="MC1014">
        <v>4</v>
      </c>
      <c r="MD1014">
        <v>0</v>
      </c>
      <c r="ME1014">
        <v>0</v>
      </c>
      <c r="MF1014">
        <v>0</v>
      </c>
      <c r="MG1014">
        <v>0</v>
      </c>
      <c r="MI1014" t="s">
        <v>1552</v>
      </c>
      <c r="MJ1014" t="s">
        <v>19067</v>
      </c>
      <c r="MK1014" t="s">
        <v>3484</v>
      </c>
      <c r="ML1014" t="s">
        <v>800</v>
      </c>
      <c r="MM1014" t="s">
        <v>433</v>
      </c>
      <c r="MN1014" t="s">
        <v>19068</v>
      </c>
    </row>
    <row r="1015" spans="1:352" x14ac:dyDescent="0.25">
      <c r="A1015" t="s">
        <v>19069</v>
      </c>
      <c r="B1015" t="str">
        <f>"198394138659"</f>
        <v>198394138659</v>
      </c>
      <c r="C1015" t="s">
        <v>19070</v>
      </c>
      <c r="D1015" t="s">
        <v>1224</v>
      </c>
      <c r="E1015" t="s">
        <v>18044</v>
      </c>
      <c r="G1015" t="str">
        <f>"107.75"</f>
        <v>107.75</v>
      </c>
      <c r="H1015" t="str">
        <f>"58.25"</f>
        <v>58.25</v>
      </c>
      <c r="I1015" t="str">
        <f>"36.25"</f>
        <v>36.25</v>
      </c>
      <c r="J1015" t="str">
        <f>"280.87"</f>
        <v>280.87</v>
      </c>
      <c r="K1015" t="s">
        <v>19071</v>
      </c>
      <c r="L1015" t="s">
        <v>19042</v>
      </c>
      <c r="M1015" t="s">
        <v>19072</v>
      </c>
      <c r="N1015" t="s">
        <v>5602</v>
      </c>
      <c r="O1015" t="s">
        <v>555</v>
      </c>
      <c r="P1015" t="s">
        <v>1227</v>
      </c>
      <c r="T1015" t="s">
        <v>373</v>
      </c>
      <c r="U1015" t="s">
        <v>373</v>
      </c>
      <c r="V1015" t="s">
        <v>19073</v>
      </c>
      <c r="W1015" t="s">
        <v>19074</v>
      </c>
      <c r="X1015" t="s">
        <v>19075</v>
      </c>
      <c r="Y1015" t="s">
        <v>19076</v>
      </c>
      <c r="Z1015" t="s">
        <v>19077</v>
      </c>
      <c r="AA1015" t="s">
        <v>19078</v>
      </c>
      <c r="AB1015" t="s">
        <v>19079</v>
      </c>
      <c r="AC1015" t="s">
        <v>19080</v>
      </c>
      <c r="AD1015" t="s">
        <v>19081</v>
      </c>
      <c r="AE1015" t="s">
        <v>19082</v>
      </c>
      <c r="AF1015" t="s">
        <v>19083</v>
      </c>
      <c r="AG1015" t="s">
        <v>19084</v>
      </c>
      <c r="AH1015" t="s">
        <v>19085</v>
      </c>
      <c r="AI1015" t="s">
        <v>19086</v>
      </c>
      <c r="AJ1015" t="s">
        <v>19087</v>
      </c>
      <c r="AK1015" t="s">
        <v>19088</v>
      </c>
      <c r="AL1015" t="s">
        <v>19089</v>
      </c>
      <c r="BA1015" t="str">
        <f>"8999"</f>
        <v>8999</v>
      </c>
      <c r="BB1015" t="str">
        <f>"3780"</f>
        <v>3780</v>
      </c>
      <c r="BC1015" t="s">
        <v>1149</v>
      </c>
      <c r="BD1015" t="str">
        <f>"2"</f>
        <v>2</v>
      </c>
      <c r="BE1015" t="s">
        <v>19061</v>
      </c>
      <c r="BF1015" t="str">
        <f>"122.05"</f>
        <v>122.05</v>
      </c>
      <c r="BG1015" t="str">
        <f>"6.69"</f>
        <v>6.69</v>
      </c>
      <c r="BH1015" t="str">
        <f>"64.57"</f>
        <v>64.57</v>
      </c>
      <c r="BI1015" t="str">
        <f>"335.98"</f>
        <v>335.98</v>
      </c>
      <c r="BJ1015" t="s">
        <v>19062</v>
      </c>
      <c r="BK1015" t="str">
        <f>"53.15"</f>
        <v>53.15</v>
      </c>
      <c r="BL1015" t="str">
        <f>"44.88"</f>
        <v>44.88</v>
      </c>
      <c r="BM1015" t="str">
        <f>"37.4"</f>
        <v>37.4</v>
      </c>
      <c r="BN1015" t="str">
        <f>"166.89"</f>
        <v>166.89</v>
      </c>
      <c r="BY1015" t="str">
        <f>"82.14"</f>
        <v>82.14</v>
      </c>
      <c r="BZ1015" t="str">
        <f>"2.326"</f>
        <v>2.326</v>
      </c>
      <c r="CA1015" t="s">
        <v>431</v>
      </c>
      <c r="DK1015" t="s">
        <v>19063</v>
      </c>
      <c r="DX1015" t="s">
        <v>609</v>
      </c>
      <c r="EI1015" t="s">
        <v>19064</v>
      </c>
      <c r="EJ1015" t="s">
        <v>609</v>
      </c>
      <c r="EK1015" t="s">
        <v>1162</v>
      </c>
      <c r="EM1015" t="s">
        <v>402</v>
      </c>
      <c r="EX1015" t="s">
        <v>19065</v>
      </c>
      <c r="LV1015">
        <v>4</v>
      </c>
      <c r="LW1015">
        <v>0</v>
      </c>
      <c r="LY1015">
        <v>0</v>
      </c>
      <c r="LZ1015">
        <v>0</v>
      </c>
      <c r="MA1015">
        <v>0</v>
      </c>
      <c r="MB1015" t="s">
        <v>19066</v>
      </c>
      <c r="MC1015">
        <v>4</v>
      </c>
      <c r="MD1015">
        <v>0</v>
      </c>
      <c r="ME1015">
        <v>0</v>
      </c>
      <c r="MF1015">
        <v>0</v>
      </c>
      <c r="MG1015">
        <v>0</v>
      </c>
      <c r="MI1015" t="s">
        <v>1552</v>
      </c>
      <c r="MJ1015" t="s">
        <v>19067</v>
      </c>
      <c r="MK1015" t="s">
        <v>3484</v>
      </c>
      <c r="ML1015" t="s">
        <v>800</v>
      </c>
      <c r="MM1015" t="s">
        <v>433</v>
      </c>
      <c r="MN1015" t="s">
        <v>19068</v>
      </c>
    </row>
    <row r="1016" spans="1:352" x14ac:dyDescent="0.25">
      <c r="A1016" t="s">
        <v>19090</v>
      </c>
      <c r="B1016" t="str">
        <f>"801542328184"</f>
        <v>801542328184</v>
      </c>
      <c r="C1016" t="s">
        <v>19091</v>
      </c>
      <c r="D1016" t="s">
        <v>571</v>
      </c>
      <c r="E1016" t="s">
        <v>515</v>
      </c>
      <c r="F1016" t="s">
        <v>516</v>
      </c>
      <c r="G1016" t="str">
        <f>"32"</f>
        <v>32</v>
      </c>
      <c r="H1016" t="str">
        <f>"33.5"</f>
        <v>33.5</v>
      </c>
      <c r="I1016" t="str">
        <f>"35.5"</f>
        <v>35.5</v>
      </c>
      <c r="J1016" t="str">
        <f>"50.71"</f>
        <v>50.71</v>
      </c>
      <c r="K1016" t="s">
        <v>1744</v>
      </c>
      <c r="L1016" t="s">
        <v>15442</v>
      </c>
      <c r="N1016" t="s">
        <v>371</v>
      </c>
      <c r="O1016" t="s">
        <v>372</v>
      </c>
      <c r="T1016" t="s">
        <v>373</v>
      </c>
      <c r="U1016" t="s">
        <v>373</v>
      </c>
      <c r="V1016" t="s">
        <v>19092</v>
      </c>
      <c r="W1016" t="s">
        <v>19093</v>
      </c>
      <c r="X1016" t="s">
        <v>19094</v>
      </c>
      <c r="Y1016" t="s">
        <v>19095</v>
      </c>
      <c r="Z1016" t="s">
        <v>19096</v>
      </c>
      <c r="AA1016" t="s">
        <v>19097</v>
      </c>
      <c r="AB1016" t="s">
        <v>19098</v>
      </c>
      <c r="AC1016" t="s">
        <v>19099</v>
      </c>
      <c r="AD1016" t="s">
        <v>19100</v>
      </c>
      <c r="AE1016" t="s">
        <v>19101</v>
      </c>
      <c r="AF1016" t="s">
        <v>19102</v>
      </c>
      <c r="AG1016" t="s">
        <v>19103</v>
      </c>
      <c r="BA1016" t="str">
        <f>"1249"</f>
        <v>1249</v>
      </c>
      <c r="BB1016" t="str">
        <f>"525"</f>
        <v>525</v>
      </c>
      <c r="BC1016" t="s">
        <v>388</v>
      </c>
      <c r="BD1016" t="str">
        <f t="shared" ref="BD1016:BD1034" si="193">"1"</f>
        <v>1</v>
      </c>
      <c r="BE1016" t="s">
        <v>389</v>
      </c>
      <c r="BF1016" t="str">
        <f>"34.25"</f>
        <v>34.25</v>
      </c>
      <c r="BG1016" t="str">
        <f>"33.07"</f>
        <v>33.07</v>
      </c>
      <c r="BH1016" t="str">
        <f>"32.68"</f>
        <v>32.68</v>
      </c>
      <c r="BI1016" t="str">
        <f>"63.93"</f>
        <v>63.93</v>
      </c>
      <c r="BY1016" t="str">
        <f>"21.44"</f>
        <v>21.44</v>
      </c>
      <c r="BZ1016" t="str">
        <f>"0.607"</f>
        <v>0.607</v>
      </c>
      <c r="CA1016" t="s">
        <v>495</v>
      </c>
      <c r="CH1016" t="s">
        <v>796</v>
      </c>
      <c r="CI1016" t="s">
        <v>450</v>
      </c>
      <c r="CJ1016" t="s">
        <v>638</v>
      </c>
      <c r="CK1016" t="s">
        <v>602</v>
      </c>
      <c r="CL1016" t="s">
        <v>435</v>
      </c>
      <c r="CN1016">
        <v>0</v>
      </c>
      <c r="CO1016">
        <v>1</v>
      </c>
      <c r="CP1016" t="s">
        <v>437</v>
      </c>
      <c r="CQ1016" t="s">
        <v>631</v>
      </c>
      <c r="CU1016" t="s">
        <v>604</v>
      </c>
      <c r="CX1016" t="s">
        <v>403</v>
      </c>
      <c r="CY1016" t="s">
        <v>400</v>
      </c>
      <c r="CZ1016">
        <v>0</v>
      </c>
      <c r="DD1016">
        <v>25000</v>
      </c>
      <c r="DE1016" t="s">
        <v>439</v>
      </c>
      <c r="DF1016" t="s">
        <v>406</v>
      </c>
      <c r="DG1016" t="s">
        <v>407</v>
      </c>
      <c r="DH1016">
        <v>1</v>
      </c>
      <c r="DI1016">
        <v>1</v>
      </c>
      <c r="DK1016" t="s">
        <v>1487</v>
      </c>
      <c r="DL1016">
        <v>0</v>
      </c>
      <c r="DM1016" t="s">
        <v>538</v>
      </c>
      <c r="DN1016" t="s">
        <v>1488</v>
      </c>
      <c r="DO1016" t="s">
        <v>1489</v>
      </c>
      <c r="DP1016" t="s">
        <v>638</v>
      </c>
      <c r="DT1016" t="s">
        <v>1490</v>
      </c>
      <c r="DU1016" t="s">
        <v>450</v>
      </c>
      <c r="DV1016" t="s">
        <v>791</v>
      </c>
      <c r="DW1016" t="s">
        <v>601</v>
      </c>
      <c r="DX1016" t="s">
        <v>640</v>
      </c>
      <c r="DY1016" t="s">
        <v>1491</v>
      </c>
      <c r="DZ1016" t="s">
        <v>1492</v>
      </c>
      <c r="EA1016" t="s">
        <v>791</v>
      </c>
      <c r="ED1016" t="s">
        <v>406</v>
      </c>
      <c r="EE1016" t="s">
        <v>454</v>
      </c>
      <c r="EF1016" t="s">
        <v>614</v>
      </c>
      <c r="EG1016" t="s">
        <v>615</v>
      </c>
      <c r="EP1016" t="s">
        <v>1151</v>
      </c>
      <c r="EQ1016" t="s">
        <v>1493</v>
      </c>
      <c r="ER1016">
        <v>0</v>
      </c>
      <c r="ES1016">
        <v>0</v>
      </c>
      <c r="ET1016" t="s">
        <v>832</v>
      </c>
      <c r="EU1016">
        <v>0</v>
      </c>
    </row>
    <row r="1017" spans="1:352" x14ac:dyDescent="0.25">
      <c r="A1017" t="s">
        <v>19104</v>
      </c>
      <c r="B1017" t="str">
        <f>"801542277253"</f>
        <v>801542277253</v>
      </c>
      <c r="C1017" t="s">
        <v>19105</v>
      </c>
      <c r="D1017" t="s">
        <v>571</v>
      </c>
      <c r="E1017" t="s">
        <v>515</v>
      </c>
      <c r="F1017" t="s">
        <v>516</v>
      </c>
      <c r="G1017" t="str">
        <f>"26.75"</f>
        <v>26.75</v>
      </c>
      <c r="H1017" t="str">
        <f>"27.5"</f>
        <v>27.5</v>
      </c>
      <c r="I1017" t="str">
        <f>"30.25"</f>
        <v>30.25</v>
      </c>
      <c r="J1017" t="str">
        <f>"25.35"</f>
        <v>25.35</v>
      </c>
      <c r="K1017" t="s">
        <v>19106</v>
      </c>
      <c r="L1017" t="s">
        <v>9213</v>
      </c>
      <c r="M1017" t="s">
        <v>19107</v>
      </c>
      <c r="N1017" t="s">
        <v>1949</v>
      </c>
      <c r="O1017" t="s">
        <v>19108</v>
      </c>
      <c r="P1017" t="s">
        <v>775</v>
      </c>
      <c r="Q1017" t="s">
        <v>3490</v>
      </c>
      <c r="T1017" t="s">
        <v>373</v>
      </c>
      <c r="U1017" t="s">
        <v>373</v>
      </c>
      <c r="V1017" t="s">
        <v>19109</v>
      </c>
      <c r="W1017" t="s">
        <v>19110</v>
      </c>
      <c r="X1017" t="s">
        <v>19111</v>
      </c>
      <c r="Y1017" t="s">
        <v>19112</v>
      </c>
      <c r="Z1017" t="s">
        <v>19113</v>
      </c>
      <c r="AA1017" t="s">
        <v>19114</v>
      </c>
      <c r="AB1017" t="s">
        <v>19115</v>
      </c>
      <c r="AC1017" t="s">
        <v>19116</v>
      </c>
      <c r="AD1017" t="s">
        <v>19117</v>
      </c>
      <c r="AE1017" t="s">
        <v>19118</v>
      </c>
      <c r="AF1017" t="s">
        <v>19119</v>
      </c>
      <c r="AG1017" t="s">
        <v>19120</v>
      </c>
      <c r="AH1017" t="s">
        <v>19121</v>
      </c>
      <c r="BA1017" t="str">
        <f>"1049"</f>
        <v>1049</v>
      </c>
      <c r="BB1017" t="str">
        <f>"445"</f>
        <v>445</v>
      </c>
      <c r="BC1017" t="s">
        <v>388</v>
      </c>
      <c r="BD1017" t="str">
        <f t="shared" si="193"/>
        <v>1</v>
      </c>
      <c r="BE1017" t="s">
        <v>389</v>
      </c>
      <c r="BF1017" t="str">
        <f>"29.53"</f>
        <v>29.53</v>
      </c>
      <c r="BG1017" t="str">
        <f>"28.94"</f>
        <v>28.94</v>
      </c>
      <c r="BH1017" t="str">
        <f>"32.28"</f>
        <v>32.28</v>
      </c>
      <c r="BI1017" t="str">
        <f>"37.26"</f>
        <v>37.26</v>
      </c>
      <c r="BY1017" t="str">
        <f>"15.96"</f>
        <v>15.96</v>
      </c>
      <c r="BZ1017" t="str">
        <f>"0.452"</f>
        <v>0.452</v>
      </c>
      <c r="CA1017" t="s">
        <v>495</v>
      </c>
      <c r="CH1017" t="s">
        <v>1510</v>
      </c>
      <c r="CI1017" t="s">
        <v>450</v>
      </c>
      <c r="CJ1017" t="s">
        <v>451</v>
      </c>
      <c r="CK1017" t="s">
        <v>449</v>
      </c>
      <c r="CL1017" t="s">
        <v>3982</v>
      </c>
      <c r="CN1017">
        <v>0</v>
      </c>
      <c r="CO1017">
        <v>1</v>
      </c>
      <c r="CP1017" t="s">
        <v>437</v>
      </c>
      <c r="CQ1017" t="s">
        <v>399</v>
      </c>
      <c r="CU1017" t="s">
        <v>793</v>
      </c>
      <c r="CX1017" t="s">
        <v>403</v>
      </c>
      <c r="CY1017" t="s">
        <v>400</v>
      </c>
      <c r="CZ1017">
        <v>0</v>
      </c>
      <c r="DD1017">
        <v>20000</v>
      </c>
      <c r="DE1017" t="s">
        <v>570</v>
      </c>
      <c r="DF1017" t="s">
        <v>406</v>
      </c>
      <c r="DG1017" t="s">
        <v>407</v>
      </c>
      <c r="DH1017">
        <v>1</v>
      </c>
      <c r="DI1017">
        <v>1</v>
      </c>
      <c r="DK1017" t="s">
        <v>19122</v>
      </c>
      <c r="DL1017">
        <v>0</v>
      </c>
      <c r="DM1017" t="s">
        <v>538</v>
      </c>
      <c r="DN1017" t="s">
        <v>3058</v>
      </c>
      <c r="DO1017" t="s">
        <v>3025</v>
      </c>
      <c r="DP1017" t="s">
        <v>5804</v>
      </c>
      <c r="DT1017" t="s">
        <v>8354</v>
      </c>
      <c r="DU1017" t="s">
        <v>450</v>
      </c>
      <c r="DV1017" t="s">
        <v>979</v>
      </c>
      <c r="DW1017" t="s">
        <v>601</v>
      </c>
      <c r="DX1017" t="s">
        <v>1135</v>
      </c>
      <c r="DY1017" t="s">
        <v>1291</v>
      </c>
      <c r="DZ1017" t="s">
        <v>3058</v>
      </c>
      <c r="EA1017" t="s">
        <v>11765</v>
      </c>
      <c r="ED1017" t="s">
        <v>406</v>
      </c>
      <c r="EE1017" t="s">
        <v>454</v>
      </c>
      <c r="EF1017" t="s">
        <v>802</v>
      </c>
      <c r="EG1017" t="s">
        <v>803</v>
      </c>
      <c r="EH1017" t="s">
        <v>1556</v>
      </c>
      <c r="EQ1017" t="s">
        <v>11765</v>
      </c>
      <c r="ER1017" t="s">
        <v>548</v>
      </c>
      <c r="ES1017">
        <v>0</v>
      </c>
      <c r="ET1017">
        <v>0</v>
      </c>
      <c r="EV1017">
        <v>0</v>
      </c>
    </row>
    <row r="1018" spans="1:352" x14ac:dyDescent="0.25">
      <c r="A1018" t="s">
        <v>19123</v>
      </c>
      <c r="B1018" t="str">
        <f>"801542396800"</f>
        <v>801542396800</v>
      </c>
      <c r="C1018" t="s">
        <v>19124</v>
      </c>
      <c r="D1018" t="s">
        <v>571</v>
      </c>
      <c r="E1018" t="s">
        <v>515</v>
      </c>
      <c r="F1018" t="s">
        <v>516</v>
      </c>
      <c r="G1018" t="str">
        <f>"26.75"</f>
        <v>26.75</v>
      </c>
      <c r="H1018" t="str">
        <f>"28"</f>
        <v>28</v>
      </c>
      <c r="I1018" t="str">
        <f>"33"</f>
        <v>33</v>
      </c>
      <c r="J1018" t="str">
        <f>"25.35"</f>
        <v>25.35</v>
      </c>
      <c r="K1018" t="s">
        <v>2294</v>
      </c>
      <c r="L1018" t="s">
        <v>585</v>
      </c>
      <c r="M1018" t="s">
        <v>19125</v>
      </c>
      <c r="N1018" t="s">
        <v>1170</v>
      </c>
      <c r="O1018" t="s">
        <v>2269</v>
      </c>
      <c r="P1018" t="s">
        <v>775</v>
      </c>
      <c r="Q1018" t="s">
        <v>3490</v>
      </c>
      <c r="T1018" t="s">
        <v>373</v>
      </c>
      <c r="U1018" t="s">
        <v>402</v>
      </c>
      <c r="V1018" t="s">
        <v>19126</v>
      </c>
      <c r="W1018" t="s">
        <v>19127</v>
      </c>
      <c r="X1018" t="s">
        <v>19128</v>
      </c>
      <c r="Y1018" t="s">
        <v>19129</v>
      </c>
      <c r="Z1018" t="s">
        <v>19130</v>
      </c>
      <c r="AA1018" t="s">
        <v>19131</v>
      </c>
      <c r="AB1018" t="s">
        <v>19132</v>
      </c>
      <c r="AC1018" t="s">
        <v>19133</v>
      </c>
      <c r="AD1018" t="s">
        <v>19134</v>
      </c>
      <c r="AE1018" t="s">
        <v>19135</v>
      </c>
      <c r="AF1018" t="s">
        <v>19136</v>
      </c>
      <c r="AG1018" t="s">
        <v>19137</v>
      </c>
      <c r="AH1018" t="s">
        <v>19138</v>
      </c>
      <c r="AI1018" t="s">
        <v>19139</v>
      </c>
      <c r="AJ1018" t="s">
        <v>19140</v>
      </c>
      <c r="BA1018" t="str">
        <f>"1249"</f>
        <v>1249</v>
      </c>
      <c r="BB1018" t="str">
        <f>"525"</f>
        <v>525</v>
      </c>
      <c r="BC1018" t="s">
        <v>388</v>
      </c>
      <c r="BD1018" t="str">
        <f t="shared" si="193"/>
        <v>1</v>
      </c>
      <c r="BE1018" t="s">
        <v>389</v>
      </c>
      <c r="BF1018" t="str">
        <f>"29.33"</f>
        <v>29.33</v>
      </c>
      <c r="BG1018" t="str">
        <f>"29.33"</f>
        <v>29.33</v>
      </c>
      <c r="BH1018" t="str">
        <f>"33.07"</f>
        <v>33.07</v>
      </c>
      <c r="BI1018" t="str">
        <f>"39.68"</f>
        <v>39.68</v>
      </c>
      <c r="BY1018" t="str">
        <f>"16.46"</f>
        <v>16.46</v>
      </c>
      <c r="BZ1018" t="str">
        <f>"0.466"</f>
        <v>0.466</v>
      </c>
      <c r="CA1018" t="s">
        <v>495</v>
      </c>
      <c r="CH1018" t="s">
        <v>1510</v>
      </c>
      <c r="CI1018" t="s">
        <v>450</v>
      </c>
      <c r="CJ1018" t="s">
        <v>451</v>
      </c>
      <c r="CK1018" t="s">
        <v>449</v>
      </c>
      <c r="CL1018" t="s">
        <v>3982</v>
      </c>
      <c r="CN1018">
        <v>0</v>
      </c>
      <c r="CO1018">
        <v>1</v>
      </c>
      <c r="CP1018" t="s">
        <v>437</v>
      </c>
      <c r="CQ1018" t="s">
        <v>631</v>
      </c>
      <c r="CU1018" t="s">
        <v>793</v>
      </c>
      <c r="CX1018" t="s">
        <v>403</v>
      </c>
      <c r="CY1018" t="s">
        <v>400</v>
      </c>
      <c r="CZ1018">
        <v>0</v>
      </c>
      <c r="DD1018">
        <v>25000</v>
      </c>
      <c r="DE1018" t="s">
        <v>570</v>
      </c>
      <c r="DF1018" t="s">
        <v>406</v>
      </c>
      <c r="DG1018" t="s">
        <v>407</v>
      </c>
      <c r="DH1018">
        <v>1</v>
      </c>
      <c r="DI1018">
        <v>1</v>
      </c>
      <c r="DK1018" t="s">
        <v>19122</v>
      </c>
      <c r="DL1018">
        <v>0</v>
      </c>
      <c r="DM1018" t="s">
        <v>538</v>
      </c>
      <c r="DN1018" t="s">
        <v>3058</v>
      </c>
      <c r="DO1018" t="s">
        <v>3025</v>
      </c>
      <c r="DP1018" t="s">
        <v>5804</v>
      </c>
      <c r="DT1018" t="s">
        <v>8354</v>
      </c>
      <c r="DU1018" t="s">
        <v>450</v>
      </c>
      <c r="DV1018" t="s">
        <v>979</v>
      </c>
      <c r="DW1018" t="s">
        <v>601</v>
      </c>
      <c r="DX1018" t="s">
        <v>1135</v>
      </c>
      <c r="DY1018" t="s">
        <v>1291</v>
      </c>
      <c r="DZ1018" t="s">
        <v>3058</v>
      </c>
      <c r="EA1018" t="s">
        <v>11765</v>
      </c>
      <c r="ED1018" t="s">
        <v>406</v>
      </c>
      <c r="EE1018" t="s">
        <v>454</v>
      </c>
      <c r="EF1018" t="s">
        <v>802</v>
      </c>
      <c r="EG1018" t="s">
        <v>803</v>
      </c>
      <c r="EH1018" t="s">
        <v>1556</v>
      </c>
      <c r="EQ1018" t="s">
        <v>11765</v>
      </c>
      <c r="ER1018" t="s">
        <v>548</v>
      </c>
      <c r="ES1018">
        <v>0</v>
      </c>
      <c r="ET1018">
        <v>0</v>
      </c>
      <c r="EV1018">
        <v>0</v>
      </c>
    </row>
    <row r="1019" spans="1:352" x14ac:dyDescent="0.25">
      <c r="A1019" t="s">
        <v>19141</v>
      </c>
      <c r="B1019" t="str">
        <f>"801542359546"</f>
        <v>801542359546</v>
      </c>
      <c r="C1019" t="s">
        <v>19142</v>
      </c>
      <c r="D1019" t="s">
        <v>366</v>
      </c>
      <c r="E1019" t="s">
        <v>367</v>
      </c>
      <c r="F1019" t="s">
        <v>368</v>
      </c>
      <c r="G1019" t="str">
        <f>"67"</f>
        <v>67</v>
      </c>
      <c r="H1019" t="str">
        <f>"16"</f>
        <v>16</v>
      </c>
      <c r="I1019" t="str">
        <f>"18.5"</f>
        <v>18.5</v>
      </c>
      <c r="J1019" t="str">
        <f>"59.52"</f>
        <v>59.52</v>
      </c>
      <c r="K1019" t="s">
        <v>19143</v>
      </c>
      <c r="L1019" t="s">
        <v>370</v>
      </c>
      <c r="N1019" t="s">
        <v>912</v>
      </c>
      <c r="O1019" t="s">
        <v>913</v>
      </c>
      <c r="P1019" t="s">
        <v>372</v>
      </c>
      <c r="T1019" t="s">
        <v>373</v>
      </c>
      <c r="U1019" t="s">
        <v>402</v>
      </c>
      <c r="V1019" t="s">
        <v>19144</v>
      </c>
      <c r="W1019" t="s">
        <v>19145</v>
      </c>
      <c r="X1019" t="s">
        <v>19146</v>
      </c>
      <c r="Y1019" t="s">
        <v>19147</v>
      </c>
      <c r="Z1019" t="s">
        <v>19148</v>
      </c>
      <c r="AA1019" t="s">
        <v>19149</v>
      </c>
      <c r="AB1019" t="s">
        <v>19150</v>
      </c>
      <c r="AC1019" t="s">
        <v>19151</v>
      </c>
      <c r="AD1019" t="s">
        <v>19152</v>
      </c>
      <c r="AE1019" t="s">
        <v>19153</v>
      </c>
      <c r="AF1019" t="s">
        <v>19154</v>
      </c>
      <c r="AG1019" t="s">
        <v>19155</v>
      </c>
      <c r="BA1019" t="str">
        <f>"899"</f>
        <v>899</v>
      </c>
      <c r="BB1019" t="str">
        <f>"380"</f>
        <v>380</v>
      </c>
      <c r="BC1019" t="s">
        <v>388</v>
      </c>
      <c r="BD1019" t="str">
        <f t="shared" si="193"/>
        <v>1</v>
      </c>
      <c r="BE1019" t="s">
        <v>389</v>
      </c>
      <c r="BF1019" t="str">
        <f>"69.69"</f>
        <v>69.69</v>
      </c>
      <c r="BG1019" t="str">
        <f>"18.5"</f>
        <v>18.5</v>
      </c>
      <c r="BH1019" t="str">
        <f>"21.46"</f>
        <v>21.46</v>
      </c>
      <c r="BI1019" t="str">
        <f>"74.96"</f>
        <v>74.96</v>
      </c>
      <c r="BY1019" t="str">
        <f>"16"</f>
        <v>16</v>
      </c>
      <c r="BZ1019" t="str">
        <f>"0.453"</f>
        <v>0.453</v>
      </c>
      <c r="CA1019" t="s">
        <v>495</v>
      </c>
      <c r="CB1019" t="s">
        <v>391</v>
      </c>
      <c r="CC1019" t="s">
        <v>392</v>
      </c>
      <c r="CD1019" t="s">
        <v>393</v>
      </c>
      <c r="CE1019" t="s">
        <v>391</v>
      </c>
      <c r="CF1019" t="s">
        <v>394</v>
      </c>
      <c r="CG1019" t="s">
        <v>393</v>
      </c>
      <c r="CH1019" t="s">
        <v>391</v>
      </c>
      <c r="CI1019" t="s">
        <v>395</v>
      </c>
      <c r="CJ1019" t="s">
        <v>393</v>
      </c>
      <c r="CK1019" t="s">
        <v>391</v>
      </c>
      <c r="CL1019" t="s">
        <v>396</v>
      </c>
      <c r="CM1019" t="s">
        <v>397</v>
      </c>
      <c r="CN1019">
        <v>0</v>
      </c>
      <c r="CO1019">
        <v>0</v>
      </c>
      <c r="CP1019" t="s">
        <v>398</v>
      </c>
      <c r="CQ1019" t="s">
        <v>631</v>
      </c>
      <c r="CR1019" t="s">
        <v>400</v>
      </c>
      <c r="CS1019">
        <v>0</v>
      </c>
      <c r="CT1019" t="s">
        <v>400</v>
      </c>
      <c r="CU1019" t="s">
        <v>401</v>
      </c>
      <c r="CV1019">
        <v>1</v>
      </c>
      <c r="CW1019" t="s">
        <v>402</v>
      </c>
      <c r="CX1019" t="s">
        <v>403</v>
      </c>
      <c r="CY1019" t="s">
        <v>404</v>
      </c>
      <c r="CZ1019">
        <v>0</v>
      </c>
      <c r="DA1019">
        <v>18.14</v>
      </c>
      <c r="DB1019">
        <v>40</v>
      </c>
      <c r="DC1019">
        <v>0</v>
      </c>
      <c r="DD1019">
        <v>15000</v>
      </c>
      <c r="DE1019" t="s">
        <v>405</v>
      </c>
      <c r="DF1019" t="s">
        <v>406</v>
      </c>
      <c r="DG1019" t="s">
        <v>407</v>
      </c>
      <c r="DH1019">
        <v>1</v>
      </c>
      <c r="DI1019">
        <v>3</v>
      </c>
      <c r="DJ1019" t="s">
        <v>408</v>
      </c>
      <c r="DK1019" t="s">
        <v>409</v>
      </c>
      <c r="DL1019">
        <v>0</v>
      </c>
      <c r="DM1019" t="s">
        <v>410</v>
      </c>
    </row>
    <row r="1020" spans="1:352" x14ac:dyDescent="0.25">
      <c r="A1020" t="s">
        <v>19156</v>
      </c>
      <c r="B1020" t="str">
        <f>"801542457402"</f>
        <v>801542457402</v>
      </c>
      <c r="C1020" t="s">
        <v>19157</v>
      </c>
      <c r="D1020" t="s">
        <v>366</v>
      </c>
      <c r="E1020" t="s">
        <v>413</v>
      </c>
      <c r="G1020" t="str">
        <f>"76"</f>
        <v>76</v>
      </c>
      <c r="H1020" t="str">
        <f>"35"</f>
        <v>35</v>
      </c>
      <c r="I1020" t="str">
        <f>"32.75"</f>
        <v>32.75</v>
      </c>
      <c r="J1020" t="str">
        <f>"110.89"</f>
        <v>110.89</v>
      </c>
      <c r="K1020" t="s">
        <v>19158</v>
      </c>
      <c r="L1020" t="s">
        <v>415</v>
      </c>
      <c r="N1020" t="s">
        <v>416</v>
      </c>
      <c r="O1020" t="s">
        <v>417</v>
      </c>
      <c r="T1020" t="s">
        <v>373</v>
      </c>
      <c r="U1020" t="s">
        <v>373</v>
      </c>
      <c r="V1020" t="s">
        <v>19159</v>
      </c>
      <c r="W1020" t="s">
        <v>19160</v>
      </c>
      <c r="X1020" t="s">
        <v>19161</v>
      </c>
      <c r="Y1020" t="s">
        <v>19162</v>
      </c>
      <c r="Z1020" t="s">
        <v>19163</v>
      </c>
      <c r="AA1020" t="s">
        <v>19164</v>
      </c>
      <c r="AB1020" t="s">
        <v>19165</v>
      </c>
      <c r="AC1020" t="s">
        <v>19166</v>
      </c>
      <c r="AD1020" t="s">
        <v>19167</v>
      </c>
      <c r="AE1020" t="s">
        <v>19168</v>
      </c>
      <c r="AF1020" t="s">
        <v>19169</v>
      </c>
      <c r="AG1020" t="s">
        <v>19170</v>
      </c>
      <c r="AH1020" t="s">
        <v>19171</v>
      </c>
      <c r="AI1020" t="s">
        <v>19172</v>
      </c>
      <c r="AJ1020" t="s">
        <v>19173</v>
      </c>
      <c r="AK1020" t="s">
        <v>19174</v>
      </c>
      <c r="BA1020" t="str">
        <f>"3999"</f>
        <v>3999</v>
      </c>
      <c r="BB1020" t="str">
        <f>"1680"</f>
        <v>1680</v>
      </c>
      <c r="BC1020" t="s">
        <v>388</v>
      </c>
      <c r="BD1020" t="str">
        <f t="shared" si="193"/>
        <v>1</v>
      </c>
      <c r="BE1020" t="s">
        <v>389</v>
      </c>
      <c r="BF1020" t="str">
        <f>"77.36"</f>
        <v>77.36</v>
      </c>
      <c r="BG1020" t="str">
        <f>"35.83"</f>
        <v>35.83</v>
      </c>
      <c r="BH1020" t="str">
        <f>"22.44"</f>
        <v>22.44</v>
      </c>
      <c r="BI1020" t="str">
        <f>"147.49"</f>
        <v>147.49</v>
      </c>
      <c r="BY1020" t="str">
        <f>"35.99"</f>
        <v>35.99</v>
      </c>
      <c r="BZ1020" t="str">
        <f>"1.019"</f>
        <v>1.019</v>
      </c>
      <c r="CA1020" t="s">
        <v>431</v>
      </c>
      <c r="CH1020" t="s">
        <v>432</v>
      </c>
      <c r="CI1020" t="s">
        <v>433</v>
      </c>
      <c r="CJ1020" t="s">
        <v>434</v>
      </c>
      <c r="CK1020" t="s">
        <v>435</v>
      </c>
      <c r="CL1020" t="s">
        <v>396</v>
      </c>
      <c r="CM1020" t="s">
        <v>436</v>
      </c>
      <c r="CN1020">
        <v>2</v>
      </c>
      <c r="CO1020">
        <v>2</v>
      </c>
      <c r="CP1020" t="s">
        <v>437</v>
      </c>
      <c r="CQ1020" t="s">
        <v>438</v>
      </c>
      <c r="CU1020" t="s">
        <v>401</v>
      </c>
      <c r="CX1020" t="s">
        <v>403</v>
      </c>
      <c r="CY1020" t="s">
        <v>400</v>
      </c>
      <c r="CZ1020">
        <v>0</v>
      </c>
      <c r="DD1020">
        <v>0</v>
      </c>
      <c r="DE1020" t="s">
        <v>439</v>
      </c>
      <c r="DF1020" t="s">
        <v>406</v>
      </c>
      <c r="DG1020" t="s">
        <v>407</v>
      </c>
      <c r="DH1020">
        <v>2</v>
      </c>
      <c r="DI1020">
        <v>3</v>
      </c>
      <c r="DK1020" t="s">
        <v>440</v>
      </c>
      <c r="DL1020">
        <v>0</v>
      </c>
      <c r="DM1020" t="s">
        <v>410</v>
      </c>
      <c r="DN1020" t="s">
        <v>441</v>
      </c>
      <c r="DO1020" t="s">
        <v>442</v>
      </c>
      <c r="DP1020" t="s">
        <v>443</v>
      </c>
      <c r="DQ1020" t="s">
        <v>444</v>
      </c>
      <c r="DR1020" t="s">
        <v>445</v>
      </c>
      <c r="DS1020" t="s">
        <v>446</v>
      </c>
      <c r="DT1020" t="s">
        <v>447</v>
      </c>
      <c r="DU1020" t="s">
        <v>448</v>
      </c>
      <c r="DV1020" t="s">
        <v>449</v>
      </c>
      <c r="DW1020" t="s">
        <v>434</v>
      </c>
      <c r="DX1020" t="s">
        <v>450</v>
      </c>
      <c r="DY1020" t="s">
        <v>451</v>
      </c>
      <c r="DZ1020" t="s">
        <v>452</v>
      </c>
      <c r="EA1020" t="s">
        <v>453</v>
      </c>
      <c r="EB1020" t="s">
        <v>454</v>
      </c>
      <c r="EC1020" t="s">
        <v>402</v>
      </c>
      <c r="ED1020" t="s">
        <v>406</v>
      </c>
      <c r="EE1020" t="s">
        <v>407</v>
      </c>
      <c r="EF1020" t="s">
        <v>455</v>
      </c>
      <c r="EG1020" t="s">
        <v>401</v>
      </c>
      <c r="EH1020" t="s">
        <v>454</v>
      </c>
    </row>
    <row r="1021" spans="1:352" x14ac:dyDescent="0.25">
      <c r="A1021" t="s">
        <v>19175</v>
      </c>
      <c r="B1021" t="str">
        <f>"801542479749"</f>
        <v>801542479749</v>
      </c>
      <c r="C1021" t="s">
        <v>19176</v>
      </c>
      <c r="D1021" t="s">
        <v>366</v>
      </c>
      <c r="E1021" t="s">
        <v>515</v>
      </c>
      <c r="F1021" t="s">
        <v>516</v>
      </c>
      <c r="G1021" t="str">
        <f>"27.25"</f>
        <v>27.25</v>
      </c>
      <c r="H1021" t="str">
        <f>"30.25"</f>
        <v>30.25</v>
      </c>
      <c r="I1021" t="str">
        <f>"32.25"</f>
        <v>32.25</v>
      </c>
      <c r="J1021" t="str">
        <f>"29.32"</f>
        <v>29.32</v>
      </c>
      <c r="K1021" t="s">
        <v>19158</v>
      </c>
      <c r="L1021" t="s">
        <v>1476</v>
      </c>
      <c r="N1021" t="s">
        <v>416</v>
      </c>
      <c r="O1021" t="s">
        <v>372</v>
      </c>
      <c r="T1021" t="s">
        <v>373</v>
      </c>
      <c r="U1021" t="s">
        <v>373</v>
      </c>
      <c r="V1021" t="s">
        <v>19177</v>
      </c>
      <c r="W1021" t="s">
        <v>19178</v>
      </c>
      <c r="X1021" t="s">
        <v>19179</v>
      </c>
      <c r="Y1021" t="s">
        <v>19180</v>
      </c>
      <c r="Z1021" t="s">
        <v>19181</v>
      </c>
      <c r="AA1021" t="s">
        <v>19182</v>
      </c>
      <c r="AB1021" t="s">
        <v>19183</v>
      </c>
      <c r="AC1021" t="s">
        <v>19184</v>
      </c>
      <c r="AD1021" t="s">
        <v>19185</v>
      </c>
      <c r="AE1021" t="s">
        <v>19186</v>
      </c>
      <c r="AF1021" t="s">
        <v>19187</v>
      </c>
      <c r="AG1021" t="s">
        <v>19188</v>
      </c>
      <c r="AH1021" t="s">
        <v>19189</v>
      </c>
      <c r="AI1021" t="s">
        <v>19190</v>
      </c>
      <c r="BA1021" t="str">
        <f>"1349"</f>
        <v>1349</v>
      </c>
      <c r="BB1021" t="str">
        <f>"570"</f>
        <v>570</v>
      </c>
      <c r="BC1021" t="s">
        <v>388</v>
      </c>
      <c r="BD1021" t="str">
        <f t="shared" si="193"/>
        <v>1</v>
      </c>
      <c r="BE1021" t="s">
        <v>19191</v>
      </c>
      <c r="BF1021" t="str">
        <f>"28.74"</f>
        <v>28.74</v>
      </c>
      <c r="BG1021" t="str">
        <f>"32.09"</f>
        <v>32.09</v>
      </c>
      <c r="BH1021" t="str">
        <f>"35.83"</f>
        <v>35.83</v>
      </c>
      <c r="BI1021" t="str">
        <f>"42.11"</f>
        <v>42.11</v>
      </c>
      <c r="BY1021" t="str">
        <f>"17.02"</f>
        <v>17.02</v>
      </c>
      <c r="BZ1021" t="str">
        <f>"0.482"</f>
        <v>0.482</v>
      </c>
      <c r="CA1021" t="s">
        <v>495</v>
      </c>
      <c r="CH1021" t="s">
        <v>1633</v>
      </c>
      <c r="CI1021" t="s">
        <v>1634</v>
      </c>
      <c r="CJ1021" t="s">
        <v>1635</v>
      </c>
      <c r="CK1021" t="s">
        <v>1636</v>
      </c>
      <c r="CL1021" t="s">
        <v>1637</v>
      </c>
      <c r="CN1021">
        <v>0</v>
      </c>
      <c r="CO1021">
        <v>0</v>
      </c>
      <c r="CP1021" t="s">
        <v>437</v>
      </c>
      <c r="CQ1021" t="s">
        <v>438</v>
      </c>
      <c r="CU1021" t="s">
        <v>401</v>
      </c>
      <c r="CX1021" t="s">
        <v>403</v>
      </c>
      <c r="CY1021" t="s">
        <v>400</v>
      </c>
      <c r="CZ1021">
        <v>0</v>
      </c>
      <c r="DD1021">
        <v>0</v>
      </c>
      <c r="DE1021" t="s">
        <v>405</v>
      </c>
      <c r="DF1021" t="s">
        <v>406</v>
      </c>
      <c r="DG1021" t="s">
        <v>407</v>
      </c>
      <c r="DH1021">
        <v>1</v>
      </c>
      <c r="DI1021">
        <v>1</v>
      </c>
      <c r="DK1021" t="s">
        <v>1638</v>
      </c>
      <c r="DL1021">
        <v>0</v>
      </c>
      <c r="DM1021" t="s">
        <v>538</v>
      </c>
      <c r="DN1021" t="s">
        <v>534</v>
      </c>
      <c r="DO1021" t="s">
        <v>1639</v>
      </c>
      <c r="DP1021" t="s">
        <v>1640</v>
      </c>
      <c r="DT1021" t="s">
        <v>675</v>
      </c>
      <c r="DX1021" t="s">
        <v>1641</v>
      </c>
      <c r="DY1021" t="s">
        <v>634</v>
      </c>
      <c r="DZ1021" t="s">
        <v>603</v>
      </c>
      <c r="EA1021" t="s">
        <v>1642</v>
      </c>
      <c r="EG1021" t="s">
        <v>401</v>
      </c>
      <c r="EP1021" t="s">
        <v>1643</v>
      </c>
      <c r="EQ1021" t="s">
        <v>1644</v>
      </c>
      <c r="ER1021">
        <v>0</v>
      </c>
      <c r="ES1021">
        <v>0</v>
      </c>
      <c r="EU1021">
        <v>0</v>
      </c>
    </row>
    <row r="1022" spans="1:352" x14ac:dyDescent="0.25">
      <c r="A1022" t="s">
        <v>19192</v>
      </c>
      <c r="B1022" t="str">
        <f>"801542294687"</f>
        <v>801542294687</v>
      </c>
      <c r="C1022" t="s">
        <v>19193</v>
      </c>
      <c r="D1022" t="s">
        <v>458</v>
      </c>
      <c r="E1022" t="s">
        <v>515</v>
      </c>
      <c r="F1022" t="s">
        <v>516</v>
      </c>
      <c r="G1022" t="str">
        <f>"28"</f>
        <v>28</v>
      </c>
      <c r="H1022" t="str">
        <f>"32.75"</f>
        <v>32.75</v>
      </c>
      <c r="I1022" t="str">
        <f>"33"</f>
        <v>33</v>
      </c>
      <c r="J1022" t="str">
        <f>"37.48"</f>
        <v>37.48</v>
      </c>
      <c r="K1022" t="s">
        <v>1698</v>
      </c>
      <c r="L1022" t="s">
        <v>19194</v>
      </c>
      <c r="N1022" t="s">
        <v>416</v>
      </c>
      <c r="O1022" t="s">
        <v>519</v>
      </c>
      <c r="T1022" t="s">
        <v>373</v>
      </c>
      <c r="U1022" t="s">
        <v>373</v>
      </c>
      <c r="V1022" t="s">
        <v>19195</v>
      </c>
      <c r="W1022" t="s">
        <v>19196</v>
      </c>
      <c r="X1022" t="s">
        <v>19197</v>
      </c>
      <c r="Y1022" t="s">
        <v>19198</v>
      </c>
      <c r="Z1022" t="s">
        <v>19199</v>
      </c>
      <c r="AA1022" t="s">
        <v>19200</v>
      </c>
      <c r="AB1022" t="s">
        <v>19201</v>
      </c>
      <c r="AC1022" t="s">
        <v>19202</v>
      </c>
      <c r="AD1022" t="s">
        <v>19203</v>
      </c>
      <c r="AE1022" t="s">
        <v>19204</v>
      </c>
      <c r="AF1022" t="s">
        <v>19205</v>
      </c>
      <c r="AG1022" t="s">
        <v>19206</v>
      </c>
      <c r="AH1022" t="s">
        <v>19207</v>
      </c>
      <c r="AI1022" t="s">
        <v>19208</v>
      </c>
      <c r="AJ1022" t="s">
        <v>19209</v>
      </c>
      <c r="AK1022" t="s">
        <v>19210</v>
      </c>
      <c r="AL1022" t="s">
        <v>19211</v>
      </c>
      <c r="AM1022" t="s">
        <v>19212</v>
      </c>
      <c r="BA1022" t="str">
        <f>"2299"</f>
        <v>2299</v>
      </c>
      <c r="BB1022" t="str">
        <f>"970"</f>
        <v>970</v>
      </c>
      <c r="BC1022" t="s">
        <v>388</v>
      </c>
      <c r="BD1022" t="str">
        <f t="shared" si="193"/>
        <v>1</v>
      </c>
      <c r="BE1022" t="s">
        <v>389</v>
      </c>
      <c r="BF1022" t="str">
        <f>"35.24"</f>
        <v>35.24</v>
      </c>
      <c r="BG1022" t="str">
        <f>"32.28"</f>
        <v>32.28</v>
      </c>
      <c r="BH1022" t="str">
        <f>"34.25"</f>
        <v>34.25</v>
      </c>
      <c r="BI1022" t="str">
        <f>"51.81"</f>
        <v>51.81</v>
      </c>
      <c r="BY1022" t="str">
        <f>"22.53"</f>
        <v>22.53</v>
      </c>
      <c r="BZ1022" t="str">
        <f>"0.638"</f>
        <v>0.638</v>
      </c>
      <c r="CA1022" t="s">
        <v>495</v>
      </c>
      <c r="CH1022" t="s">
        <v>601</v>
      </c>
      <c r="CI1022" t="s">
        <v>450</v>
      </c>
      <c r="CJ1022" t="s">
        <v>601</v>
      </c>
      <c r="CK1022" t="s">
        <v>2129</v>
      </c>
      <c r="CL1022" t="s">
        <v>449</v>
      </c>
      <c r="CM1022" t="s">
        <v>601</v>
      </c>
      <c r="CN1022">
        <v>0</v>
      </c>
      <c r="CO1022">
        <v>1</v>
      </c>
      <c r="CP1022" t="s">
        <v>437</v>
      </c>
      <c r="CQ1022" t="s">
        <v>438</v>
      </c>
      <c r="CU1022" t="s">
        <v>19213</v>
      </c>
      <c r="CV1022" t="s">
        <v>19214</v>
      </c>
      <c r="CW1022" t="s">
        <v>19215</v>
      </c>
      <c r="CZ1022" t="s">
        <v>667</v>
      </c>
      <c r="DA1022" t="s">
        <v>400</v>
      </c>
      <c r="DB1022">
        <v>0</v>
      </c>
      <c r="DF1022">
        <v>0</v>
      </c>
      <c r="DG1022" t="s">
        <v>570</v>
      </c>
      <c r="DH1022" t="s">
        <v>406</v>
      </c>
      <c r="DI1022" t="s">
        <v>407</v>
      </c>
      <c r="DJ1022">
        <v>1</v>
      </c>
      <c r="DK1022">
        <v>1</v>
      </c>
      <c r="DM1022" t="s">
        <v>19216</v>
      </c>
      <c r="DN1022">
        <v>0</v>
      </c>
      <c r="DO1022" t="s">
        <v>538</v>
      </c>
      <c r="DP1022" t="s">
        <v>828</v>
      </c>
      <c r="DQ1022" t="s">
        <v>607</v>
      </c>
      <c r="DR1022" t="s">
        <v>603</v>
      </c>
      <c r="DV1022" t="s">
        <v>1852</v>
      </c>
      <c r="DW1022" t="s">
        <v>2510</v>
      </c>
      <c r="DX1022" t="s">
        <v>791</v>
      </c>
      <c r="DY1022" t="s">
        <v>601</v>
      </c>
      <c r="DZ1022" t="s">
        <v>442</v>
      </c>
      <c r="EA1022" t="s">
        <v>3019</v>
      </c>
      <c r="EB1022" t="s">
        <v>601</v>
      </c>
      <c r="EC1022" t="s">
        <v>979</v>
      </c>
      <c r="EF1022" t="s">
        <v>406</v>
      </c>
      <c r="EG1022" t="s">
        <v>407</v>
      </c>
      <c r="EH1022" t="s">
        <v>19217</v>
      </c>
      <c r="EI1022" t="s">
        <v>19218</v>
      </c>
      <c r="EU1022">
        <v>0</v>
      </c>
      <c r="EV1022">
        <v>0</v>
      </c>
      <c r="EX1022">
        <v>0</v>
      </c>
    </row>
    <row r="1023" spans="1:352" x14ac:dyDescent="0.25">
      <c r="A1023" t="s">
        <v>19219</v>
      </c>
      <c r="B1023" t="str">
        <f>"801542295820"</f>
        <v>801542295820</v>
      </c>
      <c r="C1023" t="s">
        <v>19220</v>
      </c>
      <c r="D1023" t="s">
        <v>458</v>
      </c>
      <c r="E1023" t="s">
        <v>19221</v>
      </c>
      <c r="F1023" t="s">
        <v>19222</v>
      </c>
      <c r="G1023" t="str">
        <f>"18.5"</f>
        <v>18.5</v>
      </c>
      <c r="H1023" t="str">
        <f>"11.75"</f>
        <v>11.75</v>
      </c>
      <c r="I1023" t="str">
        <f>"19"</f>
        <v>19</v>
      </c>
      <c r="J1023" t="str">
        <f>"4.41"</f>
        <v>4.41</v>
      </c>
      <c r="K1023" t="s">
        <v>19223</v>
      </c>
      <c r="L1023" t="s">
        <v>19224</v>
      </c>
      <c r="N1023" t="s">
        <v>416</v>
      </c>
      <c r="O1023" t="s">
        <v>555</v>
      </c>
      <c r="T1023" t="s">
        <v>373</v>
      </c>
      <c r="U1023" t="s">
        <v>373</v>
      </c>
      <c r="V1023" t="s">
        <v>19225</v>
      </c>
      <c r="W1023" t="s">
        <v>19226</v>
      </c>
      <c r="X1023" t="s">
        <v>19227</v>
      </c>
      <c r="Y1023" t="s">
        <v>19228</v>
      </c>
      <c r="Z1023" t="s">
        <v>19229</v>
      </c>
      <c r="AA1023" t="s">
        <v>19230</v>
      </c>
      <c r="AB1023" t="s">
        <v>19231</v>
      </c>
      <c r="AC1023" t="s">
        <v>19232</v>
      </c>
      <c r="AD1023" t="s">
        <v>19233</v>
      </c>
      <c r="AE1023" t="s">
        <v>19234</v>
      </c>
      <c r="AF1023" t="s">
        <v>19235</v>
      </c>
      <c r="AG1023" t="s">
        <v>19236</v>
      </c>
      <c r="BA1023" t="str">
        <f>"499"</f>
        <v>499</v>
      </c>
      <c r="BB1023" t="str">
        <f>"210"</f>
        <v>210</v>
      </c>
      <c r="BC1023" t="s">
        <v>388</v>
      </c>
      <c r="BD1023" t="str">
        <f t="shared" si="193"/>
        <v>1</v>
      </c>
      <c r="BE1023" t="s">
        <v>389</v>
      </c>
      <c r="BF1023" t="str">
        <f>"20.47"</f>
        <v>20.47</v>
      </c>
      <c r="BG1023" t="str">
        <f>"12.6"</f>
        <v>12.6</v>
      </c>
      <c r="BH1023" t="str">
        <f>"20.87"</f>
        <v>20.87</v>
      </c>
      <c r="BI1023" t="str">
        <f>"8.82"</f>
        <v>8.82</v>
      </c>
      <c r="BY1023" t="str">
        <f>"3.11"</f>
        <v>3.11</v>
      </c>
      <c r="BZ1023" t="str">
        <f>"0.088"</f>
        <v>0.088</v>
      </c>
      <c r="CA1023" t="s">
        <v>495</v>
      </c>
      <c r="CQ1023" t="s">
        <v>438</v>
      </c>
      <c r="DD1023">
        <v>0</v>
      </c>
      <c r="DK1023" t="s">
        <v>19237</v>
      </c>
      <c r="KB1023" t="s">
        <v>540</v>
      </c>
      <c r="KC1023" t="s">
        <v>2286</v>
      </c>
      <c r="KD1023" t="s">
        <v>396</v>
      </c>
      <c r="KE1023">
        <v>1</v>
      </c>
    </row>
    <row r="1024" spans="1:352" x14ac:dyDescent="0.25">
      <c r="A1024" t="s">
        <v>19238</v>
      </c>
      <c r="B1024" t="str">
        <f>"801542354916"</f>
        <v>801542354916</v>
      </c>
      <c r="C1024" t="s">
        <v>19239</v>
      </c>
      <c r="D1024" t="s">
        <v>458</v>
      </c>
      <c r="E1024" t="s">
        <v>459</v>
      </c>
      <c r="G1024" t="str">
        <f>"15.5"</f>
        <v>15.5</v>
      </c>
      <c r="H1024" t="str">
        <f>"15.5"</f>
        <v>15.5</v>
      </c>
      <c r="I1024" t="str">
        <f>"17"</f>
        <v>17</v>
      </c>
      <c r="J1024" t="str">
        <f>"37.48"</f>
        <v>37.48</v>
      </c>
      <c r="K1024" t="s">
        <v>478</v>
      </c>
      <c r="N1024" t="s">
        <v>461</v>
      </c>
      <c r="T1024" t="s">
        <v>373</v>
      </c>
      <c r="U1024" t="s">
        <v>373</v>
      </c>
      <c r="V1024" t="s">
        <v>19240</v>
      </c>
      <c r="W1024" t="s">
        <v>19241</v>
      </c>
      <c r="X1024" t="s">
        <v>19242</v>
      </c>
      <c r="Y1024" t="s">
        <v>19243</v>
      </c>
      <c r="Z1024" t="s">
        <v>19244</v>
      </c>
      <c r="AA1024" t="s">
        <v>19245</v>
      </c>
      <c r="AB1024" t="s">
        <v>19246</v>
      </c>
      <c r="AC1024" t="s">
        <v>19247</v>
      </c>
      <c r="AD1024" t="s">
        <v>19248</v>
      </c>
      <c r="AE1024" t="s">
        <v>19249</v>
      </c>
      <c r="AF1024" t="s">
        <v>19250</v>
      </c>
      <c r="AG1024" t="s">
        <v>19251</v>
      </c>
      <c r="AH1024" t="s">
        <v>19252</v>
      </c>
      <c r="BA1024" t="str">
        <f>"699"</f>
        <v>699</v>
      </c>
      <c r="BB1024" t="str">
        <f>"295"</f>
        <v>295</v>
      </c>
      <c r="BC1024" t="s">
        <v>388</v>
      </c>
      <c r="BD1024" t="str">
        <f t="shared" si="193"/>
        <v>1</v>
      </c>
      <c r="BE1024" t="s">
        <v>389</v>
      </c>
      <c r="BF1024" t="str">
        <f>"18.5"</f>
        <v>18.5</v>
      </c>
      <c r="BG1024" t="str">
        <f>"18.5"</f>
        <v>18.5</v>
      </c>
      <c r="BH1024" t="str">
        <f>"22.44"</f>
        <v>22.44</v>
      </c>
      <c r="BI1024" t="str">
        <f>"52.91"</f>
        <v>52.91</v>
      </c>
      <c r="BY1024" t="str">
        <f>"4.45"</f>
        <v>4.45</v>
      </c>
      <c r="BZ1024" t="str">
        <f>"0.126"</f>
        <v>0.126</v>
      </c>
      <c r="CA1024" t="s">
        <v>495</v>
      </c>
      <c r="CR1024" t="s">
        <v>400</v>
      </c>
      <c r="CS1024">
        <v>0</v>
      </c>
      <c r="CT1024" t="s">
        <v>400</v>
      </c>
      <c r="CV1024">
        <v>0</v>
      </c>
      <c r="CY1024" t="s">
        <v>400</v>
      </c>
      <c r="DC1024">
        <v>0</v>
      </c>
      <c r="DJ1024" t="s">
        <v>471</v>
      </c>
      <c r="DK1024" t="s">
        <v>509</v>
      </c>
      <c r="DM1024" t="s">
        <v>473</v>
      </c>
      <c r="EI1024" t="s">
        <v>510</v>
      </c>
      <c r="EJ1024" t="s">
        <v>511</v>
      </c>
      <c r="EK1024" t="s">
        <v>510</v>
      </c>
      <c r="EM1024" t="s">
        <v>402</v>
      </c>
      <c r="EN1024">
        <v>0</v>
      </c>
      <c r="EO1024">
        <v>0</v>
      </c>
    </row>
    <row r="1025" spans="1:276" x14ac:dyDescent="0.25">
      <c r="A1025" t="s">
        <v>19253</v>
      </c>
      <c r="B1025" t="str">
        <f>"801542352776"</f>
        <v>801542352776</v>
      </c>
      <c r="C1025" t="s">
        <v>19254</v>
      </c>
      <c r="D1025" t="s">
        <v>514</v>
      </c>
      <c r="E1025" t="s">
        <v>413</v>
      </c>
      <c r="G1025" t="str">
        <f>"99.25"</f>
        <v>99.25</v>
      </c>
      <c r="H1025" t="str">
        <f>"43"</f>
        <v>43</v>
      </c>
      <c r="I1025" t="str">
        <f>"28.75"</f>
        <v>28.75</v>
      </c>
      <c r="J1025" t="str">
        <f>"189.6"</f>
        <v>189.6</v>
      </c>
      <c r="K1025" t="s">
        <v>19255</v>
      </c>
      <c r="L1025" t="s">
        <v>518</v>
      </c>
      <c r="N1025" t="s">
        <v>416</v>
      </c>
      <c r="O1025" t="s">
        <v>519</v>
      </c>
      <c r="T1025" t="s">
        <v>373</v>
      </c>
      <c r="U1025" t="s">
        <v>373</v>
      </c>
      <c r="V1025" t="s">
        <v>19256</v>
      </c>
      <c r="W1025" t="s">
        <v>19257</v>
      </c>
      <c r="X1025" t="s">
        <v>19258</v>
      </c>
      <c r="Y1025" t="s">
        <v>19259</v>
      </c>
      <c r="Z1025" t="s">
        <v>19260</v>
      </c>
      <c r="AA1025" t="s">
        <v>19261</v>
      </c>
      <c r="AB1025" t="s">
        <v>19262</v>
      </c>
      <c r="AC1025" t="s">
        <v>19263</v>
      </c>
      <c r="AD1025" t="s">
        <v>19264</v>
      </c>
      <c r="AE1025" t="s">
        <v>19265</v>
      </c>
      <c r="AF1025" t="s">
        <v>19266</v>
      </c>
      <c r="AG1025" t="s">
        <v>19267</v>
      </c>
      <c r="AH1025" t="s">
        <v>19268</v>
      </c>
      <c r="AI1025" t="s">
        <v>19269</v>
      </c>
      <c r="BA1025" t="str">
        <f>"5999"</f>
        <v>5999</v>
      </c>
      <c r="BB1025" t="str">
        <f>"2520"</f>
        <v>2520</v>
      </c>
      <c r="BC1025" t="s">
        <v>388</v>
      </c>
      <c r="BD1025" t="str">
        <f t="shared" si="193"/>
        <v>1</v>
      </c>
      <c r="BE1025" t="s">
        <v>389</v>
      </c>
      <c r="BF1025" t="str">
        <f>"101.25"</f>
        <v>101.25</v>
      </c>
      <c r="BG1025" t="str">
        <f>"45.5"</f>
        <v>45.5</v>
      </c>
      <c r="BH1025" t="str">
        <f>"29.5"</f>
        <v>29.5</v>
      </c>
      <c r="BI1025" t="str">
        <f>"235.89"</f>
        <v>235.89</v>
      </c>
      <c r="BY1025" t="str">
        <f>"78.75"</f>
        <v>78.75</v>
      </c>
      <c r="BZ1025" t="str">
        <f>"2.23"</f>
        <v>2.23</v>
      </c>
      <c r="CA1025" t="s">
        <v>495</v>
      </c>
      <c r="CK1025" t="s">
        <v>432</v>
      </c>
      <c r="CL1025" t="s">
        <v>449</v>
      </c>
      <c r="CM1025" t="s">
        <v>3675</v>
      </c>
      <c r="CN1025">
        <v>0</v>
      </c>
      <c r="CO1025">
        <v>0</v>
      </c>
      <c r="CP1025" t="s">
        <v>437</v>
      </c>
      <c r="CQ1025" t="s">
        <v>438</v>
      </c>
      <c r="CX1025" t="s">
        <v>403</v>
      </c>
      <c r="CY1025" t="s">
        <v>400</v>
      </c>
      <c r="CZ1025">
        <v>0</v>
      </c>
      <c r="DD1025">
        <v>0</v>
      </c>
      <c r="DE1025" t="s">
        <v>19270</v>
      </c>
      <c r="DH1025">
        <v>0</v>
      </c>
      <c r="DI1025">
        <v>4</v>
      </c>
      <c r="DK1025" t="s">
        <v>19271</v>
      </c>
      <c r="DL1025">
        <v>0</v>
      </c>
      <c r="DM1025" t="s">
        <v>795</v>
      </c>
      <c r="DN1025" t="s">
        <v>612</v>
      </c>
      <c r="DO1025" t="s">
        <v>1240</v>
      </c>
      <c r="DP1025" t="s">
        <v>19272</v>
      </c>
      <c r="DT1025" t="s">
        <v>10118</v>
      </c>
      <c r="DY1025" t="s">
        <v>19273</v>
      </c>
      <c r="DZ1025" t="s">
        <v>17112</v>
      </c>
      <c r="EA1025" t="s">
        <v>1240</v>
      </c>
      <c r="EG1025" t="s">
        <v>19274</v>
      </c>
    </row>
    <row r="1026" spans="1:276" x14ac:dyDescent="0.25">
      <c r="A1026" t="s">
        <v>19275</v>
      </c>
      <c r="B1026" t="str">
        <f>"801542849672"</f>
        <v>801542849672</v>
      </c>
      <c r="C1026" t="s">
        <v>19276</v>
      </c>
      <c r="D1026" t="s">
        <v>514</v>
      </c>
      <c r="E1026" t="s">
        <v>515</v>
      </c>
      <c r="F1026" t="s">
        <v>516</v>
      </c>
      <c r="G1026" t="str">
        <f>"39.5"</f>
        <v>39.5</v>
      </c>
      <c r="H1026" t="str">
        <f>"39.5"</f>
        <v>39.5</v>
      </c>
      <c r="I1026" t="str">
        <f>"35"</f>
        <v>35</v>
      </c>
      <c r="J1026" t="str">
        <f>"73.85"</f>
        <v>73.85</v>
      </c>
      <c r="K1026" t="s">
        <v>552</v>
      </c>
      <c r="L1026" t="s">
        <v>553</v>
      </c>
      <c r="M1026" t="s">
        <v>554</v>
      </c>
      <c r="N1026" t="s">
        <v>416</v>
      </c>
      <c r="O1026" t="s">
        <v>519</v>
      </c>
      <c r="P1026" t="s">
        <v>555</v>
      </c>
      <c r="T1026" t="s">
        <v>373</v>
      </c>
      <c r="U1026" t="s">
        <v>373</v>
      </c>
      <c r="V1026" t="s">
        <v>19277</v>
      </c>
      <c r="W1026" t="s">
        <v>19278</v>
      </c>
      <c r="X1026" t="s">
        <v>19279</v>
      </c>
      <c r="Y1026" t="s">
        <v>19280</v>
      </c>
      <c r="Z1026" t="s">
        <v>19281</v>
      </c>
      <c r="AA1026" t="s">
        <v>19282</v>
      </c>
      <c r="AB1026" t="s">
        <v>19283</v>
      </c>
      <c r="AC1026" t="s">
        <v>19284</v>
      </c>
      <c r="AD1026" t="s">
        <v>19285</v>
      </c>
      <c r="AE1026" t="s">
        <v>19286</v>
      </c>
      <c r="BA1026" t="str">
        <f>"2999"</f>
        <v>2999</v>
      </c>
      <c r="BB1026" t="str">
        <f>"1260"</f>
        <v>1260</v>
      </c>
      <c r="BC1026" t="s">
        <v>388</v>
      </c>
      <c r="BD1026" t="str">
        <f t="shared" si="193"/>
        <v>1</v>
      </c>
      <c r="BE1026" t="s">
        <v>389</v>
      </c>
      <c r="BF1026" t="str">
        <f>"41.5"</f>
        <v>41.5</v>
      </c>
      <c r="BG1026" t="str">
        <f>"41.5"</f>
        <v>41.5</v>
      </c>
      <c r="BH1026" t="str">
        <f>"27.5"</f>
        <v>27.5</v>
      </c>
      <c r="BI1026" t="str">
        <f>"91"</f>
        <v>91</v>
      </c>
      <c r="BY1026" t="str">
        <f>"27.4"</f>
        <v>27.4</v>
      </c>
      <c r="BZ1026" t="str">
        <f>"0.776"</f>
        <v>0.776</v>
      </c>
      <c r="CA1026" t="s">
        <v>495</v>
      </c>
      <c r="CH1026" t="s">
        <v>6253</v>
      </c>
      <c r="CI1026" t="s">
        <v>3256</v>
      </c>
      <c r="CJ1026" t="s">
        <v>3882</v>
      </c>
      <c r="CK1026" t="s">
        <v>2071</v>
      </c>
      <c r="CL1026" t="s">
        <v>2082</v>
      </c>
      <c r="CM1026" t="s">
        <v>3882</v>
      </c>
      <c r="CN1026">
        <v>0</v>
      </c>
      <c r="CO1026">
        <v>1</v>
      </c>
      <c r="CP1026" t="s">
        <v>437</v>
      </c>
      <c r="CQ1026" t="s">
        <v>438</v>
      </c>
      <c r="CU1026" t="s">
        <v>19287</v>
      </c>
      <c r="CX1026" t="s">
        <v>403</v>
      </c>
      <c r="CY1026" t="s">
        <v>400</v>
      </c>
      <c r="CZ1026">
        <v>0</v>
      </c>
      <c r="DD1026">
        <v>0</v>
      </c>
      <c r="DE1026" t="s">
        <v>439</v>
      </c>
      <c r="DF1026" t="s">
        <v>406</v>
      </c>
      <c r="DG1026" t="s">
        <v>407</v>
      </c>
      <c r="DH1026">
        <v>1</v>
      </c>
      <c r="DI1026">
        <v>1</v>
      </c>
      <c r="DK1026" t="s">
        <v>19288</v>
      </c>
      <c r="DL1026">
        <v>0</v>
      </c>
      <c r="DM1026" t="s">
        <v>538</v>
      </c>
      <c r="DN1026" t="s">
        <v>3058</v>
      </c>
      <c r="DO1026" t="s">
        <v>2072</v>
      </c>
      <c r="DP1026" t="s">
        <v>578</v>
      </c>
      <c r="DT1026" t="s">
        <v>576</v>
      </c>
      <c r="DU1026" t="s">
        <v>566</v>
      </c>
      <c r="DV1026" t="s">
        <v>1711</v>
      </c>
      <c r="DW1026" t="s">
        <v>19289</v>
      </c>
      <c r="DX1026" t="s">
        <v>3638</v>
      </c>
      <c r="DY1026" t="s">
        <v>3882</v>
      </c>
      <c r="DZ1026" t="s">
        <v>3882</v>
      </c>
      <c r="EA1026" t="s">
        <v>3947</v>
      </c>
      <c r="ED1026" t="s">
        <v>406</v>
      </c>
      <c r="EE1026" t="s">
        <v>407</v>
      </c>
      <c r="EF1026" t="s">
        <v>1190</v>
      </c>
      <c r="EG1026" t="s">
        <v>19290</v>
      </c>
      <c r="EM1026" t="s">
        <v>402</v>
      </c>
      <c r="ER1026">
        <v>0</v>
      </c>
      <c r="ES1026">
        <v>0</v>
      </c>
      <c r="ET1026" t="s">
        <v>580</v>
      </c>
      <c r="EU1026">
        <v>0</v>
      </c>
    </row>
    <row r="1027" spans="1:276" x14ac:dyDescent="0.25">
      <c r="A1027" t="s">
        <v>19291</v>
      </c>
      <c r="B1027" t="str">
        <f>"801542849696"</f>
        <v>801542849696</v>
      </c>
      <c r="C1027" t="s">
        <v>19292</v>
      </c>
      <c r="D1027" t="s">
        <v>514</v>
      </c>
      <c r="E1027" t="s">
        <v>413</v>
      </c>
      <c r="G1027" t="str">
        <f>"71.25"</f>
        <v>71.25</v>
      </c>
      <c r="H1027" t="str">
        <f>"39.5"</f>
        <v>39.5</v>
      </c>
      <c r="I1027" t="str">
        <f>"35"</f>
        <v>35</v>
      </c>
      <c r="J1027" t="str">
        <f>"127.01"</f>
        <v>127.01</v>
      </c>
      <c r="K1027" t="s">
        <v>552</v>
      </c>
      <c r="L1027" t="s">
        <v>553</v>
      </c>
      <c r="M1027" t="s">
        <v>554</v>
      </c>
      <c r="N1027" t="s">
        <v>416</v>
      </c>
      <c r="O1027" t="s">
        <v>519</v>
      </c>
      <c r="P1027" t="s">
        <v>555</v>
      </c>
      <c r="T1027" t="s">
        <v>373</v>
      </c>
      <c r="U1027" t="s">
        <v>373</v>
      </c>
      <c r="V1027" t="s">
        <v>19293</v>
      </c>
      <c r="W1027" t="s">
        <v>19294</v>
      </c>
      <c r="X1027" t="s">
        <v>19295</v>
      </c>
      <c r="Y1027" t="s">
        <v>19296</v>
      </c>
      <c r="Z1027" t="s">
        <v>19297</v>
      </c>
      <c r="AA1027" t="s">
        <v>19298</v>
      </c>
      <c r="AB1027" t="s">
        <v>19299</v>
      </c>
      <c r="AC1027" t="s">
        <v>19300</v>
      </c>
      <c r="AD1027" t="s">
        <v>19301</v>
      </c>
      <c r="AE1027" t="s">
        <v>19302</v>
      </c>
      <c r="AF1027" t="s">
        <v>19303</v>
      </c>
      <c r="AG1027" t="s">
        <v>19304</v>
      </c>
      <c r="AH1027" t="s">
        <v>19305</v>
      </c>
      <c r="BA1027" t="str">
        <f>"3699"</f>
        <v>3699</v>
      </c>
      <c r="BB1027" t="str">
        <f>"1555"</f>
        <v>1555</v>
      </c>
      <c r="BC1027" t="s">
        <v>388</v>
      </c>
      <c r="BD1027" t="str">
        <f t="shared" si="193"/>
        <v>1</v>
      </c>
      <c r="BE1027" t="s">
        <v>389</v>
      </c>
      <c r="BF1027" t="str">
        <f>"73.43"</f>
        <v>73.43</v>
      </c>
      <c r="BG1027" t="str">
        <f>"40.94"</f>
        <v>40.94</v>
      </c>
      <c r="BH1027" t="str">
        <f>"27.76"</f>
        <v>27.76</v>
      </c>
      <c r="BI1027" t="str">
        <f>"160.49"</f>
        <v>160.49</v>
      </c>
      <c r="BY1027" t="str">
        <f>"48.28"</f>
        <v>48.28</v>
      </c>
      <c r="BZ1027" t="str">
        <f>"1.367"</f>
        <v>1.367</v>
      </c>
      <c r="CA1027" t="s">
        <v>390</v>
      </c>
      <c r="CH1027" t="s">
        <v>5547</v>
      </c>
      <c r="CI1027" t="s">
        <v>3256</v>
      </c>
      <c r="CJ1027" t="s">
        <v>3057</v>
      </c>
      <c r="CK1027" t="s">
        <v>2071</v>
      </c>
      <c r="CL1027" t="s">
        <v>2082</v>
      </c>
      <c r="CM1027" t="s">
        <v>19306</v>
      </c>
      <c r="CN1027">
        <v>0</v>
      </c>
      <c r="CO1027">
        <v>2</v>
      </c>
      <c r="CP1027" t="s">
        <v>437</v>
      </c>
      <c r="CQ1027" t="s">
        <v>438</v>
      </c>
      <c r="CU1027" t="s">
        <v>19307</v>
      </c>
      <c r="CX1027" t="s">
        <v>403</v>
      </c>
      <c r="CY1027" t="s">
        <v>400</v>
      </c>
      <c r="CZ1027">
        <v>0</v>
      </c>
      <c r="DD1027">
        <v>0</v>
      </c>
      <c r="DE1027" t="s">
        <v>439</v>
      </c>
      <c r="DF1027" t="s">
        <v>406</v>
      </c>
      <c r="DG1027" t="s">
        <v>407</v>
      </c>
      <c r="DH1027">
        <v>2</v>
      </c>
      <c r="DI1027">
        <v>3</v>
      </c>
      <c r="DK1027" t="s">
        <v>19288</v>
      </c>
      <c r="DL1027">
        <v>0</v>
      </c>
      <c r="DM1027" t="s">
        <v>410</v>
      </c>
      <c r="DN1027" t="s">
        <v>3058</v>
      </c>
      <c r="DO1027" t="s">
        <v>2072</v>
      </c>
      <c r="DP1027" t="s">
        <v>19273</v>
      </c>
      <c r="DT1027" t="s">
        <v>576</v>
      </c>
      <c r="DU1027" t="s">
        <v>5804</v>
      </c>
      <c r="DV1027" t="s">
        <v>566</v>
      </c>
      <c r="DW1027" t="s">
        <v>19308</v>
      </c>
      <c r="DX1027" t="s">
        <v>3638</v>
      </c>
      <c r="DY1027" t="s">
        <v>19309</v>
      </c>
      <c r="DZ1027" t="s">
        <v>19310</v>
      </c>
      <c r="EA1027" t="s">
        <v>1055</v>
      </c>
      <c r="ED1027" t="s">
        <v>406</v>
      </c>
      <c r="EE1027" t="s">
        <v>407</v>
      </c>
      <c r="EF1027" t="s">
        <v>1190</v>
      </c>
      <c r="EG1027" t="s">
        <v>19290</v>
      </c>
      <c r="EM1027" t="s">
        <v>402</v>
      </c>
      <c r="ET1027" t="s">
        <v>580</v>
      </c>
    </row>
    <row r="1028" spans="1:276" x14ac:dyDescent="0.25">
      <c r="A1028" t="s">
        <v>19311</v>
      </c>
      <c r="B1028" t="str">
        <f>"801542849702"</f>
        <v>801542849702</v>
      </c>
      <c r="C1028" t="s">
        <v>19292</v>
      </c>
      <c r="D1028" t="s">
        <v>514</v>
      </c>
      <c r="E1028" t="s">
        <v>413</v>
      </c>
      <c r="G1028" t="str">
        <f>"87.75"</f>
        <v>87.75</v>
      </c>
      <c r="H1028" t="str">
        <f>"39.75"</f>
        <v>39.75</v>
      </c>
      <c r="I1028" t="str">
        <f>"34.75"</f>
        <v>34.75</v>
      </c>
      <c r="J1028" t="str">
        <f>"145"</f>
        <v>145</v>
      </c>
      <c r="K1028" t="s">
        <v>552</v>
      </c>
      <c r="L1028" t="s">
        <v>553</v>
      </c>
      <c r="M1028" t="s">
        <v>554</v>
      </c>
      <c r="N1028" t="s">
        <v>416</v>
      </c>
      <c r="O1028" t="s">
        <v>519</v>
      </c>
      <c r="P1028" t="s">
        <v>555</v>
      </c>
      <c r="T1028" t="s">
        <v>373</v>
      </c>
      <c r="U1028" t="s">
        <v>373</v>
      </c>
      <c r="V1028" t="s">
        <v>19277</v>
      </c>
      <c r="W1028" t="s">
        <v>19312</v>
      </c>
      <c r="X1028" t="s">
        <v>19313</v>
      </c>
      <c r="Y1028" t="s">
        <v>19314</v>
      </c>
      <c r="Z1028" t="s">
        <v>19315</v>
      </c>
      <c r="AA1028" t="s">
        <v>19316</v>
      </c>
      <c r="AB1028" t="s">
        <v>19317</v>
      </c>
      <c r="AC1028" t="s">
        <v>19318</v>
      </c>
      <c r="AD1028" t="s">
        <v>19319</v>
      </c>
      <c r="BA1028" t="str">
        <f>"5199"</f>
        <v>5199</v>
      </c>
      <c r="BB1028" t="str">
        <f>"2185"</f>
        <v>2185</v>
      </c>
      <c r="BC1028" t="s">
        <v>388</v>
      </c>
      <c r="BD1028" t="str">
        <f t="shared" si="193"/>
        <v>1</v>
      </c>
      <c r="BE1028" t="s">
        <v>389</v>
      </c>
      <c r="BF1028" t="str">
        <f>"89"</f>
        <v>89</v>
      </c>
      <c r="BG1028" t="str">
        <f>"42"</f>
        <v>42</v>
      </c>
      <c r="BH1028" t="str">
        <f>"27.75"</f>
        <v>27.75</v>
      </c>
      <c r="BI1028" t="str">
        <f>"182"</f>
        <v>182</v>
      </c>
      <c r="BY1028" t="str">
        <f>"60.03"</f>
        <v>60.03</v>
      </c>
      <c r="BZ1028" t="str">
        <f>"1.7"</f>
        <v>1.7</v>
      </c>
      <c r="CA1028" t="s">
        <v>495</v>
      </c>
      <c r="CH1028" t="s">
        <v>6253</v>
      </c>
      <c r="CI1028" t="s">
        <v>3256</v>
      </c>
      <c r="CJ1028" t="s">
        <v>19320</v>
      </c>
      <c r="CK1028" t="s">
        <v>534</v>
      </c>
      <c r="CL1028" t="s">
        <v>2082</v>
      </c>
      <c r="CM1028" t="s">
        <v>3562</v>
      </c>
      <c r="CN1028">
        <v>0</v>
      </c>
      <c r="CO1028">
        <v>2</v>
      </c>
      <c r="CP1028" t="s">
        <v>437</v>
      </c>
      <c r="CQ1028" t="s">
        <v>438</v>
      </c>
      <c r="CU1028" t="s">
        <v>19321</v>
      </c>
      <c r="CX1028" t="s">
        <v>403</v>
      </c>
      <c r="CY1028" t="s">
        <v>400</v>
      </c>
      <c r="CZ1028">
        <v>0</v>
      </c>
      <c r="DD1028">
        <v>0</v>
      </c>
      <c r="DE1028" t="s">
        <v>439</v>
      </c>
      <c r="DF1028" t="s">
        <v>406</v>
      </c>
      <c r="DG1028" t="s">
        <v>407</v>
      </c>
      <c r="DH1028">
        <v>2</v>
      </c>
      <c r="DI1028">
        <v>3</v>
      </c>
      <c r="DK1028" t="s">
        <v>19288</v>
      </c>
      <c r="DL1028">
        <v>0</v>
      </c>
      <c r="DM1028" t="s">
        <v>410</v>
      </c>
      <c r="DN1028" t="s">
        <v>3058</v>
      </c>
      <c r="DO1028" t="s">
        <v>2072</v>
      </c>
      <c r="DP1028" t="s">
        <v>578</v>
      </c>
      <c r="DT1028" t="s">
        <v>576</v>
      </c>
      <c r="DU1028" t="s">
        <v>5804</v>
      </c>
      <c r="DV1028" t="s">
        <v>566</v>
      </c>
      <c r="DW1028" t="s">
        <v>19322</v>
      </c>
      <c r="DX1028" t="s">
        <v>3638</v>
      </c>
      <c r="DY1028" t="s">
        <v>3482</v>
      </c>
      <c r="DZ1028" t="s">
        <v>19323</v>
      </c>
      <c r="EA1028" t="s">
        <v>3833</v>
      </c>
      <c r="ED1028" t="s">
        <v>406</v>
      </c>
      <c r="EE1028" t="s">
        <v>407</v>
      </c>
      <c r="EF1028" t="s">
        <v>1190</v>
      </c>
      <c r="EG1028" t="s">
        <v>19324</v>
      </c>
      <c r="EM1028" t="s">
        <v>402</v>
      </c>
      <c r="ET1028" t="s">
        <v>580</v>
      </c>
    </row>
    <row r="1029" spans="1:276" x14ac:dyDescent="0.25">
      <c r="A1029" t="s">
        <v>19325</v>
      </c>
      <c r="B1029" t="str">
        <f>"801542870089"</f>
        <v>801542870089</v>
      </c>
      <c r="C1029" t="s">
        <v>19326</v>
      </c>
      <c r="D1029" t="s">
        <v>514</v>
      </c>
      <c r="E1029" t="s">
        <v>413</v>
      </c>
      <c r="G1029" t="str">
        <f>"94.5"</f>
        <v>94.5</v>
      </c>
      <c r="H1029" t="str">
        <f>"38.5"</f>
        <v>38.5</v>
      </c>
      <c r="I1029" t="str">
        <f>"30.75"</f>
        <v>30.75</v>
      </c>
      <c r="J1029" t="str">
        <f>"137.13"</f>
        <v>137.13</v>
      </c>
      <c r="K1029" t="s">
        <v>552</v>
      </c>
      <c r="L1029" t="s">
        <v>553</v>
      </c>
      <c r="M1029" t="s">
        <v>554</v>
      </c>
      <c r="N1029" t="s">
        <v>416</v>
      </c>
      <c r="O1029" t="s">
        <v>519</v>
      </c>
      <c r="P1029" t="s">
        <v>555</v>
      </c>
      <c r="T1029" t="s">
        <v>373</v>
      </c>
      <c r="U1029" t="s">
        <v>373</v>
      </c>
      <c r="V1029" t="s">
        <v>19327</v>
      </c>
      <c r="W1029" t="s">
        <v>19328</v>
      </c>
      <c r="X1029" t="s">
        <v>19329</v>
      </c>
      <c r="Y1029" t="s">
        <v>19330</v>
      </c>
      <c r="Z1029" t="s">
        <v>19331</v>
      </c>
      <c r="AA1029" t="s">
        <v>19332</v>
      </c>
      <c r="AB1029" t="s">
        <v>19333</v>
      </c>
      <c r="AC1029" t="s">
        <v>19334</v>
      </c>
      <c r="AD1029" t="s">
        <v>19335</v>
      </c>
      <c r="BA1029" t="str">
        <f>"6499"</f>
        <v>6499</v>
      </c>
      <c r="BB1029" t="str">
        <f>"2730"</f>
        <v>2730</v>
      </c>
      <c r="BC1029" t="s">
        <v>388</v>
      </c>
      <c r="BD1029" t="str">
        <f t="shared" si="193"/>
        <v>1</v>
      </c>
      <c r="BE1029" t="s">
        <v>389</v>
      </c>
      <c r="BF1029" t="str">
        <f>"97"</f>
        <v>97</v>
      </c>
      <c r="BG1029" t="str">
        <f>"40"</f>
        <v>40</v>
      </c>
      <c r="BH1029" t="str">
        <f>"28"</f>
        <v>28</v>
      </c>
      <c r="BI1029" t="str">
        <f>"204"</f>
        <v>204</v>
      </c>
      <c r="BY1029" t="str">
        <f>"62.86"</f>
        <v>62.86</v>
      </c>
      <c r="BZ1029" t="str">
        <f>"1.78"</f>
        <v>1.78</v>
      </c>
      <c r="CA1029" t="s">
        <v>495</v>
      </c>
      <c r="CH1029" t="s">
        <v>534</v>
      </c>
      <c r="CI1029" t="s">
        <v>566</v>
      </c>
      <c r="CJ1029" t="s">
        <v>574</v>
      </c>
      <c r="CK1029" t="s">
        <v>534</v>
      </c>
      <c r="CL1029" t="s">
        <v>10916</v>
      </c>
      <c r="CM1029" t="s">
        <v>7738</v>
      </c>
      <c r="CN1029">
        <v>0</v>
      </c>
      <c r="CO1029">
        <v>1</v>
      </c>
      <c r="CP1029" t="s">
        <v>437</v>
      </c>
      <c r="CQ1029" t="s">
        <v>438</v>
      </c>
      <c r="CU1029" t="s">
        <v>19336</v>
      </c>
      <c r="CX1029" t="s">
        <v>403</v>
      </c>
      <c r="CY1029" t="s">
        <v>400</v>
      </c>
      <c r="CZ1029">
        <v>0</v>
      </c>
      <c r="DD1029">
        <v>0</v>
      </c>
      <c r="DE1029" t="s">
        <v>570</v>
      </c>
      <c r="DF1029" t="s">
        <v>406</v>
      </c>
      <c r="DG1029" t="s">
        <v>407</v>
      </c>
      <c r="DH1029">
        <v>2</v>
      </c>
      <c r="DI1029">
        <v>3</v>
      </c>
      <c r="DK1029" t="s">
        <v>19337</v>
      </c>
      <c r="DL1029">
        <v>0</v>
      </c>
      <c r="DM1029" t="s">
        <v>410</v>
      </c>
      <c r="DN1029" t="s">
        <v>8234</v>
      </c>
      <c r="DO1029" t="s">
        <v>745</v>
      </c>
      <c r="DP1029" t="s">
        <v>19338</v>
      </c>
      <c r="DT1029" t="s">
        <v>546</v>
      </c>
      <c r="DX1029" t="s">
        <v>2081</v>
      </c>
      <c r="DY1029" t="s">
        <v>544</v>
      </c>
      <c r="DZ1029" t="s">
        <v>14091</v>
      </c>
      <c r="EA1029" t="s">
        <v>745</v>
      </c>
      <c r="ED1029" t="s">
        <v>632</v>
      </c>
      <c r="EE1029" t="s">
        <v>2380</v>
      </c>
      <c r="EG1029" t="s">
        <v>19339</v>
      </c>
      <c r="ET1029" t="s">
        <v>580</v>
      </c>
      <c r="JP1029" t="s">
        <v>19340</v>
      </c>
    </row>
    <row r="1030" spans="1:276" x14ac:dyDescent="0.25">
      <c r="A1030" t="s">
        <v>19341</v>
      </c>
      <c r="B1030" t="str">
        <f>"801542041229"</f>
        <v>801542041229</v>
      </c>
      <c r="C1030" t="s">
        <v>19342</v>
      </c>
      <c r="D1030" t="s">
        <v>514</v>
      </c>
      <c r="E1030" t="s">
        <v>413</v>
      </c>
      <c r="G1030" t="str">
        <f>"94.5"</f>
        <v>94.5</v>
      </c>
      <c r="H1030" t="str">
        <f>"38.5"</f>
        <v>38.5</v>
      </c>
      <c r="I1030" t="str">
        <f>"30.75"</f>
        <v>30.75</v>
      </c>
      <c r="J1030" t="str">
        <f>"137.13"</f>
        <v>137.13</v>
      </c>
      <c r="K1030" t="s">
        <v>19343</v>
      </c>
      <c r="L1030" t="s">
        <v>553</v>
      </c>
      <c r="M1030" t="s">
        <v>554</v>
      </c>
      <c r="N1030" t="s">
        <v>416</v>
      </c>
      <c r="O1030" t="s">
        <v>519</v>
      </c>
      <c r="P1030" t="s">
        <v>555</v>
      </c>
      <c r="T1030" t="s">
        <v>373</v>
      </c>
      <c r="U1030" t="s">
        <v>373</v>
      </c>
      <c r="V1030" t="s">
        <v>19344</v>
      </c>
      <c r="W1030" t="s">
        <v>19345</v>
      </c>
      <c r="X1030" t="s">
        <v>19346</v>
      </c>
      <c r="Y1030" t="s">
        <v>19347</v>
      </c>
      <c r="Z1030" t="s">
        <v>19348</v>
      </c>
      <c r="AA1030" t="s">
        <v>19349</v>
      </c>
      <c r="AB1030" t="s">
        <v>19350</v>
      </c>
      <c r="AC1030" t="s">
        <v>19351</v>
      </c>
      <c r="AD1030" t="s">
        <v>19352</v>
      </c>
      <c r="BA1030" t="str">
        <f>"6499"</f>
        <v>6499</v>
      </c>
      <c r="BB1030" t="str">
        <f>"2730"</f>
        <v>2730</v>
      </c>
      <c r="BC1030" t="s">
        <v>388</v>
      </c>
      <c r="BD1030" t="str">
        <f t="shared" si="193"/>
        <v>1</v>
      </c>
      <c r="BE1030" t="s">
        <v>389</v>
      </c>
      <c r="BF1030" t="str">
        <f>"97"</f>
        <v>97</v>
      </c>
      <c r="BG1030" t="str">
        <f>"40"</f>
        <v>40</v>
      </c>
      <c r="BH1030" t="str">
        <f>"28"</f>
        <v>28</v>
      </c>
      <c r="BI1030" t="str">
        <f>"204"</f>
        <v>204</v>
      </c>
      <c r="BY1030" t="str">
        <f>"62.86"</f>
        <v>62.86</v>
      </c>
      <c r="BZ1030" t="str">
        <f>"1.78"</f>
        <v>1.78</v>
      </c>
      <c r="CA1030" t="s">
        <v>390</v>
      </c>
      <c r="CH1030" t="s">
        <v>534</v>
      </c>
      <c r="CI1030" t="s">
        <v>566</v>
      </c>
      <c r="CJ1030" t="s">
        <v>574</v>
      </c>
      <c r="CK1030" t="s">
        <v>534</v>
      </c>
      <c r="CL1030" t="s">
        <v>10916</v>
      </c>
      <c r="CM1030" t="s">
        <v>7738</v>
      </c>
      <c r="CN1030">
        <v>0</v>
      </c>
      <c r="CO1030">
        <v>1</v>
      </c>
      <c r="CP1030" t="s">
        <v>437</v>
      </c>
      <c r="CQ1030" t="s">
        <v>438</v>
      </c>
      <c r="CU1030" t="s">
        <v>19336</v>
      </c>
      <c r="CX1030" t="s">
        <v>403</v>
      </c>
      <c r="CY1030" t="s">
        <v>400</v>
      </c>
      <c r="CZ1030">
        <v>0</v>
      </c>
      <c r="DD1030">
        <v>0</v>
      </c>
      <c r="DE1030" t="s">
        <v>570</v>
      </c>
      <c r="DF1030" t="s">
        <v>406</v>
      </c>
      <c r="DG1030" t="s">
        <v>407</v>
      </c>
      <c r="DH1030">
        <v>2</v>
      </c>
      <c r="DI1030">
        <v>3</v>
      </c>
      <c r="DK1030" t="s">
        <v>19337</v>
      </c>
      <c r="DL1030">
        <v>0</v>
      </c>
      <c r="DM1030" t="s">
        <v>410</v>
      </c>
      <c r="DN1030" t="s">
        <v>8234</v>
      </c>
      <c r="DO1030" t="s">
        <v>745</v>
      </c>
      <c r="DP1030" t="s">
        <v>19338</v>
      </c>
      <c r="DT1030" t="s">
        <v>546</v>
      </c>
      <c r="DX1030" t="s">
        <v>2081</v>
      </c>
      <c r="DY1030" t="s">
        <v>544</v>
      </c>
      <c r="DZ1030" t="s">
        <v>14091</v>
      </c>
      <c r="EA1030" t="s">
        <v>745</v>
      </c>
      <c r="ED1030" t="s">
        <v>632</v>
      </c>
      <c r="EE1030" t="s">
        <v>2380</v>
      </c>
      <c r="EG1030" t="s">
        <v>19339</v>
      </c>
      <c r="ET1030" t="s">
        <v>580</v>
      </c>
      <c r="JP1030" t="s">
        <v>19340</v>
      </c>
    </row>
    <row r="1031" spans="1:276" x14ac:dyDescent="0.25">
      <c r="A1031" t="s">
        <v>19353</v>
      </c>
      <c r="B1031" t="str">
        <f>"801542401238"</f>
        <v>801542401238</v>
      </c>
      <c r="C1031" t="s">
        <v>19354</v>
      </c>
      <c r="D1031" t="s">
        <v>583</v>
      </c>
      <c r="E1031" t="s">
        <v>413</v>
      </c>
      <c r="G1031" t="str">
        <f>"97"</f>
        <v>97</v>
      </c>
      <c r="H1031" t="str">
        <f>"35"</f>
        <v>35</v>
      </c>
      <c r="I1031" t="str">
        <f>"26.5"</f>
        <v>26.5</v>
      </c>
      <c r="J1031" t="str">
        <f>"116.84"</f>
        <v>116.84</v>
      </c>
      <c r="K1031" t="s">
        <v>1744</v>
      </c>
      <c r="N1031" t="s">
        <v>371</v>
      </c>
      <c r="T1031" t="s">
        <v>373</v>
      </c>
      <c r="U1031" t="s">
        <v>373</v>
      </c>
      <c r="V1031" t="s">
        <v>19355</v>
      </c>
      <c r="W1031" t="s">
        <v>19356</v>
      </c>
      <c r="X1031" t="s">
        <v>19357</v>
      </c>
      <c r="Y1031" t="s">
        <v>19358</v>
      </c>
      <c r="Z1031" t="s">
        <v>19359</v>
      </c>
      <c r="AA1031" t="s">
        <v>19360</v>
      </c>
      <c r="AB1031" t="s">
        <v>19361</v>
      </c>
      <c r="AC1031" t="s">
        <v>19362</v>
      </c>
      <c r="BA1031" t="str">
        <f>"2599"</f>
        <v>2599</v>
      </c>
      <c r="BB1031" t="str">
        <f>"1095"</f>
        <v>1095</v>
      </c>
      <c r="BC1031" t="s">
        <v>388</v>
      </c>
      <c r="BD1031" t="str">
        <f t="shared" si="193"/>
        <v>1</v>
      </c>
      <c r="BE1031" t="s">
        <v>389</v>
      </c>
      <c r="BF1031" t="str">
        <f>"99.21"</f>
        <v>99.21</v>
      </c>
      <c r="BG1031" t="str">
        <f>"36.61"</f>
        <v>36.61</v>
      </c>
      <c r="BH1031" t="str">
        <f>"26.38"</f>
        <v>26.38</v>
      </c>
      <c r="BI1031" t="str">
        <f>"149.47"</f>
        <v>149.47</v>
      </c>
      <c r="BY1031" t="str">
        <f>"57.21"</f>
        <v>57.21</v>
      </c>
      <c r="BZ1031" t="str">
        <f>"1.62"</f>
        <v>1.62</v>
      </c>
      <c r="CA1031" t="s">
        <v>495</v>
      </c>
      <c r="CK1031" t="s">
        <v>600</v>
      </c>
      <c r="CL1031" t="s">
        <v>511</v>
      </c>
      <c r="CM1031" t="s">
        <v>1807</v>
      </c>
      <c r="CN1031">
        <v>0</v>
      </c>
      <c r="CO1031">
        <v>1</v>
      </c>
      <c r="CP1031" t="s">
        <v>437</v>
      </c>
      <c r="CQ1031" t="s">
        <v>631</v>
      </c>
      <c r="CX1031" t="s">
        <v>403</v>
      </c>
      <c r="CY1031" t="s">
        <v>400</v>
      </c>
      <c r="CZ1031">
        <v>0</v>
      </c>
      <c r="DD1031">
        <v>25000</v>
      </c>
      <c r="DE1031" t="s">
        <v>439</v>
      </c>
      <c r="DF1031" t="s">
        <v>632</v>
      </c>
      <c r="DG1031" t="s">
        <v>1808</v>
      </c>
      <c r="DH1031">
        <v>1</v>
      </c>
      <c r="DI1031">
        <v>3</v>
      </c>
      <c r="DK1031" t="s">
        <v>633</v>
      </c>
      <c r="DL1031">
        <v>0</v>
      </c>
      <c r="DM1031" t="s">
        <v>410</v>
      </c>
      <c r="DN1031" t="s">
        <v>634</v>
      </c>
      <c r="DO1031" t="s">
        <v>640</v>
      </c>
      <c r="DP1031" t="s">
        <v>636</v>
      </c>
      <c r="DT1031" t="s">
        <v>450</v>
      </c>
      <c r="DX1031" t="s">
        <v>637</v>
      </c>
      <c r="DY1031" t="s">
        <v>638</v>
      </c>
      <c r="DZ1031" t="s">
        <v>1809</v>
      </c>
      <c r="EA1031" t="s">
        <v>640</v>
      </c>
      <c r="ED1031" t="s">
        <v>632</v>
      </c>
      <c r="EE1031" t="s">
        <v>1808</v>
      </c>
      <c r="EG1031" t="s">
        <v>641</v>
      </c>
      <c r="ET1031" t="s">
        <v>643</v>
      </c>
    </row>
    <row r="1032" spans="1:276" x14ac:dyDescent="0.25">
      <c r="A1032" t="s">
        <v>19363</v>
      </c>
      <c r="B1032" t="str">
        <f>"801542396831"</f>
        <v>801542396831</v>
      </c>
      <c r="C1032" t="s">
        <v>617</v>
      </c>
      <c r="D1032" t="s">
        <v>583</v>
      </c>
      <c r="E1032" t="s">
        <v>413</v>
      </c>
      <c r="G1032" t="str">
        <f>"97"</f>
        <v>97</v>
      </c>
      <c r="H1032" t="str">
        <f>"35"</f>
        <v>35</v>
      </c>
      <c r="I1032" t="str">
        <f>"26.5"</f>
        <v>26.5</v>
      </c>
      <c r="J1032" t="str">
        <f>"123.02"</f>
        <v>123.02</v>
      </c>
      <c r="K1032" t="s">
        <v>618</v>
      </c>
      <c r="N1032" t="s">
        <v>619</v>
      </c>
      <c r="O1032" t="s">
        <v>620</v>
      </c>
      <c r="P1032" t="s">
        <v>621</v>
      </c>
      <c r="T1032" t="s">
        <v>373</v>
      </c>
      <c r="U1032" t="s">
        <v>402</v>
      </c>
      <c r="V1032" t="s">
        <v>19364</v>
      </c>
      <c r="W1032" t="s">
        <v>19365</v>
      </c>
      <c r="X1032" t="s">
        <v>19366</v>
      </c>
      <c r="Y1032" t="s">
        <v>19367</v>
      </c>
      <c r="Z1032" t="s">
        <v>19368</v>
      </c>
      <c r="AA1032" t="s">
        <v>19369</v>
      </c>
      <c r="AB1032" t="s">
        <v>19370</v>
      </c>
      <c r="AC1032" t="s">
        <v>19371</v>
      </c>
      <c r="AD1032" t="s">
        <v>19372</v>
      </c>
      <c r="AE1032" t="s">
        <v>19373</v>
      </c>
      <c r="BA1032" t="str">
        <f>"2599"</f>
        <v>2599</v>
      </c>
      <c r="BB1032" t="str">
        <f>"1095"</f>
        <v>1095</v>
      </c>
      <c r="BC1032" t="s">
        <v>388</v>
      </c>
      <c r="BD1032" t="str">
        <f t="shared" si="193"/>
        <v>1</v>
      </c>
      <c r="BE1032" t="s">
        <v>389</v>
      </c>
      <c r="BF1032" t="str">
        <f>"99.21"</f>
        <v>99.21</v>
      </c>
      <c r="BG1032" t="str">
        <f>"36.61"</f>
        <v>36.61</v>
      </c>
      <c r="BH1032" t="str">
        <f>"26.38"</f>
        <v>26.38</v>
      </c>
      <c r="BI1032" t="str">
        <f>"149.47"</f>
        <v>149.47</v>
      </c>
      <c r="BY1032" t="str">
        <f>"55.44"</f>
        <v>55.44</v>
      </c>
      <c r="BZ1032" t="str">
        <f>"1.57"</f>
        <v>1.57</v>
      </c>
      <c r="CA1032" t="s">
        <v>495</v>
      </c>
      <c r="CK1032" t="s">
        <v>600</v>
      </c>
      <c r="CL1032" t="s">
        <v>511</v>
      </c>
      <c r="CM1032" t="s">
        <v>1807</v>
      </c>
      <c r="CN1032">
        <v>0</v>
      </c>
      <c r="CO1032">
        <v>1</v>
      </c>
      <c r="CP1032" t="s">
        <v>437</v>
      </c>
      <c r="CQ1032" t="s">
        <v>631</v>
      </c>
      <c r="CX1032" t="s">
        <v>403</v>
      </c>
      <c r="CY1032" t="s">
        <v>400</v>
      </c>
      <c r="CZ1032">
        <v>0</v>
      </c>
      <c r="DD1032">
        <v>25000</v>
      </c>
      <c r="DE1032" t="s">
        <v>439</v>
      </c>
      <c r="DF1032" t="s">
        <v>632</v>
      </c>
      <c r="DG1032" t="s">
        <v>1808</v>
      </c>
      <c r="DH1032">
        <v>1</v>
      </c>
      <c r="DI1032">
        <v>3</v>
      </c>
      <c r="DK1032" t="s">
        <v>633</v>
      </c>
      <c r="DL1032">
        <v>0</v>
      </c>
      <c r="DM1032" t="s">
        <v>410</v>
      </c>
      <c r="DN1032" t="s">
        <v>634</v>
      </c>
      <c r="DO1032" t="s">
        <v>640</v>
      </c>
      <c r="DP1032" t="s">
        <v>636</v>
      </c>
      <c r="DT1032" t="s">
        <v>450</v>
      </c>
      <c r="DX1032" t="s">
        <v>637</v>
      </c>
      <c r="DY1032" t="s">
        <v>638</v>
      </c>
      <c r="DZ1032" t="s">
        <v>1809</v>
      </c>
      <c r="EA1032" t="s">
        <v>640</v>
      </c>
      <c r="ED1032" t="s">
        <v>632</v>
      </c>
      <c r="EE1032" t="s">
        <v>1808</v>
      </c>
      <c r="EG1032" t="s">
        <v>641</v>
      </c>
      <c r="ET1032" t="s">
        <v>643</v>
      </c>
    </row>
    <row r="1033" spans="1:276" x14ac:dyDescent="0.25">
      <c r="A1033" t="s">
        <v>19374</v>
      </c>
      <c r="B1033" t="str">
        <f>"801542399047"</f>
        <v>801542399047</v>
      </c>
      <c r="C1033" t="s">
        <v>19375</v>
      </c>
      <c r="D1033" t="s">
        <v>583</v>
      </c>
      <c r="E1033" t="s">
        <v>413</v>
      </c>
      <c r="G1033" t="str">
        <f>"97"</f>
        <v>97</v>
      </c>
      <c r="H1033" t="str">
        <f>"35"</f>
        <v>35</v>
      </c>
      <c r="I1033" t="str">
        <f>"26.5"</f>
        <v>26.5</v>
      </c>
      <c r="J1033" t="str">
        <f>"123.02"</f>
        <v>123.02</v>
      </c>
      <c r="K1033" t="s">
        <v>1768</v>
      </c>
      <c r="N1033" t="s">
        <v>416</v>
      </c>
      <c r="T1033" t="s">
        <v>373</v>
      </c>
      <c r="U1033" t="s">
        <v>373</v>
      </c>
      <c r="V1033" t="s">
        <v>19376</v>
      </c>
      <c r="W1033" t="s">
        <v>19377</v>
      </c>
      <c r="X1033" t="s">
        <v>19378</v>
      </c>
      <c r="Y1033" t="s">
        <v>19379</v>
      </c>
      <c r="Z1033" t="s">
        <v>19380</v>
      </c>
      <c r="AA1033" t="s">
        <v>19381</v>
      </c>
      <c r="AB1033" t="s">
        <v>19382</v>
      </c>
      <c r="AC1033" t="s">
        <v>19383</v>
      </c>
      <c r="AD1033" t="s">
        <v>19384</v>
      </c>
      <c r="BA1033" t="str">
        <f>"4899"</f>
        <v>4899</v>
      </c>
      <c r="BB1033" t="str">
        <f>"2060"</f>
        <v>2060</v>
      </c>
      <c r="BC1033" t="s">
        <v>388</v>
      </c>
      <c r="BD1033" t="str">
        <f t="shared" si="193"/>
        <v>1</v>
      </c>
      <c r="BE1033" t="s">
        <v>389</v>
      </c>
      <c r="BF1033" t="str">
        <f>"99.21"</f>
        <v>99.21</v>
      </c>
      <c r="BG1033" t="str">
        <f>"36.61"</f>
        <v>36.61</v>
      </c>
      <c r="BH1033" t="str">
        <f>"26.38"</f>
        <v>26.38</v>
      </c>
      <c r="BI1033" t="str">
        <f>"149.47"</f>
        <v>149.47</v>
      </c>
      <c r="BY1033" t="str">
        <f>"55.44"</f>
        <v>55.44</v>
      </c>
      <c r="BZ1033" t="str">
        <f>"1.57"</f>
        <v>1.57</v>
      </c>
      <c r="CA1033" t="s">
        <v>431</v>
      </c>
      <c r="CK1033" t="s">
        <v>600</v>
      </c>
      <c r="CL1033" t="s">
        <v>511</v>
      </c>
      <c r="CM1033" t="s">
        <v>1807</v>
      </c>
      <c r="CN1033">
        <v>0</v>
      </c>
      <c r="CO1033">
        <v>1</v>
      </c>
      <c r="CP1033" t="s">
        <v>437</v>
      </c>
      <c r="CQ1033" t="s">
        <v>438</v>
      </c>
      <c r="CX1033" t="s">
        <v>403</v>
      </c>
      <c r="CY1033" t="s">
        <v>400</v>
      </c>
      <c r="CZ1033">
        <v>0</v>
      </c>
      <c r="DD1033">
        <v>0</v>
      </c>
      <c r="DE1033" t="s">
        <v>439</v>
      </c>
      <c r="DF1033" t="s">
        <v>632</v>
      </c>
      <c r="DG1033" t="s">
        <v>1808</v>
      </c>
      <c r="DH1033">
        <v>1</v>
      </c>
      <c r="DI1033">
        <v>3</v>
      </c>
      <c r="DK1033" t="s">
        <v>633</v>
      </c>
      <c r="DL1033">
        <v>0</v>
      </c>
      <c r="DM1033" t="s">
        <v>410</v>
      </c>
      <c r="DN1033" t="s">
        <v>634</v>
      </c>
      <c r="DO1033" t="s">
        <v>640</v>
      </c>
      <c r="DP1033" t="s">
        <v>636</v>
      </c>
      <c r="DT1033" t="s">
        <v>450</v>
      </c>
      <c r="DX1033" t="s">
        <v>637</v>
      </c>
      <c r="DY1033" t="s">
        <v>638</v>
      </c>
      <c r="DZ1033" t="s">
        <v>1809</v>
      </c>
      <c r="EA1033" t="s">
        <v>640</v>
      </c>
      <c r="ED1033" t="s">
        <v>632</v>
      </c>
      <c r="EE1033" t="s">
        <v>1808</v>
      </c>
      <c r="EG1033" t="s">
        <v>641</v>
      </c>
      <c r="ET1033" t="s">
        <v>643</v>
      </c>
    </row>
    <row r="1034" spans="1:276" x14ac:dyDescent="0.25">
      <c r="A1034" t="s">
        <v>19385</v>
      </c>
      <c r="B1034" t="str">
        <f>"801542451196"</f>
        <v>801542451196</v>
      </c>
      <c r="C1034" t="s">
        <v>19386</v>
      </c>
      <c r="D1034" t="s">
        <v>583</v>
      </c>
      <c r="E1034" t="s">
        <v>2244</v>
      </c>
      <c r="G1034" t="str">
        <f>"70"</f>
        <v>70</v>
      </c>
      <c r="H1034" t="str">
        <f>"35"</f>
        <v>35</v>
      </c>
      <c r="I1034" t="str">
        <f>"30"</f>
        <v>30</v>
      </c>
      <c r="J1034" t="str">
        <f>"70.55"</f>
        <v>70.55</v>
      </c>
      <c r="K1034" t="s">
        <v>19387</v>
      </c>
      <c r="L1034" t="s">
        <v>1857</v>
      </c>
      <c r="N1034" t="s">
        <v>371</v>
      </c>
      <c r="O1034" t="s">
        <v>372</v>
      </c>
      <c r="T1034" t="s">
        <v>373</v>
      </c>
      <c r="U1034" t="s">
        <v>402</v>
      </c>
      <c r="V1034" t="s">
        <v>19388</v>
      </c>
      <c r="W1034" t="s">
        <v>19389</v>
      </c>
      <c r="X1034" t="s">
        <v>19390</v>
      </c>
      <c r="Y1034" t="s">
        <v>19391</v>
      </c>
      <c r="Z1034" t="s">
        <v>19392</v>
      </c>
      <c r="AA1034" t="s">
        <v>19393</v>
      </c>
      <c r="AB1034" t="s">
        <v>19394</v>
      </c>
      <c r="AC1034" t="s">
        <v>19395</v>
      </c>
      <c r="AD1034" t="s">
        <v>19396</v>
      </c>
      <c r="AE1034" t="s">
        <v>19397</v>
      </c>
      <c r="AF1034" t="s">
        <v>19398</v>
      </c>
      <c r="AG1034" t="s">
        <v>19399</v>
      </c>
      <c r="AH1034" t="s">
        <v>19400</v>
      </c>
      <c r="AI1034" t="s">
        <v>19401</v>
      </c>
      <c r="AJ1034" t="s">
        <v>19402</v>
      </c>
      <c r="BA1034" t="str">
        <f>"1549"</f>
        <v>1549</v>
      </c>
      <c r="BB1034" t="str">
        <f>"655"</f>
        <v>655</v>
      </c>
      <c r="BC1034" t="s">
        <v>388</v>
      </c>
      <c r="BD1034" t="str">
        <f t="shared" si="193"/>
        <v>1</v>
      </c>
      <c r="BE1034" t="s">
        <v>389</v>
      </c>
      <c r="BF1034" t="str">
        <f>"70.28"</f>
        <v>70.28</v>
      </c>
      <c r="BG1034" t="str">
        <f>"36.02"</f>
        <v>36.02</v>
      </c>
      <c r="BH1034" t="str">
        <f>"22.44"</f>
        <v>22.44</v>
      </c>
      <c r="BI1034" t="str">
        <f>"88.18"</f>
        <v>88.18</v>
      </c>
      <c r="BY1034" t="str">
        <f>"32.88"</f>
        <v>32.88</v>
      </c>
      <c r="BZ1034" t="str">
        <f>"0.931"</f>
        <v>0.931</v>
      </c>
      <c r="CA1034" t="s">
        <v>431</v>
      </c>
      <c r="CK1034" t="s">
        <v>601</v>
      </c>
      <c r="CL1034" t="s">
        <v>981</v>
      </c>
      <c r="CN1034">
        <v>0</v>
      </c>
      <c r="CO1034">
        <v>0</v>
      </c>
      <c r="CP1034" t="s">
        <v>398</v>
      </c>
      <c r="CQ1034" t="s">
        <v>631</v>
      </c>
      <c r="CX1034" t="s">
        <v>403</v>
      </c>
      <c r="CY1034" t="s">
        <v>400</v>
      </c>
      <c r="CZ1034">
        <v>0</v>
      </c>
      <c r="DD1034">
        <v>25000</v>
      </c>
      <c r="DE1034" t="s">
        <v>439</v>
      </c>
      <c r="DH1034">
        <v>0</v>
      </c>
      <c r="DI1034">
        <v>1</v>
      </c>
      <c r="DK1034" t="s">
        <v>19403</v>
      </c>
      <c r="DL1034">
        <v>2</v>
      </c>
      <c r="DM1034" t="s">
        <v>538</v>
      </c>
      <c r="DN1034" t="s">
        <v>1853</v>
      </c>
      <c r="DO1034" t="s">
        <v>1056</v>
      </c>
      <c r="DP1034" t="s">
        <v>2083</v>
      </c>
      <c r="DT1034" t="s">
        <v>2510</v>
      </c>
      <c r="DX1034" t="s">
        <v>830</v>
      </c>
      <c r="DY1034" t="s">
        <v>856</v>
      </c>
      <c r="DZ1034" t="s">
        <v>12558</v>
      </c>
      <c r="EA1034" t="s">
        <v>1056</v>
      </c>
      <c r="EF1034" t="s">
        <v>614</v>
      </c>
      <c r="EG1034" t="s">
        <v>641</v>
      </c>
      <c r="EH1034" t="s">
        <v>454</v>
      </c>
      <c r="EP1034" t="s">
        <v>1038</v>
      </c>
      <c r="EQ1034" t="s">
        <v>2928</v>
      </c>
      <c r="IX1034" t="s">
        <v>450</v>
      </c>
      <c r="IY1034" t="s">
        <v>511</v>
      </c>
      <c r="IZ1034" t="s">
        <v>511</v>
      </c>
      <c r="JC1034" t="s">
        <v>402</v>
      </c>
    </row>
    <row r="1035" spans="1:276" x14ac:dyDescent="0.25">
      <c r="A1035" t="s">
        <v>19404</v>
      </c>
      <c r="B1035" t="str">
        <f>"801542456740"</f>
        <v>801542456740</v>
      </c>
      <c r="C1035" t="s">
        <v>19405</v>
      </c>
      <c r="D1035" t="s">
        <v>1967</v>
      </c>
      <c r="E1035" t="s">
        <v>647</v>
      </c>
      <c r="F1035" t="s">
        <v>648</v>
      </c>
      <c r="G1035" t="str">
        <f>"42"</f>
        <v>42</v>
      </c>
      <c r="H1035" t="str">
        <f>"42"</f>
        <v>42</v>
      </c>
      <c r="I1035" t="str">
        <f>"29.5"</f>
        <v>29.5</v>
      </c>
      <c r="J1035" t="str">
        <f>"163.14"</f>
        <v>163.14</v>
      </c>
      <c r="K1035" t="s">
        <v>14935</v>
      </c>
      <c r="L1035" t="s">
        <v>1969</v>
      </c>
      <c r="M1035" t="s">
        <v>3645</v>
      </c>
      <c r="N1035" t="s">
        <v>14936</v>
      </c>
      <c r="O1035" t="s">
        <v>555</v>
      </c>
      <c r="P1035" t="s">
        <v>372</v>
      </c>
      <c r="T1035" t="s">
        <v>373</v>
      </c>
      <c r="U1035" t="s">
        <v>373</v>
      </c>
      <c r="V1035" t="s">
        <v>19406</v>
      </c>
      <c r="W1035" t="s">
        <v>19407</v>
      </c>
      <c r="X1035" t="s">
        <v>19408</v>
      </c>
      <c r="Y1035" t="s">
        <v>19409</v>
      </c>
      <c r="Z1035" t="s">
        <v>19410</v>
      </c>
      <c r="AA1035" t="s">
        <v>19411</v>
      </c>
      <c r="AB1035" t="s">
        <v>19412</v>
      </c>
      <c r="AC1035" t="s">
        <v>19413</v>
      </c>
      <c r="AD1035" t="s">
        <v>19414</v>
      </c>
      <c r="AE1035" t="s">
        <v>19415</v>
      </c>
      <c r="BA1035" t="str">
        <f>"2399"</f>
        <v>2399</v>
      </c>
      <c r="BB1035" t="str">
        <f>"1010"</f>
        <v>1010</v>
      </c>
      <c r="BC1035" t="s">
        <v>388</v>
      </c>
      <c r="BD1035" t="str">
        <f>"2"</f>
        <v>2</v>
      </c>
      <c r="BE1035" t="s">
        <v>1090</v>
      </c>
      <c r="BF1035" t="str">
        <f>"25.59"</f>
        <v>25.59</v>
      </c>
      <c r="BG1035" t="str">
        <f>"25.59"</f>
        <v>25.59</v>
      </c>
      <c r="BH1035" t="str">
        <f>"33.46"</f>
        <v>33.46</v>
      </c>
      <c r="BI1035" t="str">
        <f>"72.75"</f>
        <v>72.75</v>
      </c>
      <c r="BJ1035" t="s">
        <v>1089</v>
      </c>
      <c r="BK1035" t="str">
        <f>"47.24"</f>
        <v>47.24</v>
      </c>
      <c r="BL1035" t="str">
        <f>"6.89"</f>
        <v>6.89</v>
      </c>
      <c r="BM1035" t="str">
        <f>"47.24"</f>
        <v>47.24</v>
      </c>
      <c r="BN1035" t="str">
        <f>"167.77"</f>
        <v>167.77</v>
      </c>
      <c r="BY1035" t="str">
        <f>"21.58"</f>
        <v>21.58</v>
      </c>
      <c r="BZ1035" t="str">
        <f>"0.611"</f>
        <v>0.611</v>
      </c>
      <c r="CA1035" t="s">
        <v>431</v>
      </c>
      <c r="CR1035" t="s">
        <v>400</v>
      </c>
      <c r="CS1035">
        <v>0</v>
      </c>
      <c r="CT1035" t="s">
        <v>400</v>
      </c>
      <c r="CV1035">
        <v>0</v>
      </c>
      <c r="CX1035" t="s">
        <v>1980</v>
      </c>
      <c r="CY1035" t="s">
        <v>400</v>
      </c>
      <c r="DA1035">
        <v>0</v>
      </c>
      <c r="DB1035">
        <v>0</v>
      </c>
      <c r="DC1035">
        <v>0</v>
      </c>
      <c r="DI1035">
        <v>4</v>
      </c>
      <c r="DJ1035" t="s">
        <v>471</v>
      </c>
      <c r="DK1035" t="s">
        <v>1981</v>
      </c>
      <c r="DM1035" t="s">
        <v>473</v>
      </c>
      <c r="DX1035" t="s">
        <v>539</v>
      </c>
      <c r="EI1035" t="s">
        <v>1982</v>
      </c>
      <c r="EJ1035" t="s">
        <v>539</v>
      </c>
      <c r="EK1035" t="s">
        <v>1982</v>
      </c>
      <c r="EL1035" t="s">
        <v>392</v>
      </c>
      <c r="EM1035" t="s">
        <v>402</v>
      </c>
      <c r="EN1035">
        <v>0</v>
      </c>
      <c r="EO1035">
        <v>0</v>
      </c>
      <c r="EW1035" t="s">
        <v>539</v>
      </c>
      <c r="EX1035" t="s">
        <v>1983</v>
      </c>
      <c r="EY1035" t="s">
        <v>1115</v>
      </c>
    </row>
    <row r="1036" spans="1:276" x14ac:dyDescent="0.25">
      <c r="A1036" t="s">
        <v>19416</v>
      </c>
      <c r="B1036" t="str">
        <f>"801542460549"</f>
        <v>801542460549</v>
      </c>
      <c r="C1036" t="s">
        <v>19417</v>
      </c>
      <c r="D1036" t="s">
        <v>1967</v>
      </c>
      <c r="E1036" t="s">
        <v>647</v>
      </c>
      <c r="F1036" t="s">
        <v>648</v>
      </c>
      <c r="G1036" t="str">
        <f>"42"</f>
        <v>42</v>
      </c>
      <c r="H1036" t="str">
        <f>"42"</f>
        <v>42</v>
      </c>
      <c r="I1036" t="str">
        <f>"29.5"</f>
        <v>29.5</v>
      </c>
      <c r="J1036" t="str">
        <f>"163.14"</f>
        <v>163.14</v>
      </c>
      <c r="K1036" t="s">
        <v>7763</v>
      </c>
      <c r="L1036" t="s">
        <v>1969</v>
      </c>
      <c r="M1036" t="s">
        <v>518</v>
      </c>
      <c r="N1036" t="s">
        <v>6002</v>
      </c>
      <c r="O1036" t="s">
        <v>555</v>
      </c>
      <c r="P1036" t="s">
        <v>372</v>
      </c>
      <c r="T1036" t="s">
        <v>373</v>
      </c>
      <c r="U1036" t="s">
        <v>373</v>
      </c>
      <c r="V1036" t="s">
        <v>19418</v>
      </c>
      <c r="W1036" t="s">
        <v>19419</v>
      </c>
      <c r="X1036" t="s">
        <v>19420</v>
      </c>
      <c r="Y1036" t="s">
        <v>19421</v>
      </c>
      <c r="Z1036" t="s">
        <v>19422</v>
      </c>
      <c r="AA1036" t="s">
        <v>19423</v>
      </c>
      <c r="AB1036" t="s">
        <v>19424</v>
      </c>
      <c r="AC1036" t="s">
        <v>19425</v>
      </c>
      <c r="AD1036" t="s">
        <v>19426</v>
      </c>
      <c r="BA1036" t="str">
        <f>"2399"</f>
        <v>2399</v>
      </c>
      <c r="BB1036" t="str">
        <f>"1010"</f>
        <v>1010</v>
      </c>
      <c r="BC1036" t="s">
        <v>388</v>
      </c>
      <c r="BD1036" t="str">
        <f>"2"</f>
        <v>2</v>
      </c>
      <c r="BE1036" t="s">
        <v>1090</v>
      </c>
      <c r="BF1036" t="str">
        <f>"25.59"</f>
        <v>25.59</v>
      </c>
      <c r="BG1036" t="str">
        <f>"25.59"</f>
        <v>25.59</v>
      </c>
      <c r="BH1036" t="str">
        <f>"33.46"</f>
        <v>33.46</v>
      </c>
      <c r="BI1036" t="str">
        <f>"72.75"</f>
        <v>72.75</v>
      </c>
      <c r="BJ1036" t="s">
        <v>1089</v>
      </c>
      <c r="BK1036" t="str">
        <f>"47.24"</f>
        <v>47.24</v>
      </c>
      <c r="BL1036" t="str">
        <f>"6.89"</f>
        <v>6.89</v>
      </c>
      <c r="BM1036" t="str">
        <f>"47.24"</f>
        <v>47.24</v>
      </c>
      <c r="BN1036" t="str">
        <f>"167.77"</f>
        <v>167.77</v>
      </c>
      <c r="BY1036" t="str">
        <f>"21.58"</f>
        <v>21.58</v>
      </c>
      <c r="BZ1036" t="str">
        <f>"0.611"</f>
        <v>0.611</v>
      </c>
      <c r="CA1036" t="s">
        <v>431</v>
      </c>
      <c r="CR1036" t="s">
        <v>400</v>
      </c>
      <c r="CS1036">
        <v>0</v>
      </c>
      <c r="CT1036" t="s">
        <v>400</v>
      </c>
      <c r="CV1036">
        <v>0</v>
      </c>
      <c r="CX1036" t="s">
        <v>1980</v>
      </c>
      <c r="CY1036" t="s">
        <v>400</v>
      </c>
      <c r="DA1036">
        <v>0</v>
      </c>
      <c r="DB1036">
        <v>0</v>
      </c>
      <c r="DC1036">
        <v>0</v>
      </c>
      <c r="DI1036">
        <v>4</v>
      </c>
      <c r="DJ1036" t="s">
        <v>471</v>
      </c>
      <c r="DK1036" t="s">
        <v>1981</v>
      </c>
      <c r="DM1036" t="s">
        <v>473</v>
      </c>
      <c r="DX1036" t="s">
        <v>539</v>
      </c>
      <c r="EI1036" t="s">
        <v>1982</v>
      </c>
      <c r="EJ1036" t="s">
        <v>539</v>
      </c>
      <c r="EK1036" t="s">
        <v>1982</v>
      </c>
      <c r="EL1036" t="s">
        <v>392</v>
      </c>
      <c r="EM1036" t="s">
        <v>402</v>
      </c>
      <c r="EN1036">
        <v>0</v>
      </c>
      <c r="EO1036">
        <v>0</v>
      </c>
      <c r="EW1036" t="s">
        <v>539</v>
      </c>
      <c r="EX1036" t="s">
        <v>1983</v>
      </c>
      <c r="EY1036" t="s">
        <v>1115</v>
      </c>
    </row>
    <row r="1037" spans="1:276" x14ac:dyDescent="0.25">
      <c r="A1037" t="s">
        <v>19427</v>
      </c>
      <c r="B1037" t="str">
        <f>"801542321666"</f>
        <v>801542321666</v>
      </c>
      <c r="C1037" t="s">
        <v>19428</v>
      </c>
      <c r="D1037" t="s">
        <v>1967</v>
      </c>
      <c r="E1037" t="s">
        <v>459</v>
      </c>
      <c r="G1037" t="str">
        <f>"13.75"</f>
        <v>13.75</v>
      </c>
      <c r="H1037" t="str">
        <f>"13.75"</f>
        <v>13.75</v>
      </c>
      <c r="I1037" t="str">
        <f>"21.75"</f>
        <v>21.75</v>
      </c>
      <c r="J1037" t="str">
        <f>"15.43"</f>
        <v>15.43</v>
      </c>
      <c r="K1037" t="s">
        <v>14935</v>
      </c>
      <c r="L1037" t="s">
        <v>19429</v>
      </c>
      <c r="N1037" t="s">
        <v>14936</v>
      </c>
      <c r="O1037" t="s">
        <v>555</v>
      </c>
      <c r="T1037" t="s">
        <v>373</v>
      </c>
      <c r="U1037" t="s">
        <v>373</v>
      </c>
      <c r="V1037" t="s">
        <v>19430</v>
      </c>
      <c r="W1037" t="s">
        <v>19431</v>
      </c>
      <c r="X1037" t="s">
        <v>19432</v>
      </c>
      <c r="Y1037" t="s">
        <v>19433</v>
      </c>
      <c r="Z1037" t="s">
        <v>19434</v>
      </c>
      <c r="AA1037" t="s">
        <v>19435</v>
      </c>
      <c r="AB1037" t="s">
        <v>19436</v>
      </c>
      <c r="AC1037" t="s">
        <v>19437</v>
      </c>
      <c r="AD1037" t="s">
        <v>19438</v>
      </c>
      <c r="BA1037" t="str">
        <f>"349"</f>
        <v>349</v>
      </c>
      <c r="BB1037" t="str">
        <f>"150"</f>
        <v>150</v>
      </c>
      <c r="BC1037" t="s">
        <v>388</v>
      </c>
      <c r="BD1037" t="str">
        <f>"1"</f>
        <v>1</v>
      </c>
      <c r="BE1037" t="s">
        <v>389</v>
      </c>
      <c r="BF1037" t="str">
        <f>"17.72"</f>
        <v>17.72</v>
      </c>
      <c r="BG1037" t="str">
        <f>"17.72"</f>
        <v>17.72</v>
      </c>
      <c r="BH1037" t="str">
        <f>"25.59"</f>
        <v>25.59</v>
      </c>
      <c r="BI1037" t="str">
        <f>"22.05"</f>
        <v>22.05</v>
      </c>
      <c r="BY1037" t="str">
        <f>"4.66"</f>
        <v>4.66</v>
      </c>
      <c r="BZ1037" t="str">
        <f>"0.132"</f>
        <v>0.132</v>
      </c>
      <c r="CA1037" t="s">
        <v>431</v>
      </c>
      <c r="CR1037" t="s">
        <v>400</v>
      </c>
      <c r="CS1037">
        <v>0</v>
      </c>
      <c r="CT1037" t="s">
        <v>400</v>
      </c>
      <c r="CV1037">
        <v>0</v>
      </c>
      <c r="CX1037" t="s">
        <v>1609</v>
      </c>
      <c r="CY1037" t="s">
        <v>400</v>
      </c>
      <c r="DC1037">
        <v>0</v>
      </c>
      <c r="DJ1037" t="s">
        <v>471</v>
      </c>
      <c r="DK1037" t="s">
        <v>19439</v>
      </c>
      <c r="DM1037" t="s">
        <v>473</v>
      </c>
      <c r="DX1037" t="s">
        <v>394</v>
      </c>
      <c r="DY1037" t="s">
        <v>610</v>
      </c>
      <c r="DZ1037" t="s">
        <v>442</v>
      </c>
      <c r="EI1037" t="s">
        <v>830</v>
      </c>
      <c r="EJ1037" t="s">
        <v>444</v>
      </c>
      <c r="EK1037" t="s">
        <v>3484</v>
      </c>
      <c r="EL1037" t="s">
        <v>1040</v>
      </c>
      <c r="EN1037">
        <v>0</v>
      </c>
      <c r="EO1037">
        <v>0</v>
      </c>
      <c r="EX1037" t="s">
        <v>1094</v>
      </c>
    </row>
    <row r="1038" spans="1:276" x14ac:dyDescent="0.25">
      <c r="A1038" t="s">
        <v>19440</v>
      </c>
      <c r="B1038" t="str">
        <f>"801542323738"</f>
        <v>801542323738</v>
      </c>
      <c r="C1038" t="s">
        <v>1966</v>
      </c>
      <c r="D1038" t="s">
        <v>1967</v>
      </c>
      <c r="E1038" t="s">
        <v>647</v>
      </c>
      <c r="F1038" t="s">
        <v>648</v>
      </c>
      <c r="G1038" t="str">
        <f t="shared" ref="G1038:H1040" si="194">"55"</f>
        <v>55</v>
      </c>
      <c r="H1038" t="str">
        <f t="shared" si="194"/>
        <v>55</v>
      </c>
      <c r="I1038" t="str">
        <f>"30"</f>
        <v>30</v>
      </c>
      <c r="J1038" t="str">
        <f>"176.37"</f>
        <v>176.37</v>
      </c>
      <c r="K1038" t="s">
        <v>1968</v>
      </c>
      <c r="L1038" t="s">
        <v>1969</v>
      </c>
      <c r="N1038" t="s">
        <v>1970</v>
      </c>
      <c r="O1038" t="s">
        <v>555</v>
      </c>
      <c r="P1038" t="s">
        <v>372</v>
      </c>
      <c r="T1038" t="s">
        <v>373</v>
      </c>
      <c r="U1038" t="s">
        <v>373</v>
      </c>
      <c r="V1038" t="s">
        <v>1971</v>
      </c>
      <c r="W1038" t="s">
        <v>19441</v>
      </c>
      <c r="X1038" t="s">
        <v>19442</v>
      </c>
      <c r="Y1038" t="s">
        <v>19443</v>
      </c>
      <c r="Z1038" t="s">
        <v>19444</v>
      </c>
      <c r="AA1038" t="s">
        <v>19445</v>
      </c>
      <c r="AB1038" t="s">
        <v>19446</v>
      </c>
      <c r="AC1038" t="s">
        <v>19447</v>
      </c>
      <c r="AD1038" t="s">
        <v>19448</v>
      </c>
      <c r="AE1038" t="s">
        <v>19449</v>
      </c>
      <c r="BA1038" t="str">
        <f>"2499"</f>
        <v>2499</v>
      </c>
      <c r="BB1038" t="str">
        <f>"1050"</f>
        <v>1050</v>
      </c>
      <c r="BC1038" t="s">
        <v>388</v>
      </c>
      <c r="BD1038" t="str">
        <f>"2"</f>
        <v>2</v>
      </c>
      <c r="BE1038" t="s">
        <v>1090</v>
      </c>
      <c r="BF1038" t="str">
        <f>"31.5"</f>
        <v>31.5</v>
      </c>
      <c r="BG1038" t="str">
        <f>"31.5"</f>
        <v>31.5</v>
      </c>
      <c r="BH1038" t="str">
        <f>"33.86"</f>
        <v>33.86</v>
      </c>
      <c r="BI1038" t="str">
        <f>"130.07"</f>
        <v>130.07</v>
      </c>
      <c r="BJ1038" t="s">
        <v>1089</v>
      </c>
      <c r="BK1038" t="str">
        <f>"60.24"</f>
        <v>60.24</v>
      </c>
      <c r="BL1038" t="str">
        <f>"59.84"</f>
        <v>59.84</v>
      </c>
      <c r="BM1038" t="str">
        <f>"3.15"</f>
        <v>3.15</v>
      </c>
      <c r="BN1038" t="str">
        <f>"77.16"</f>
        <v>77.16</v>
      </c>
      <c r="BY1038" t="str">
        <f>"25.99"</f>
        <v>25.99</v>
      </c>
      <c r="BZ1038" t="str">
        <f>"0.736"</f>
        <v>0.736</v>
      </c>
      <c r="CA1038" t="s">
        <v>495</v>
      </c>
      <c r="CR1038" t="s">
        <v>400</v>
      </c>
      <c r="CS1038">
        <v>0</v>
      </c>
      <c r="CT1038" t="s">
        <v>400</v>
      </c>
      <c r="CV1038">
        <v>0</v>
      </c>
      <c r="CX1038" t="s">
        <v>1980</v>
      </c>
      <c r="CY1038" t="s">
        <v>400</v>
      </c>
      <c r="DA1038">
        <v>0</v>
      </c>
      <c r="DB1038">
        <v>0</v>
      </c>
      <c r="DC1038">
        <v>0</v>
      </c>
      <c r="DI1038">
        <v>6</v>
      </c>
      <c r="DJ1038" t="s">
        <v>471</v>
      </c>
      <c r="DK1038" t="s">
        <v>1981</v>
      </c>
      <c r="DM1038" t="s">
        <v>473</v>
      </c>
      <c r="DX1038" t="s">
        <v>9904</v>
      </c>
      <c r="EI1038" t="s">
        <v>1412</v>
      </c>
      <c r="EJ1038" t="s">
        <v>9904</v>
      </c>
      <c r="EK1038" t="s">
        <v>1412</v>
      </c>
      <c r="EL1038" t="s">
        <v>1441</v>
      </c>
      <c r="EM1038" t="s">
        <v>402</v>
      </c>
      <c r="EN1038">
        <v>0</v>
      </c>
      <c r="EO1038">
        <v>0</v>
      </c>
      <c r="EW1038" t="s">
        <v>9904</v>
      </c>
      <c r="EX1038" t="s">
        <v>8980</v>
      </c>
      <c r="EY1038" t="s">
        <v>1115</v>
      </c>
    </row>
    <row r="1039" spans="1:276" x14ac:dyDescent="0.25">
      <c r="A1039" t="s">
        <v>19450</v>
      </c>
      <c r="B1039" t="str">
        <f>"801542456771"</f>
        <v>801542456771</v>
      </c>
      <c r="C1039" t="s">
        <v>19417</v>
      </c>
      <c r="D1039" t="s">
        <v>1967</v>
      </c>
      <c r="E1039" t="s">
        <v>647</v>
      </c>
      <c r="F1039" t="s">
        <v>648</v>
      </c>
      <c r="G1039" t="str">
        <f t="shared" si="194"/>
        <v>55</v>
      </c>
      <c r="H1039" t="str">
        <f t="shared" si="194"/>
        <v>55</v>
      </c>
      <c r="I1039" t="str">
        <f>"29.5"</f>
        <v>29.5</v>
      </c>
      <c r="J1039" t="str">
        <f>"295.42"</f>
        <v>295.42</v>
      </c>
      <c r="K1039" t="s">
        <v>7763</v>
      </c>
      <c r="L1039" t="s">
        <v>1969</v>
      </c>
      <c r="M1039" t="s">
        <v>518</v>
      </c>
      <c r="N1039" t="s">
        <v>6002</v>
      </c>
      <c r="O1039" t="s">
        <v>555</v>
      </c>
      <c r="P1039" t="s">
        <v>372</v>
      </c>
      <c r="T1039" t="s">
        <v>373</v>
      </c>
      <c r="U1039" t="s">
        <v>373</v>
      </c>
      <c r="V1039" t="s">
        <v>19451</v>
      </c>
      <c r="W1039" t="s">
        <v>19452</v>
      </c>
      <c r="X1039" t="s">
        <v>19453</v>
      </c>
      <c r="Y1039" t="s">
        <v>19454</v>
      </c>
      <c r="Z1039" t="s">
        <v>19455</v>
      </c>
      <c r="AA1039" t="s">
        <v>19456</v>
      </c>
      <c r="AB1039" t="s">
        <v>19457</v>
      </c>
      <c r="AC1039" t="s">
        <v>19458</v>
      </c>
      <c r="AD1039" t="s">
        <v>19459</v>
      </c>
      <c r="BA1039" t="str">
        <f>"3499"</f>
        <v>3499</v>
      </c>
      <c r="BB1039" t="str">
        <f>"1470"</f>
        <v>1470</v>
      </c>
      <c r="BC1039" t="s">
        <v>388</v>
      </c>
      <c r="BD1039" t="str">
        <f>"2"</f>
        <v>2</v>
      </c>
      <c r="BE1039" t="s">
        <v>1090</v>
      </c>
      <c r="BF1039" t="str">
        <f>"31.1"</f>
        <v>31.1</v>
      </c>
      <c r="BG1039" t="str">
        <f>"31.5"</f>
        <v>31.5</v>
      </c>
      <c r="BH1039" t="str">
        <f>"33.46"</f>
        <v>33.46</v>
      </c>
      <c r="BI1039" t="str">
        <f>"134.48"</f>
        <v>134.48</v>
      </c>
      <c r="BJ1039" t="s">
        <v>1089</v>
      </c>
      <c r="BK1039" t="str">
        <f>"60.24"</f>
        <v>60.24</v>
      </c>
      <c r="BL1039" t="str">
        <f>"6.89"</f>
        <v>6.89</v>
      </c>
      <c r="BM1039" t="str">
        <f>"60.24"</f>
        <v>60.24</v>
      </c>
      <c r="BN1039" t="str">
        <f>"266.76"</f>
        <v>266.76</v>
      </c>
      <c r="BY1039" t="str">
        <f>"33.44"</f>
        <v>33.44</v>
      </c>
      <c r="BZ1039" t="str">
        <f>"0.947"</f>
        <v>0.947</v>
      </c>
      <c r="CA1039" t="s">
        <v>495</v>
      </c>
      <c r="CR1039" t="s">
        <v>400</v>
      </c>
      <c r="CS1039">
        <v>0</v>
      </c>
      <c r="CT1039" t="s">
        <v>400</v>
      </c>
      <c r="CV1039">
        <v>0</v>
      </c>
      <c r="CX1039" t="s">
        <v>1980</v>
      </c>
      <c r="CY1039" t="s">
        <v>400</v>
      </c>
      <c r="DA1039">
        <v>0</v>
      </c>
      <c r="DB1039">
        <v>0</v>
      </c>
      <c r="DC1039">
        <v>0</v>
      </c>
      <c r="DI1039">
        <v>6</v>
      </c>
      <c r="DJ1039" t="s">
        <v>471</v>
      </c>
      <c r="DK1039" t="s">
        <v>1981</v>
      </c>
      <c r="DM1039" t="s">
        <v>473</v>
      </c>
      <c r="DX1039" t="s">
        <v>9904</v>
      </c>
      <c r="EI1039" t="s">
        <v>1412</v>
      </c>
      <c r="EJ1039" t="s">
        <v>9904</v>
      </c>
      <c r="EK1039" t="s">
        <v>1412</v>
      </c>
      <c r="EL1039" t="s">
        <v>1441</v>
      </c>
      <c r="EM1039" t="s">
        <v>402</v>
      </c>
      <c r="EN1039">
        <v>0</v>
      </c>
      <c r="EO1039">
        <v>0</v>
      </c>
      <c r="EW1039" t="s">
        <v>9904</v>
      </c>
      <c r="EX1039" t="s">
        <v>8980</v>
      </c>
      <c r="EY1039" t="s">
        <v>1115</v>
      </c>
    </row>
    <row r="1040" spans="1:276" x14ac:dyDescent="0.25">
      <c r="A1040" t="s">
        <v>19460</v>
      </c>
      <c r="B1040" t="str">
        <f>"801542456788"</f>
        <v>801542456788</v>
      </c>
      <c r="C1040" t="s">
        <v>19405</v>
      </c>
      <c r="D1040" t="s">
        <v>1967</v>
      </c>
      <c r="E1040" t="s">
        <v>647</v>
      </c>
      <c r="F1040" t="s">
        <v>648</v>
      </c>
      <c r="G1040" t="str">
        <f t="shared" si="194"/>
        <v>55</v>
      </c>
      <c r="H1040" t="str">
        <f t="shared" si="194"/>
        <v>55</v>
      </c>
      <c r="I1040" t="str">
        <f>"29.5"</f>
        <v>29.5</v>
      </c>
      <c r="J1040" t="str">
        <f>"306.44"</f>
        <v>306.44</v>
      </c>
      <c r="K1040" t="s">
        <v>14935</v>
      </c>
      <c r="L1040" t="s">
        <v>1969</v>
      </c>
      <c r="M1040" t="s">
        <v>3645</v>
      </c>
      <c r="N1040" t="s">
        <v>14936</v>
      </c>
      <c r="O1040" t="s">
        <v>555</v>
      </c>
      <c r="P1040" t="s">
        <v>372</v>
      </c>
      <c r="T1040" t="s">
        <v>373</v>
      </c>
      <c r="U1040" t="s">
        <v>373</v>
      </c>
      <c r="V1040" t="s">
        <v>19461</v>
      </c>
      <c r="W1040" t="s">
        <v>19462</v>
      </c>
      <c r="X1040" t="s">
        <v>19463</v>
      </c>
      <c r="Y1040" t="s">
        <v>19464</v>
      </c>
      <c r="Z1040" t="s">
        <v>19465</v>
      </c>
      <c r="AA1040" t="s">
        <v>19466</v>
      </c>
      <c r="AB1040" t="s">
        <v>19467</v>
      </c>
      <c r="AC1040" t="s">
        <v>19468</v>
      </c>
      <c r="AD1040" t="s">
        <v>19469</v>
      </c>
      <c r="AE1040" t="s">
        <v>19470</v>
      </c>
      <c r="BA1040" t="str">
        <f>"3499"</f>
        <v>3499</v>
      </c>
      <c r="BB1040" t="str">
        <f>"1470"</f>
        <v>1470</v>
      </c>
      <c r="BC1040" t="s">
        <v>388</v>
      </c>
      <c r="BD1040" t="str">
        <f>"2"</f>
        <v>2</v>
      </c>
      <c r="BE1040" t="s">
        <v>1090</v>
      </c>
      <c r="BF1040" t="str">
        <f>"31.1"</f>
        <v>31.1</v>
      </c>
      <c r="BG1040" t="str">
        <f>"31.5"</f>
        <v>31.5</v>
      </c>
      <c r="BH1040" t="str">
        <f>"33.46"</f>
        <v>33.46</v>
      </c>
      <c r="BI1040" t="str">
        <f>"134.48"</f>
        <v>134.48</v>
      </c>
      <c r="BJ1040" t="s">
        <v>1089</v>
      </c>
      <c r="BK1040" t="str">
        <f>"60.24"</f>
        <v>60.24</v>
      </c>
      <c r="BL1040" t="str">
        <f>"6.89"</f>
        <v>6.89</v>
      </c>
      <c r="BM1040" t="str">
        <f>"60.24"</f>
        <v>60.24</v>
      </c>
      <c r="BN1040" t="str">
        <f>"266.76"</f>
        <v>266.76</v>
      </c>
      <c r="BY1040" t="str">
        <f>"33.44"</f>
        <v>33.44</v>
      </c>
      <c r="BZ1040" t="str">
        <f>"0.947"</f>
        <v>0.947</v>
      </c>
      <c r="CA1040" t="s">
        <v>495</v>
      </c>
      <c r="CR1040" t="s">
        <v>400</v>
      </c>
      <c r="CS1040">
        <v>0</v>
      </c>
      <c r="CT1040" t="s">
        <v>400</v>
      </c>
      <c r="CV1040">
        <v>0</v>
      </c>
      <c r="CX1040" t="s">
        <v>1980</v>
      </c>
      <c r="CY1040" t="s">
        <v>400</v>
      </c>
      <c r="DA1040">
        <v>0</v>
      </c>
      <c r="DB1040">
        <v>0</v>
      </c>
      <c r="DC1040">
        <v>0</v>
      </c>
      <c r="DI1040">
        <v>6</v>
      </c>
      <c r="DJ1040" t="s">
        <v>471</v>
      </c>
      <c r="DK1040" t="s">
        <v>1981</v>
      </c>
      <c r="DM1040" t="s">
        <v>473</v>
      </c>
      <c r="DX1040" t="s">
        <v>9904</v>
      </c>
      <c r="EI1040" t="s">
        <v>1412</v>
      </c>
      <c r="EJ1040" t="s">
        <v>9904</v>
      </c>
      <c r="EK1040" t="s">
        <v>1412</v>
      </c>
      <c r="EL1040" t="s">
        <v>1441</v>
      </c>
      <c r="EM1040" t="s">
        <v>402</v>
      </c>
      <c r="EN1040">
        <v>0</v>
      </c>
      <c r="EO1040">
        <v>0</v>
      </c>
      <c r="EW1040" t="s">
        <v>9904</v>
      </c>
      <c r="EX1040" t="s">
        <v>8980</v>
      </c>
      <c r="EY1040" t="s">
        <v>1115</v>
      </c>
    </row>
    <row r="1041" spans="1:253" x14ac:dyDescent="0.25">
      <c r="A1041" t="s">
        <v>19471</v>
      </c>
      <c r="B1041" t="str">
        <f>"801542327194"</f>
        <v>801542327194</v>
      </c>
      <c r="C1041" t="s">
        <v>19472</v>
      </c>
      <c r="D1041" t="s">
        <v>1967</v>
      </c>
      <c r="E1041" t="s">
        <v>4074</v>
      </c>
      <c r="G1041" t="str">
        <f>"65"</f>
        <v>65</v>
      </c>
      <c r="H1041" t="str">
        <f>"18"</f>
        <v>18</v>
      </c>
      <c r="I1041" t="str">
        <f>"30"</f>
        <v>30</v>
      </c>
      <c r="J1041" t="str">
        <f>"61.729"</f>
        <v>61.729</v>
      </c>
      <c r="K1041" t="s">
        <v>19473</v>
      </c>
      <c r="L1041" t="s">
        <v>19474</v>
      </c>
      <c r="M1041" t="s">
        <v>19475</v>
      </c>
      <c r="N1041" t="s">
        <v>1699</v>
      </c>
      <c r="O1041" t="s">
        <v>555</v>
      </c>
      <c r="P1041" t="s">
        <v>372</v>
      </c>
      <c r="T1041" t="s">
        <v>373</v>
      </c>
      <c r="U1041" t="s">
        <v>373</v>
      </c>
      <c r="V1041" t="s">
        <v>19476</v>
      </c>
      <c r="W1041" t="s">
        <v>19477</v>
      </c>
      <c r="X1041" t="s">
        <v>19478</v>
      </c>
      <c r="Y1041" t="s">
        <v>19479</v>
      </c>
      <c r="Z1041" t="s">
        <v>19480</v>
      </c>
      <c r="AA1041" t="s">
        <v>19481</v>
      </c>
      <c r="AB1041" t="s">
        <v>19482</v>
      </c>
      <c r="AC1041" t="s">
        <v>19483</v>
      </c>
      <c r="AD1041" t="s">
        <v>19484</v>
      </c>
      <c r="AE1041" t="s">
        <v>19485</v>
      </c>
      <c r="AF1041" t="s">
        <v>19486</v>
      </c>
      <c r="AG1041" t="s">
        <v>19487</v>
      </c>
      <c r="BA1041" t="str">
        <f>"1549"</f>
        <v>1549</v>
      </c>
      <c r="BB1041" t="str">
        <f>"655"</f>
        <v>655</v>
      </c>
      <c r="BC1041" t="s">
        <v>388</v>
      </c>
      <c r="BD1041" t="str">
        <f>"2"</f>
        <v>2</v>
      </c>
      <c r="BE1041" t="s">
        <v>1090</v>
      </c>
      <c r="BF1041" t="str">
        <f>"31.89"</f>
        <v>31.89</v>
      </c>
      <c r="BG1041" t="str">
        <f>"27.95"</f>
        <v>27.95</v>
      </c>
      <c r="BH1041" t="str">
        <f>"11.02"</f>
        <v>11.02</v>
      </c>
      <c r="BI1041" t="str">
        <f>"35.27"</f>
        <v>35.27</v>
      </c>
      <c r="BJ1041" t="s">
        <v>1089</v>
      </c>
      <c r="BK1041" t="str">
        <f>"68.9"</f>
        <v>68.9</v>
      </c>
      <c r="BL1041" t="str">
        <f>"4.92"</f>
        <v>4.92</v>
      </c>
      <c r="BM1041" t="str">
        <f>"22.64"</f>
        <v>22.64</v>
      </c>
      <c r="BN1041" t="str">
        <f>"44.09"</f>
        <v>44.09</v>
      </c>
      <c r="BY1041" t="str">
        <f>"10.14"</f>
        <v>10.14</v>
      </c>
      <c r="BZ1041" t="str">
        <f>"0.287"</f>
        <v>0.287</v>
      </c>
      <c r="CA1041" t="s">
        <v>495</v>
      </c>
      <c r="CR1041" t="s">
        <v>400</v>
      </c>
      <c r="CS1041">
        <v>0</v>
      </c>
      <c r="CT1041" t="s">
        <v>400</v>
      </c>
      <c r="CV1041">
        <v>0</v>
      </c>
      <c r="CX1041" t="s">
        <v>1980</v>
      </c>
      <c r="CY1041" t="s">
        <v>400</v>
      </c>
      <c r="DC1041">
        <v>0</v>
      </c>
      <c r="DJ1041" t="s">
        <v>408</v>
      </c>
      <c r="DK1041" t="s">
        <v>19488</v>
      </c>
      <c r="DM1041" t="s">
        <v>473</v>
      </c>
      <c r="DX1041" t="s">
        <v>19489</v>
      </c>
      <c r="DY1041" t="s">
        <v>2263</v>
      </c>
      <c r="DZ1041" t="s">
        <v>2141</v>
      </c>
      <c r="EI1041" t="s">
        <v>11765</v>
      </c>
      <c r="EJ1041" t="s">
        <v>432</v>
      </c>
      <c r="EK1041" t="s">
        <v>19490</v>
      </c>
      <c r="EL1041" t="s">
        <v>19491</v>
      </c>
      <c r="EN1041">
        <v>0</v>
      </c>
      <c r="EO1041">
        <v>0</v>
      </c>
      <c r="EX1041" t="s">
        <v>797</v>
      </c>
      <c r="FI1041">
        <v>0</v>
      </c>
      <c r="FJ1041" t="s">
        <v>1012</v>
      </c>
    </row>
    <row r="1042" spans="1:253" x14ac:dyDescent="0.25">
      <c r="A1042" t="s">
        <v>19492</v>
      </c>
      <c r="B1042" t="str">
        <f>"801542327583"</f>
        <v>801542327583</v>
      </c>
      <c r="C1042" t="s">
        <v>19493</v>
      </c>
      <c r="D1042" t="s">
        <v>1967</v>
      </c>
      <c r="E1042" t="s">
        <v>930</v>
      </c>
      <c r="G1042" t="str">
        <f>"78.75"</f>
        <v>78.75</v>
      </c>
      <c r="H1042" t="str">
        <f>"19.75"</f>
        <v>19.75</v>
      </c>
      <c r="I1042" t="str">
        <f>"31.5"</f>
        <v>31.5</v>
      </c>
      <c r="J1042" t="str">
        <f>"244.71"</f>
        <v>244.71</v>
      </c>
      <c r="K1042" t="s">
        <v>19494</v>
      </c>
      <c r="L1042" t="s">
        <v>19495</v>
      </c>
      <c r="M1042" t="s">
        <v>19496</v>
      </c>
      <c r="N1042" t="s">
        <v>9042</v>
      </c>
      <c r="O1042" t="s">
        <v>1876</v>
      </c>
      <c r="P1042" t="s">
        <v>5044</v>
      </c>
      <c r="T1042" t="s">
        <v>373</v>
      </c>
      <c r="U1042" t="s">
        <v>373</v>
      </c>
      <c r="V1042" t="s">
        <v>19497</v>
      </c>
      <c r="W1042" t="s">
        <v>19498</v>
      </c>
      <c r="X1042" t="s">
        <v>19499</v>
      </c>
      <c r="Y1042" t="s">
        <v>19500</v>
      </c>
      <c r="Z1042" t="s">
        <v>19501</v>
      </c>
      <c r="AA1042" t="s">
        <v>19502</v>
      </c>
      <c r="AB1042" t="s">
        <v>19503</v>
      </c>
      <c r="AC1042" t="s">
        <v>19504</v>
      </c>
      <c r="AD1042" t="s">
        <v>19505</v>
      </c>
      <c r="AE1042" t="s">
        <v>19506</v>
      </c>
      <c r="AF1042" t="s">
        <v>19507</v>
      </c>
      <c r="BA1042" t="str">
        <f>"4699"</f>
        <v>4699</v>
      </c>
      <c r="BB1042" t="str">
        <f>"1975"</f>
        <v>1975</v>
      </c>
      <c r="BC1042" t="s">
        <v>388</v>
      </c>
      <c r="BD1042" t="str">
        <f>"1"</f>
        <v>1</v>
      </c>
      <c r="BE1042" t="s">
        <v>389</v>
      </c>
      <c r="BF1042" t="str">
        <f>"84.25"</f>
        <v>84.25</v>
      </c>
      <c r="BG1042" t="str">
        <f>"26.57"</f>
        <v>26.57</v>
      </c>
      <c r="BH1042" t="str">
        <f>"38.58"</f>
        <v>38.58</v>
      </c>
      <c r="BI1042" t="str">
        <f>"310.85"</f>
        <v>310.85</v>
      </c>
      <c r="BY1042" t="str">
        <f>"50.01"</f>
        <v>50.01</v>
      </c>
      <c r="BZ1042" t="str">
        <f>"1.416"</f>
        <v>1.416</v>
      </c>
      <c r="CA1042" t="s">
        <v>390</v>
      </c>
      <c r="CE1042" t="s">
        <v>981</v>
      </c>
      <c r="CF1042" t="s">
        <v>6524</v>
      </c>
      <c r="CG1042" t="s">
        <v>791</v>
      </c>
      <c r="CR1042" t="s">
        <v>400</v>
      </c>
      <c r="CS1042">
        <v>0</v>
      </c>
      <c r="CT1042" t="s">
        <v>400</v>
      </c>
      <c r="CV1042">
        <v>0</v>
      </c>
      <c r="CX1042" t="s">
        <v>403</v>
      </c>
      <c r="CY1042" t="s">
        <v>954</v>
      </c>
      <c r="DA1042">
        <v>18.14</v>
      </c>
      <c r="DB1042">
        <v>40</v>
      </c>
      <c r="DC1042">
        <v>4</v>
      </c>
      <c r="DK1042" t="s">
        <v>19508</v>
      </c>
      <c r="DM1042" t="s">
        <v>669</v>
      </c>
      <c r="EM1042" t="s">
        <v>402</v>
      </c>
      <c r="EN1042">
        <v>4</v>
      </c>
      <c r="EZ1042" t="s">
        <v>14400</v>
      </c>
      <c r="FA1042" t="s">
        <v>1040</v>
      </c>
      <c r="FB1042" t="s">
        <v>3982</v>
      </c>
      <c r="FC1042" t="s">
        <v>981</v>
      </c>
      <c r="FD1042" t="s">
        <v>956</v>
      </c>
      <c r="FE1042" t="s">
        <v>791</v>
      </c>
      <c r="FF1042">
        <v>0</v>
      </c>
      <c r="FG1042" t="s">
        <v>402</v>
      </c>
      <c r="FI1042">
        <v>4</v>
      </c>
      <c r="FJ1042" t="s">
        <v>960</v>
      </c>
      <c r="FK1042" t="s">
        <v>961</v>
      </c>
      <c r="FL1042">
        <v>0</v>
      </c>
      <c r="FM1042" t="s">
        <v>402</v>
      </c>
      <c r="FO1042" t="s">
        <v>5044</v>
      </c>
      <c r="GB1042" t="s">
        <v>981</v>
      </c>
      <c r="GC1042" t="s">
        <v>6524</v>
      </c>
      <c r="GD1042" t="s">
        <v>791</v>
      </c>
      <c r="GR1042" t="s">
        <v>981</v>
      </c>
      <c r="GS1042" t="s">
        <v>981</v>
      </c>
      <c r="GT1042" t="s">
        <v>6524</v>
      </c>
      <c r="GU1042" t="s">
        <v>6524</v>
      </c>
      <c r="GV1042" t="s">
        <v>791</v>
      </c>
      <c r="GW1042" t="s">
        <v>791</v>
      </c>
      <c r="GX1042" t="s">
        <v>392</v>
      </c>
      <c r="HI1042" t="s">
        <v>402</v>
      </c>
    </row>
    <row r="1043" spans="1:253" x14ac:dyDescent="0.25">
      <c r="A1043" t="s">
        <v>19509</v>
      </c>
      <c r="B1043" t="str">
        <f>"801542176747"</f>
        <v>801542176747</v>
      </c>
      <c r="C1043" t="s">
        <v>19510</v>
      </c>
      <c r="D1043" t="s">
        <v>1967</v>
      </c>
      <c r="E1043" t="s">
        <v>647</v>
      </c>
      <c r="F1043" t="s">
        <v>648</v>
      </c>
      <c r="G1043" t="str">
        <f>"110.25"</f>
        <v>110.25</v>
      </c>
      <c r="H1043" t="str">
        <f>"39.25"</f>
        <v>39.25</v>
      </c>
      <c r="I1043" t="str">
        <f>"30.75"</f>
        <v>30.75</v>
      </c>
      <c r="J1043" t="str">
        <f>"220.46"</f>
        <v>220.46</v>
      </c>
      <c r="K1043" t="s">
        <v>19511</v>
      </c>
      <c r="L1043" t="s">
        <v>650</v>
      </c>
      <c r="N1043" t="s">
        <v>1399</v>
      </c>
      <c r="O1043" t="s">
        <v>461</v>
      </c>
      <c r="T1043" t="s">
        <v>373</v>
      </c>
      <c r="U1043" t="s">
        <v>373</v>
      </c>
      <c r="V1043" t="s">
        <v>19512</v>
      </c>
      <c r="W1043" t="s">
        <v>19513</v>
      </c>
      <c r="X1043" t="s">
        <v>19514</v>
      </c>
      <c r="Y1043" t="s">
        <v>19515</v>
      </c>
      <c r="Z1043" t="s">
        <v>19516</v>
      </c>
      <c r="AA1043" t="s">
        <v>19517</v>
      </c>
      <c r="AB1043" t="s">
        <v>19518</v>
      </c>
      <c r="AC1043" t="s">
        <v>19519</v>
      </c>
      <c r="AD1043" t="s">
        <v>19520</v>
      </c>
      <c r="AE1043" t="s">
        <v>19521</v>
      </c>
      <c r="AF1043" t="s">
        <v>19522</v>
      </c>
      <c r="AG1043" t="s">
        <v>19523</v>
      </c>
      <c r="BA1043" t="str">
        <f>"3499"</f>
        <v>3499</v>
      </c>
      <c r="BB1043" t="str">
        <f>"1470"</f>
        <v>1470</v>
      </c>
      <c r="BC1043" t="s">
        <v>388</v>
      </c>
      <c r="BD1043" t="str">
        <f>"2"</f>
        <v>2</v>
      </c>
      <c r="BE1043" t="s">
        <v>1090</v>
      </c>
      <c r="BF1043" t="str">
        <f>"37.01"</f>
        <v>37.01</v>
      </c>
      <c r="BG1043" t="str">
        <f>"19.29"</f>
        <v>19.29</v>
      </c>
      <c r="BH1043" t="str">
        <f>"32.68"</f>
        <v>32.68</v>
      </c>
      <c r="BI1043" t="str">
        <f>"81.13"</f>
        <v>81.13</v>
      </c>
      <c r="BJ1043" t="s">
        <v>1089</v>
      </c>
      <c r="BK1043" t="str">
        <f>"114.17"</f>
        <v>114.17</v>
      </c>
      <c r="BL1043" t="str">
        <f>"5.31"</f>
        <v>5.31</v>
      </c>
      <c r="BM1043" t="str">
        <f>"47.44"</f>
        <v>47.44</v>
      </c>
      <c r="BN1043" t="str">
        <f>"181"</f>
        <v>181</v>
      </c>
      <c r="BY1043" t="str">
        <f>"30.16"</f>
        <v>30.16</v>
      </c>
      <c r="BZ1043" t="str">
        <f>"0.854"</f>
        <v>0.854</v>
      </c>
      <c r="CA1043" t="s">
        <v>495</v>
      </c>
      <c r="CR1043" t="s">
        <v>400</v>
      </c>
      <c r="CS1043">
        <v>0</v>
      </c>
      <c r="CT1043" t="s">
        <v>400</v>
      </c>
      <c r="CV1043">
        <v>0</v>
      </c>
      <c r="CX1043" t="s">
        <v>953</v>
      </c>
      <c r="CY1043" t="s">
        <v>400</v>
      </c>
      <c r="DA1043">
        <v>0</v>
      </c>
      <c r="DB1043">
        <v>0</v>
      </c>
      <c r="DC1043">
        <v>0</v>
      </c>
      <c r="DI1043">
        <v>12</v>
      </c>
      <c r="DJ1043" t="s">
        <v>408</v>
      </c>
      <c r="DK1043" t="s">
        <v>19524</v>
      </c>
      <c r="DM1043" t="s">
        <v>669</v>
      </c>
      <c r="DX1043" t="s">
        <v>392</v>
      </c>
      <c r="DZ1043" t="s">
        <v>19525</v>
      </c>
      <c r="EI1043" t="s">
        <v>6258</v>
      </c>
      <c r="EJ1043" t="s">
        <v>5483</v>
      </c>
      <c r="EK1043" t="s">
        <v>19526</v>
      </c>
      <c r="EL1043" t="s">
        <v>392</v>
      </c>
      <c r="EM1043" t="s">
        <v>402</v>
      </c>
      <c r="EN1043">
        <v>0</v>
      </c>
      <c r="EO1043">
        <v>0</v>
      </c>
      <c r="EW1043" t="s">
        <v>5483</v>
      </c>
      <c r="EX1043" t="s">
        <v>540</v>
      </c>
      <c r="EY1043" t="s">
        <v>677</v>
      </c>
    </row>
    <row r="1044" spans="1:253" x14ac:dyDescent="0.25">
      <c r="A1044" t="s">
        <v>19527</v>
      </c>
      <c r="B1044" t="str">
        <f>"801542230326"</f>
        <v>801542230326</v>
      </c>
      <c r="C1044" t="s">
        <v>19528</v>
      </c>
      <c r="D1044" t="s">
        <v>722</v>
      </c>
      <c r="E1044" t="s">
        <v>2388</v>
      </c>
      <c r="G1044" t="str">
        <f>"23.5"</f>
        <v>23.5</v>
      </c>
      <c r="H1044" t="str">
        <f>"19.75"</f>
        <v>19.75</v>
      </c>
      <c r="I1044" t="str">
        <f>"17"</f>
        <v>17</v>
      </c>
      <c r="J1044" t="str">
        <f>"18.52"</f>
        <v>18.52</v>
      </c>
      <c r="K1044" t="s">
        <v>1986</v>
      </c>
      <c r="L1044" t="s">
        <v>1987</v>
      </c>
      <c r="N1044" t="s">
        <v>416</v>
      </c>
      <c r="O1044" t="s">
        <v>555</v>
      </c>
      <c r="T1044" t="s">
        <v>373</v>
      </c>
      <c r="U1044" t="s">
        <v>373</v>
      </c>
      <c r="V1044" t="s">
        <v>19529</v>
      </c>
      <c r="W1044" t="s">
        <v>19530</v>
      </c>
      <c r="X1044" t="s">
        <v>19531</v>
      </c>
      <c r="Y1044" t="s">
        <v>19532</v>
      </c>
      <c r="Z1044" t="s">
        <v>19533</v>
      </c>
      <c r="AA1044" t="s">
        <v>19534</v>
      </c>
      <c r="AB1044" t="s">
        <v>19535</v>
      </c>
      <c r="AC1044" t="s">
        <v>19536</v>
      </c>
      <c r="AD1044" t="s">
        <v>19537</v>
      </c>
      <c r="AE1044" t="s">
        <v>19538</v>
      </c>
      <c r="BA1044" t="str">
        <f>"699"</f>
        <v>699</v>
      </c>
      <c r="BB1044" t="str">
        <f>"295"</f>
        <v>295</v>
      </c>
      <c r="BC1044" t="s">
        <v>388</v>
      </c>
      <c r="BD1044" t="str">
        <f>"1"</f>
        <v>1</v>
      </c>
      <c r="BE1044" t="s">
        <v>389</v>
      </c>
      <c r="BF1044" t="str">
        <f>"25.79"</f>
        <v>25.79</v>
      </c>
      <c r="BG1044" t="str">
        <f>"22.44"</f>
        <v>22.44</v>
      </c>
      <c r="BH1044" t="str">
        <f>"20.28"</f>
        <v>20.28</v>
      </c>
      <c r="BI1044" t="str">
        <f>"27.12"</f>
        <v>27.12</v>
      </c>
      <c r="BY1044" t="str">
        <f>"6.78"</f>
        <v>6.78</v>
      </c>
      <c r="BZ1044" t="str">
        <f>"0.192"</f>
        <v>0.192</v>
      </c>
      <c r="CA1044" t="s">
        <v>495</v>
      </c>
      <c r="CK1044" t="s">
        <v>1711</v>
      </c>
      <c r="CL1044" t="s">
        <v>535</v>
      </c>
      <c r="CM1044" t="s">
        <v>548</v>
      </c>
      <c r="CN1044">
        <v>0</v>
      </c>
      <c r="CO1044">
        <v>0</v>
      </c>
      <c r="CP1044" t="s">
        <v>398</v>
      </c>
      <c r="CQ1044" t="s">
        <v>438</v>
      </c>
      <c r="CR1044" t="s">
        <v>400</v>
      </c>
      <c r="CS1044">
        <v>0</v>
      </c>
      <c r="CT1044" t="s">
        <v>400</v>
      </c>
      <c r="CU1044" t="s">
        <v>19539</v>
      </c>
      <c r="CV1044">
        <v>0</v>
      </c>
      <c r="CX1044" t="s">
        <v>1609</v>
      </c>
      <c r="CY1044" t="s">
        <v>400</v>
      </c>
      <c r="CZ1044">
        <v>0</v>
      </c>
      <c r="DA1044">
        <v>0</v>
      </c>
      <c r="DB1044">
        <v>0</v>
      </c>
      <c r="DC1044">
        <v>0</v>
      </c>
      <c r="DD1044">
        <v>0</v>
      </c>
      <c r="DE1044" t="s">
        <v>2001</v>
      </c>
      <c r="DF1044" t="s">
        <v>632</v>
      </c>
      <c r="DH1044">
        <v>1</v>
      </c>
      <c r="DI1044">
        <v>1</v>
      </c>
      <c r="DJ1044" t="s">
        <v>408</v>
      </c>
      <c r="DK1044" t="s">
        <v>2002</v>
      </c>
      <c r="DL1044">
        <v>0</v>
      </c>
      <c r="DM1044" t="s">
        <v>538</v>
      </c>
      <c r="DY1044" t="s">
        <v>396</v>
      </c>
      <c r="DZ1044" t="s">
        <v>3832</v>
      </c>
      <c r="ET1044" t="s">
        <v>2003</v>
      </c>
    </row>
    <row r="1045" spans="1:253" x14ac:dyDescent="0.25">
      <c r="A1045" t="s">
        <v>19540</v>
      </c>
      <c r="B1045" t="str">
        <f>"801542240813"</f>
        <v>801542240813</v>
      </c>
      <c r="C1045" t="s">
        <v>19541</v>
      </c>
      <c r="D1045" t="s">
        <v>722</v>
      </c>
      <c r="E1045" t="s">
        <v>2388</v>
      </c>
      <c r="G1045" t="str">
        <f>"50"</f>
        <v>50</v>
      </c>
      <c r="H1045" t="str">
        <f>"32"</f>
        <v>32</v>
      </c>
      <c r="I1045" t="str">
        <f>"15.25"</f>
        <v>15.25</v>
      </c>
      <c r="J1045" t="str">
        <f>"51.59"</f>
        <v>51.59</v>
      </c>
      <c r="K1045" t="s">
        <v>1986</v>
      </c>
      <c r="L1045" t="s">
        <v>1987</v>
      </c>
      <c r="N1045" t="s">
        <v>416</v>
      </c>
      <c r="O1045" t="s">
        <v>555</v>
      </c>
      <c r="T1045" t="s">
        <v>373</v>
      </c>
      <c r="U1045" t="s">
        <v>373</v>
      </c>
      <c r="V1045" t="s">
        <v>1988</v>
      </c>
      <c r="W1045" t="s">
        <v>19542</v>
      </c>
      <c r="X1045" t="s">
        <v>19543</v>
      </c>
      <c r="Y1045" t="s">
        <v>19544</v>
      </c>
      <c r="Z1045" t="s">
        <v>19545</v>
      </c>
      <c r="AA1045" t="s">
        <v>19546</v>
      </c>
      <c r="AB1045" t="s">
        <v>19547</v>
      </c>
      <c r="AC1045" t="s">
        <v>19548</v>
      </c>
      <c r="BA1045" t="str">
        <f>"1999"</f>
        <v>1999</v>
      </c>
      <c r="BB1045" t="str">
        <f>"840"</f>
        <v>840</v>
      </c>
      <c r="BC1045" t="s">
        <v>388</v>
      </c>
      <c r="BD1045" t="str">
        <f>"1"</f>
        <v>1</v>
      </c>
      <c r="BE1045" t="s">
        <v>389</v>
      </c>
      <c r="BF1045" t="str">
        <f>"52.76"</f>
        <v>52.76</v>
      </c>
      <c r="BG1045" t="str">
        <f>"35.04"</f>
        <v>35.04</v>
      </c>
      <c r="BH1045" t="str">
        <f>"19.29"</f>
        <v>19.29</v>
      </c>
      <c r="BI1045" t="str">
        <f>"69.67"</f>
        <v>69.67</v>
      </c>
      <c r="BY1045" t="str">
        <f>"20.62"</f>
        <v>20.62</v>
      </c>
      <c r="BZ1045" t="str">
        <f>"0.584"</f>
        <v>0.584</v>
      </c>
      <c r="CA1045" t="s">
        <v>431</v>
      </c>
      <c r="CK1045" t="s">
        <v>19549</v>
      </c>
      <c r="CL1045" t="s">
        <v>3833</v>
      </c>
      <c r="CM1045" t="s">
        <v>2260</v>
      </c>
      <c r="CO1045">
        <v>0</v>
      </c>
      <c r="CQ1045" t="s">
        <v>438</v>
      </c>
      <c r="CX1045" t="s">
        <v>1609</v>
      </c>
      <c r="CY1045" t="s">
        <v>400</v>
      </c>
      <c r="CZ1045">
        <v>0</v>
      </c>
      <c r="DD1045">
        <v>0</v>
      </c>
      <c r="DE1045" t="s">
        <v>2001</v>
      </c>
      <c r="DF1045" t="s">
        <v>632</v>
      </c>
      <c r="DH1045">
        <v>1</v>
      </c>
      <c r="DI1045">
        <v>2</v>
      </c>
      <c r="DJ1045" t="s">
        <v>408</v>
      </c>
      <c r="DK1045" t="s">
        <v>2002</v>
      </c>
      <c r="DL1045">
        <v>0</v>
      </c>
      <c r="DM1045" t="s">
        <v>1736</v>
      </c>
      <c r="EG1045" t="s">
        <v>19539</v>
      </c>
      <c r="ET1045" t="s">
        <v>2003</v>
      </c>
    </row>
    <row r="1046" spans="1:253" x14ac:dyDescent="0.25">
      <c r="A1046" t="s">
        <v>19550</v>
      </c>
      <c r="B1046" t="str">
        <f>"801542341831"</f>
        <v>801542341831</v>
      </c>
      <c r="C1046" t="s">
        <v>19551</v>
      </c>
      <c r="D1046" t="s">
        <v>722</v>
      </c>
      <c r="E1046" t="s">
        <v>2006</v>
      </c>
      <c r="F1046" t="s">
        <v>2007</v>
      </c>
      <c r="G1046" t="str">
        <f>"65"</f>
        <v>65</v>
      </c>
      <c r="H1046" t="str">
        <f>"84.5"</f>
        <v>84.5</v>
      </c>
      <c r="I1046" t="str">
        <f>"60.25"</f>
        <v>60.25</v>
      </c>
      <c r="J1046" t="str">
        <f>"151.68"</f>
        <v>151.68</v>
      </c>
      <c r="K1046" t="s">
        <v>19552</v>
      </c>
      <c r="L1046" t="s">
        <v>2009</v>
      </c>
      <c r="M1046" t="s">
        <v>19553</v>
      </c>
      <c r="N1046" t="s">
        <v>19554</v>
      </c>
      <c r="O1046" t="s">
        <v>810</v>
      </c>
      <c r="P1046" t="s">
        <v>555</v>
      </c>
      <c r="Q1046" t="s">
        <v>19555</v>
      </c>
      <c r="R1046" t="s">
        <v>19556</v>
      </c>
      <c r="S1046" t="s">
        <v>19557</v>
      </c>
      <c r="T1046" t="s">
        <v>373</v>
      </c>
      <c r="U1046" t="s">
        <v>373</v>
      </c>
      <c r="V1046" t="s">
        <v>19558</v>
      </c>
      <c r="W1046" t="s">
        <v>19559</v>
      </c>
      <c r="X1046" t="s">
        <v>19560</v>
      </c>
      <c r="Y1046" t="s">
        <v>19561</v>
      </c>
      <c r="Z1046" t="s">
        <v>19562</v>
      </c>
      <c r="AA1046" t="s">
        <v>19563</v>
      </c>
      <c r="AB1046" t="s">
        <v>19564</v>
      </c>
      <c r="AC1046" t="s">
        <v>19565</v>
      </c>
      <c r="AD1046" t="s">
        <v>19566</v>
      </c>
      <c r="AE1046" t="s">
        <v>19567</v>
      </c>
      <c r="AF1046" t="s">
        <v>19568</v>
      </c>
      <c r="AG1046" t="s">
        <v>19569</v>
      </c>
      <c r="BA1046" t="str">
        <f>"2599"</f>
        <v>2599</v>
      </c>
      <c r="BB1046" t="str">
        <f>"1095"</f>
        <v>1095</v>
      </c>
      <c r="BC1046" t="s">
        <v>388</v>
      </c>
      <c r="BD1046" t="str">
        <f>"2"</f>
        <v>2</v>
      </c>
      <c r="BE1046" t="s">
        <v>2025</v>
      </c>
      <c r="BF1046" t="str">
        <f>"66.34"</f>
        <v>66.34</v>
      </c>
      <c r="BG1046" t="str">
        <f>"7.68"</f>
        <v>7.68</v>
      </c>
      <c r="BH1046" t="str">
        <f>"66.34"</f>
        <v>66.34</v>
      </c>
      <c r="BI1046" t="str">
        <f>"106.26"</f>
        <v>106.26</v>
      </c>
      <c r="BJ1046" t="s">
        <v>2026</v>
      </c>
      <c r="BK1046" t="str">
        <f>"87.01"</f>
        <v>87.01</v>
      </c>
      <c r="BL1046" t="str">
        <f>"13.39"</f>
        <v>13.39</v>
      </c>
      <c r="BM1046" t="str">
        <f>"9.06"</f>
        <v>9.06</v>
      </c>
      <c r="BN1046" t="str">
        <f>"84.66"</f>
        <v>84.66</v>
      </c>
      <c r="BY1046" t="str">
        <f>"25.67"</f>
        <v>25.67</v>
      </c>
      <c r="BZ1046" t="str">
        <f>"0.727"</f>
        <v>0.727</v>
      </c>
      <c r="CA1046" t="s">
        <v>495</v>
      </c>
      <c r="CQ1046" t="s">
        <v>631</v>
      </c>
      <c r="CR1046" t="s">
        <v>400</v>
      </c>
      <c r="CS1046">
        <v>0</v>
      </c>
      <c r="CT1046" t="s">
        <v>400</v>
      </c>
      <c r="CV1046">
        <v>0</v>
      </c>
      <c r="CX1046" t="s">
        <v>1609</v>
      </c>
      <c r="CY1046" t="s">
        <v>400</v>
      </c>
      <c r="DA1046">
        <v>0</v>
      </c>
      <c r="DB1046">
        <v>0</v>
      </c>
      <c r="DC1046">
        <v>0</v>
      </c>
      <c r="DD1046">
        <v>100000</v>
      </c>
      <c r="DK1046" t="s">
        <v>2027</v>
      </c>
      <c r="DM1046" t="s">
        <v>2028</v>
      </c>
      <c r="EG1046" t="s">
        <v>2029</v>
      </c>
      <c r="EN1046">
        <v>0</v>
      </c>
      <c r="HN1046" t="s">
        <v>1709</v>
      </c>
      <c r="HO1046" t="s">
        <v>1709</v>
      </c>
      <c r="HP1046" t="s">
        <v>1709</v>
      </c>
      <c r="HQ1046" t="s">
        <v>391</v>
      </c>
      <c r="HR1046" t="s">
        <v>2030</v>
      </c>
      <c r="HS1046" t="s">
        <v>393</v>
      </c>
      <c r="HT1046" t="s">
        <v>2031</v>
      </c>
      <c r="HU1046" t="s">
        <v>1634</v>
      </c>
      <c r="HV1046" t="s">
        <v>393</v>
      </c>
      <c r="HW1046" t="s">
        <v>2032</v>
      </c>
      <c r="HX1046" t="s">
        <v>1354</v>
      </c>
      <c r="HY1046" t="s">
        <v>2033</v>
      </c>
      <c r="HZ1046" t="s">
        <v>2034</v>
      </c>
      <c r="IA1046" t="s">
        <v>2035</v>
      </c>
      <c r="IB1046" t="s">
        <v>674</v>
      </c>
      <c r="IC1046" t="s">
        <v>402</v>
      </c>
      <c r="ID1046" t="s">
        <v>2036</v>
      </c>
      <c r="IE1046" t="s">
        <v>2037</v>
      </c>
      <c r="IF1046" t="s">
        <v>2038</v>
      </c>
      <c r="IG1046" t="s">
        <v>2007</v>
      </c>
    </row>
    <row r="1047" spans="1:253" x14ac:dyDescent="0.25">
      <c r="A1047" t="s">
        <v>19570</v>
      </c>
      <c r="B1047" t="str">
        <f>"801542531454"</f>
        <v>801542531454</v>
      </c>
      <c r="C1047" t="s">
        <v>19571</v>
      </c>
      <c r="D1047" t="s">
        <v>722</v>
      </c>
      <c r="E1047" t="s">
        <v>2006</v>
      </c>
      <c r="F1047" t="s">
        <v>2040</v>
      </c>
      <c r="G1047" t="str">
        <f>"80.75"</f>
        <v>80.75</v>
      </c>
      <c r="H1047" t="str">
        <f>"84.5"</f>
        <v>84.5</v>
      </c>
      <c r="I1047" t="str">
        <f>"60.25"</f>
        <v>60.25</v>
      </c>
      <c r="J1047" t="str">
        <f>"171.3"</f>
        <v>171.3</v>
      </c>
      <c r="K1047" t="s">
        <v>19572</v>
      </c>
      <c r="L1047" t="s">
        <v>2009</v>
      </c>
      <c r="M1047" t="s">
        <v>9985</v>
      </c>
      <c r="N1047" t="s">
        <v>371</v>
      </c>
      <c r="O1047" t="s">
        <v>555</v>
      </c>
      <c r="P1047" t="s">
        <v>19554</v>
      </c>
      <c r="Q1047" t="s">
        <v>19573</v>
      </c>
      <c r="T1047" t="s">
        <v>373</v>
      </c>
      <c r="U1047" t="s">
        <v>373</v>
      </c>
      <c r="V1047" t="s">
        <v>19574</v>
      </c>
      <c r="W1047" t="s">
        <v>19575</v>
      </c>
      <c r="X1047" t="s">
        <v>19576</v>
      </c>
      <c r="Y1047" t="s">
        <v>19577</v>
      </c>
      <c r="Z1047" t="s">
        <v>19578</v>
      </c>
      <c r="AA1047" t="s">
        <v>19579</v>
      </c>
      <c r="AB1047" t="s">
        <v>19580</v>
      </c>
      <c r="AC1047" t="s">
        <v>19581</v>
      </c>
      <c r="AD1047" t="s">
        <v>19582</v>
      </c>
      <c r="AE1047" t="s">
        <v>19583</v>
      </c>
      <c r="AF1047" t="s">
        <v>19584</v>
      </c>
      <c r="BA1047" t="str">
        <f>"2899"</f>
        <v>2899</v>
      </c>
      <c r="BB1047" t="str">
        <f>"1220"</f>
        <v>1220</v>
      </c>
      <c r="BC1047" t="s">
        <v>388</v>
      </c>
      <c r="BD1047" t="str">
        <f>"2"</f>
        <v>2</v>
      </c>
      <c r="BE1047" t="s">
        <v>2025</v>
      </c>
      <c r="BF1047" t="str">
        <f>"82.68"</f>
        <v>82.68</v>
      </c>
      <c r="BG1047" t="str">
        <f>"7.09"</f>
        <v>7.09</v>
      </c>
      <c r="BH1047" t="str">
        <f>"65.35"</f>
        <v>65.35</v>
      </c>
      <c r="BI1047" t="str">
        <f>"115.96"</f>
        <v>115.96</v>
      </c>
      <c r="BJ1047" t="s">
        <v>2026</v>
      </c>
      <c r="BK1047" t="str">
        <f>"87.01"</f>
        <v>87.01</v>
      </c>
      <c r="BL1047" t="str">
        <f>"13.78"</f>
        <v>13.78</v>
      </c>
      <c r="BM1047" t="str">
        <f>"9.06"</f>
        <v>9.06</v>
      </c>
      <c r="BN1047" t="str">
        <f>"91.05"</f>
        <v>91.05</v>
      </c>
      <c r="BY1047" t="str">
        <f>"28.43"</f>
        <v>28.43</v>
      </c>
      <c r="BZ1047" t="str">
        <f>"0.805"</f>
        <v>0.805</v>
      </c>
      <c r="CA1047" t="s">
        <v>390</v>
      </c>
      <c r="CQ1047" t="s">
        <v>631</v>
      </c>
      <c r="CR1047" t="s">
        <v>400</v>
      </c>
      <c r="CS1047">
        <v>0</v>
      </c>
      <c r="CT1047" t="s">
        <v>400</v>
      </c>
      <c r="CV1047">
        <v>0</v>
      </c>
      <c r="CX1047" t="s">
        <v>1609</v>
      </c>
      <c r="CY1047" t="s">
        <v>400</v>
      </c>
      <c r="DA1047">
        <v>0</v>
      </c>
      <c r="DB1047">
        <v>0</v>
      </c>
      <c r="DC1047">
        <v>0</v>
      </c>
      <c r="DD1047">
        <v>100000</v>
      </c>
      <c r="DK1047" t="s">
        <v>2027</v>
      </c>
      <c r="DM1047" t="s">
        <v>2028</v>
      </c>
      <c r="EG1047" t="s">
        <v>2029</v>
      </c>
      <c r="EN1047">
        <v>0</v>
      </c>
      <c r="HN1047" t="s">
        <v>1709</v>
      </c>
      <c r="HO1047" t="s">
        <v>1709</v>
      </c>
      <c r="HP1047" t="s">
        <v>1709</v>
      </c>
      <c r="HQ1047" t="s">
        <v>391</v>
      </c>
      <c r="HR1047" t="s">
        <v>2030</v>
      </c>
      <c r="HS1047" t="s">
        <v>2049</v>
      </c>
      <c r="HT1047" t="s">
        <v>2031</v>
      </c>
      <c r="HU1047" t="s">
        <v>1634</v>
      </c>
      <c r="HV1047" t="s">
        <v>2049</v>
      </c>
      <c r="HW1047" t="s">
        <v>2032</v>
      </c>
      <c r="HX1047" t="s">
        <v>1354</v>
      </c>
      <c r="HY1047" t="s">
        <v>2050</v>
      </c>
      <c r="HZ1047" t="s">
        <v>2034</v>
      </c>
      <c r="IA1047" t="s">
        <v>2035</v>
      </c>
      <c r="IB1047" t="s">
        <v>674</v>
      </c>
      <c r="IC1047" t="s">
        <v>402</v>
      </c>
      <c r="ID1047" t="s">
        <v>2036</v>
      </c>
      <c r="IE1047" t="s">
        <v>2037</v>
      </c>
      <c r="IF1047" t="s">
        <v>2038</v>
      </c>
      <c r="IG1047" t="s">
        <v>2040</v>
      </c>
    </row>
    <row r="1048" spans="1:253" x14ac:dyDescent="0.25">
      <c r="A1048" t="s">
        <v>19585</v>
      </c>
      <c r="B1048" t="str">
        <f>"801542360689"</f>
        <v>801542360689</v>
      </c>
      <c r="C1048" t="s">
        <v>19551</v>
      </c>
      <c r="D1048" t="s">
        <v>722</v>
      </c>
      <c r="E1048" t="s">
        <v>2006</v>
      </c>
      <c r="F1048" t="s">
        <v>2040</v>
      </c>
      <c r="G1048" t="str">
        <f>"80.75"</f>
        <v>80.75</v>
      </c>
      <c r="H1048" t="str">
        <f>"84.5"</f>
        <v>84.5</v>
      </c>
      <c r="I1048" t="str">
        <f>"60.25"</f>
        <v>60.25</v>
      </c>
      <c r="J1048" t="str">
        <f>"171.3"</f>
        <v>171.3</v>
      </c>
      <c r="K1048" t="s">
        <v>19552</v>
      </c>
      <c r="L1048" t="s">
        <v>2009</v>
      </c>
      <c r="M1048" t="s">
        <v>19553</v>
      </c>
      <c r="N1048" t="s">
        <v>19554</v>
      </c>
      <c r="O1048" t="s">
        <v>810</v>
      </c>
      <c r="P1048" t="s">
        <v>555</v>
      </c>
      <c r="Q1048" t="s">
        <v>19555</v>
      </c>
      <c r="R1048" t="s">
        <v>19556</v>
      </c>
      <c r="S1048" t="s">
        <v>19557</v>
      </c>
      <c r="T1048" t="s">
        <v>373</v>
      </c>
      <c r="U1048" t="s">
        <v>373</v>
      </c>
      <c r="V1048" t="s">
        <v>19558</v>
      </c>
      <c r="W1048" t="s">
        <v>19586</v>
      </c>
      <c r="X1048" t="s">
        <v>19587</v>
      </c>
      <c r="Y1048" t="s">
        <v>19588</v>
      </c>
      <c r="Z1048" t="s">
        <v>19589</v>
      </c>
      <c r="AA1048" t="s">
        <v>19590</v>
      </c>
      <c r="AB1048" t="s">
        <v>19591</v>
      </c>
      <c r="AC1048" t="s">
        <v>19592</v>
      </c>
      <c r="AD1048" t="s">
        <v>19593</v>
      </c>
      <c r="AE1048" t="s">
        <v>19594</v>
      </c>
      <c r="AF1048" t="s">
        <v>19595</v>
      </c>
      <c r="AG1048" t="s">
        <v>19596</v>
      </c>
      <c r="BA1048" t="str">
        <f>"2899"</f>
        <v>2899</v>
      </c>
      <c r="BB1048" t="str">
        <f>"1220"</f>
        <v>1220</v>
      </c>
      <c r="BC1048" t="s">
        <v>388</v>
      </c>
      <c r="BD1048" t="str">
        <f>"2"</f>
        <v>2</v>
      </c>
      <c r="BE1048" t="s">
        <v>2025</v>
      </c>
      <c r="BF1048" t="str">
        <f>"82.68"</f>
        <v>82.68</v>
      </c>
      <c r="BG1048" t="str">
        <f>"7.09"</f>
        <v>7.09</v>
      </c>
      <c r="BH1048" t="str">
        <f>"65.35"</f>
        <v>65.35</v>
      </c>
      <c r="BI1048" t="str">
        <f>"115.96"</f>
        <v>115.96</v>
      </c>
      <c r="BJ1048" t="s">
        <v>2026</v>
      </c>
      <c r="BK1048" t="str">
        <f>"87.01"</f>
        <v>87.01</v>
      </c>
      <c r="BL1048" t="str">
        <f>"13.78"</f>
        <v>13.78</v>
      </c>
      <c r="BM1048" t="str">
        <f>"9.06"</f>
        <v>9.06</v>
      </c>
      <c r="BN1048" t="str">
        <f>"91.05"</f>
        <v>91.05</v>
      </c>
      <c r="BY1048" t="str">
        <f>"28.43"</f>
        <v>28.43</v>
      </c>
      <c r="BZ1048" t="str">
        <f>"0.805"</f>
        <v>0.805</v>
      </c>
      <c r="CA1048" t="s">
        <v>495</v>
      </c>
      <c r="CQ1048" t="s">
        <v>631</v>
      </c>
      <c r="CR1048" t="s">
        <v>400</v>
      </c>
      <c r="CS1048">
        <v>0</v>
      </c>
      <c r="CT1048" t="s">
        <v>400</v>
      </c>
      <c r="CV1048">
        <v>0</v>
      </c>
      <c r="CX1048" t="s">
        <v>1609</v>
      </c>
      <c r="CY1048" t="s">
        <v>400</v>
      </c>
      <c r="DA1048">
        <v>0</v>
      </c>
      <c r="DB1048">
        <v>0</v>
      </c>
      <c r="DC1048">
        <v>0</v>
      </c>
      <c r="DD1048">
        <v>100000</v>
      </c>
      <c r="DK1048" t="s">
        <v>2027</v>
      </c>
      <c r="DM1048" t="s">
        <v>2028</v>
      </c>
      <c r="EG1048" t="s">
        <v>2029</v>
      </c>
      <c r="EN1048">
        <v>0</v>
      </c>
      <c r="HN1048" t="s">
        <v>1709</v>
      </c>
      <c r="HO1048" t="s">
        <v>1709</v>
      </c>
      <c r="HP1048" t="s">
        <v>1709</v>
      </c>
      <c r="HQ1048" t="s">
        <v>391</v>
      </c>
      <c r="HR1048" t="s">
        <v>2030</v>
      </c>
      <c r="HS1048" t="s">
        <v>2049</v>
      </c>
      <c r="HT1048" t="s">
        <v>2031</v>
      </c>
      <c r="HU1048" t="s">
        <v>1634</v>
      </c>
      <c r="HV1048" t="s">
        <v>2049</v>
      </c>
      <c r="HW1048" t="s">
        <v>2032</v>
      </c>
      <c r="HX1048" t="s">
        <v>1354</v>
      </c>
      <c r="HY1048" t="s">
        <v>2050</v>
      </c>
      <c r="HZ1048" t="s">
        <v>2034</v>
      </c>
      <c r="IA1048" t="s">
        <v>2035</v>
      </c>
      <c r="IB1048" t="s">
        <v>674</v>
      </c>
      <c r="IC1048" t="s">
        <v>402</v>
      </c>
      <c r="ID1048" t="s">
        <v>2036</v>
      </c>
      <c r="IE1048" t="s">
        <v>2037</v>
      </c>
      <c r="IF1048" t="s">
        <v>2038</v>
      </c>
      <c r="IG1048" t="s">
        <v>2040</v>
      </c>
    </row>
    <row r="1049" spans="1:253" x14ac:dyDescent="0.25">
      <c r="A1049" t="s">
        <v>19597</v>
      </c>
      <c r="B1049" t="str">
        <f>"801542518714"</f>
        <v>801542518714</v>
      </c>
      <c r="C1049" t="s">
        <v>19571</v>
      </c>
      <c r="D1049" t="s">
        <v>722</v>
      </c>
      <c r="E1049" t="s">
        <v>2006</v>
      </c>
      <c r="F1049" t="s">
        <v>2007</v>
      </c>
      <c r="G1049" t="str">
        <f>"65"</f>
        <v>65</v>
      </c>
      <c r="H1049" t="str">
        <f>"84.5"</f>
        <v>84.5</v>
      </c>
      <c r="I1049" t="str">
        <f>"60.25"</f>
        <v>60.25</v>
      </c>
      <c r="J1049" t="str">
        <f>"122.1"</f>
        <v>122.1</v>
      </c>
      <c r="K1049" t="s">
        <v>19572</v>
      </c>
      <c r="L1049" t="s">
        <v>2009</v>
      </c>
      <c r="M1049" t="s">
        <v>9985</v>
      </c>
      <c r="N1049" t="s">
        <v>371</v>
      </c>
      <c r="O1049" t="s">
        <v>555</v>
      </c>
      <c r="P1049" t="s">
        <v>19554</v>
      </c>
      <c r="Q1049" t="s">
        <v>19573</v>
      </c>
      <c r="T1049" t="s">
        <v>373</v>
      </c>
      <c r="U1049" t="s">
        <v>373</v>
      </c>
      <c r="V1049" t="s">
        <v>19574</v>
      </c>
      <c r="W1049" t="s">
        <v>19598</v>
      </c>
      <c r="X1049" t="s">
        <v>19599</v>
      </c>
      <c r="Y1049" t="s">
        <v>19600</v>
      </c>
      <c r="Z1049" t="s">
        <v>19601</v>
      </c>
      <c r="AA1049" t="s">
        <v>19602</v>
      </c>
      <c r="AB1049" t="s">
        <v>19603</v>
      </c>
      <c r="AC1049" t="s">
        <v>19604</v>
      </c>
      <c r="AD1049" t="s">
        <v>19605</v>
      </c>
      <c r="AE1049" t="s">
        <v>19606</v>
      </c>
      <c r="AF1049" t="s">
        <v>19607</v>
      </c>
      <c r="AG1049" t="s">
        <v>19608</v>
      </c>
      <c r="BA1049" t="str">
        <f>"2599"</f>
        <v>2599</v>
      </c>
      <c r="BB1049" t="str">
        <f>"1095"</f>
        <v>1095</v>
      </c>
      <c r="BC1049" t="s">
        <v>388</v>
      </c>
      <c r="BD1049" t="str">
        <f>"2"</f>
        <v>2</v>
      </c>
      <c r="BE1049" t="s">
        <v>2025</v>
      </c>
      <c r="BF1049" t="str">
        <f>"66.34"</f>
        <v>66.34</v>
      </c>
      <c r="BG1049" t="str">
        <f>"7.68"</f>
        <v>7.68</v>
      </c>
      <c r="BH1049" t="str">
        <f>"66.34"</f>
        <v>66.34</v>
      </c>
      <c r="BI1049" t="str">
        <f>"106"</f>
        <v>106</v>
      </c>
      <c r="BJ1049" t="s">
        <v>2026</v>
      </c>
      <c r="BK1049" t="str">
        <f>"87.01"</f>
        <v>87.01</v>
      </c>
      <c r="BL1049" t="str">
        <f>"13.39"</f>
        <v>13.39</v>
      </c>
      <c r="BM1049" t="str">
        <f>"9.06"</f>
        <v>9.06</v>
      </c>
      <c r="BN1049" t="str">
        <f>"84.7"</f>
        <v>84.7</v>
      </c>
      <c r="BY1049" t="str">
        <f>"25.67"</f>
        <v>25.67</v>
      </c>
      <c r="BZ1049" t="str">
        <f>"0.727"</f>
        <v>0.727</v>
      </c>
      <c r="CA1049" t="s">
        <v>495</v>
      </c>
      <c r="CQ1049" t="s">
        <v>631</v>
      </c>
      <c r="CR1049" t="s">
        <v>400</v>
      </c>
      <c r="CS1049">
        <v>0</v>
      </c>
      <c r="CT1049" t="s">
        <v>400</v>
      </c>
      <c r="CV1049">
        <v>0</v>
      </c>
      <c r="CX1049" t="s">
        <v>1609</v>
      </c>
      <c r="CY1049" t="s">
        <v>400</v>
      </c>
      <c r="DA1049">
        <v>0</v>
      </c>
      <c r="DB1049">
        <v>0</v>
      </c>
      <c r="DC1049">
        <v>0</v>
      </c>
      <c r="DD1049">
        <v>100000</v>
      </c>
      <c r="DK1049" t="s">
        <v>2027</v>
      </c>
      <c r="DM1049" t="s">
        <v>2028</v>
      </c>
      <c r="EG1049" t="s">
        <v>2029</v>
      </c>
      <c r="EN1049">
        <v>0</v>
      </c>
      <c r="HN1049" t="s">
        <v>1709</v>
      </c>
      <c r="HO1049" t="s">
        <v>1709</v>
      </c>
      <c r="HP1049" t="s">
        <v>1709</v>
      </c>
      <c r="HQ1049" t="s">
        <v>391</v>
      </c>
      <c r="HR1049" t="s">
        <v>2030</v>
      </c>
      <c r="HS1049" t="s">
        <v>393</v>
      </c>
      <c r="HT1049" t="s">
        <v>2031</v>
      </c>
      <c r="HU1049" t="s">
        <v>1634</v>
      </c>
      <c r="HV1049" t="s">
        <v>393</v>
      </c>
      <c r="HW1049" t="s">
        <v>2032</v>
      </c>
      <c r="HX1049" t="s">
        <v>1354</v>
      </c>
      <c r="HY1049" t="s">
        <v>2033</v>
      </c>
      <c r="HZ1049" t="s">
        <v>2034</v>
      </c>
      <c r="IA1049" t="s">
        <v>2035</v>
      </c>
      <c r="IB1049" t="s">
        <v>674</v>
      </c>
      <c r="IC1049" t="s">
        <v>402</v>
      </c>
      <c r="ID1049" t="s">
        <v>2036</v>
      </c>
      <c r="IE1049" t="s">
        <v>2037</v>
      </c>
      <c r="IF1049" t="s">
        <v>2038</v>
      </c>
      <c r="IG1049" t="s">
        <v>2007</v>
      </c>
    </row>
    <row r="1050" spans="1:253" x14ac:dyDescent="0.25">
      <c r="A1050" t="s">
        <v>19609</v>
      </c>
      <c r="B1050" t="str">
        <f>"801542279271"</f>
        <v>801542279271</v>
      </c>
      <c r="C1050" t="s">
        <v>19610</v>
      </c>
      <c r="D1050" t="s">
        <v>769</v>
      </c>
      <c r="E1050" t="s">
        <v>515</v>
      </c>
      <c r="F1050" t="s">
        <v>516</v>
      </c>
      <c r="G1050" t="str">
        <f>"27.25"</f>
        <v>27.25</v>
      </c>
      <c r="H1050" t="str">
        <f>"36.25"</f>
        <v>36.25</v>
      </c>
      <c r="I1050" t="str">
        <f>"35.75"</f>
        <v>35.75</v>
      </c>
      <c r="J1050" t="str">
        <f>"36.38"</f>
        <v>36.38</v>
      </c>
      <c r="K1050" t="s">
        <v>1517</v>
      </c>
      <c r="L1050" t="s">
        <v>5553</v>
      </c>
      <c r="N1050" t="s">
        <v>416</v>
      </c>
      <c r="O1050" t="s">
        <v>775</v>
      </c>
      <c r="T1050" t="s">
        <v>373</v>
      </c>
      <c r="U1050" t="s">
        <v>373</v>
      </c>
      <c r="V1050" t="s">
        <v>19611</v>
      </c>
      <c r="W1050" t="s">
        <v>19612</v>
      </c>
      <c r="X1050" t="s">
        <v>19613</v>
      </c>
      <c r="Y1050" t="s">
        <v>19614</v>
      </c>
      <c r="Z1050" t="s">
        <v>19615</v>
      </c>
      <c r="AA1050" t="s">
        <v>19616</v>
      </c>
      <c r="AB1050" t="s">
        <v>19617</v>
      </c>
      <c r="AC1050" t="s">
        <v>19618</v>
      </c>
      <c r="AD1050" t="s">
        <v>19619</v>
      </c>
      <c r="AE1050" t="s">
        <v>19620</v>
      </c>
      <c r="AF1050" t="s">
        <v>19621</v>
      </c>
      <c r="AG1050" t="s">
        <v>19622</v>
      </c>
      <c r="AH1050" t="s">
        <v>19623</v>
      </c>
      <c r="AI1050" t="s">
        <v>19624</v>
      </c>
      <c r="AJ1050" t="s">
        <v>19625</v>
      </c>
      <c r="AK1050" t="s">
        <v>19626</v>
      </c>
      <c r="BA1050" t="str">
        <f>"1749"</f>
        <v>1749</v>
      </c>
      <c r="BB1050" t="str">
        <f>"735"</f>
        <v>735</v>
      </c>
      <c r="BC1050" t="s">
        <v>388</v>
      </c>
      <c r="BD1050" t="str">
        <f t="shared" ref="BD1050:BD1071" si="195">"1"</f>
        <v>1</v>
      </c>
      <c r="BE1050" t="s">
        <v>19627</v>
      </c>
      <c r="BF1050" t="str">
        <f>"29.13"</f>
        <v>29.13</v>
      </c>
      <c r="BG1050" t="str">
        <f>"36.61"</f>
        <v>36.61</v>
      </c>
      <c r="BH1050" t="str">
        <f>"37.8"</f>
        <v>37.8</v>
      </c>
      <c r="BI1050" t="str">
        <f>"52.91"</f>
        <v>52.91</v>
      </c>
      <c r="BY1050" t="str">
        <f>"19.92"</f>
        <v>19.92</v>
      </c>
      <c r="BZ1050" t="str">
        <f>"0.564"</f>
        <v>0.564</v>
      </c>
      <c r="CA1050" t="s">
        <v>390</v>
      </c>
      <c r="CK1050" t="s">
        <v>1134</v>
      </c>
      <c r="CL1050" t="s">
        <v>2261</v>
      </c>
      <c r="CM1050" t="s">
        <v>600</v>
      </c>
      <c r="CN1050">
        <v>0</v>
      </c>
      <c r="CO1050">
        <v>0</v>
      </c>
      <c r="CP1050" t="s">
        <v>437</v>
      </c>
      <c r="CQ1050" t="s">
        <v>438</v>
      </c>
      <c r="CX1050" t="s">
        <v>403</v>
      </c>
      <c r="CY1050" t="s">
        <v>400</v>
      </c>
      <c r="CZ1050">
        <v>0</v>
      </c>
      <c r="DD1050">
        <v>0</v>
      </c>
      <c r="DE1050" t="s">
        <v>439</v>
      </c>
      <c r="DH1050">
        <v>0</v>
      </c>
      <c r="DI1050">
        <v>1</v>
      </c>
      <c r="DK1050" t="s">
        <v>2359</v>
      </c>
      <c r="DL1050">
        <v>0</v>
      </c>
      <c r="DM1050" t="s">
        <v>538</v>
      </c>
      <c r="DN1050" t="s">
        <v>600</v>
      </c>
      <c r="DO1050" t="s">
        <v>4515</v>
      </c>
      <c r="DP1050" t="s">
        <v>601</v>
      </c>
      <c r="DT1050" t="s">
        <v>637</v>
      </c>
      <c r="DX1050" t="s">
        <v>442</v>
      </c>
      <c r="DY1050" t="s">
        <v>451</v>
      </c>
      <c r="DZ1050" t="s">
        <v>1493</v>
      </c>
      <c r="EA1050" t="s">
        <v>791</v>
      </c>
      <c r="EG1050" t="s">
        <v>2361</v>
      </c>
      <c r="ER1050">
        <v>0</v>
      </c>
      <c r="ES1050">
        <v>0</v>
      </c>
      <c r="ET1050" t="s">
        <v>643</v>
      </c>
      <c r="EU1050">
        <v>0</v>
      </c>
    </row>
    <row r="1051" spans="1:253" x14ac:dyDescent="0.25">
      <c r="A1051" t="s">
        <v>19628</v>
      </c>
      <c r="B1051" t="str">
        <f>"801542384166"</f>
        <v>801542384166</v>
      </c>
      <c r="C1051" t="s">
        <v>19629</v>
      </c>
      <c r="D1051" t="s">
        <v>769</v>
      </c>
      <c r="E1051" t="s">
        <v>2244</v>
      </c>
      <c r="G1051" t="str">
        <f>"38"</f>
        <v>38</v>
      </c>
      <c r="H1051" t="str">
        <f>"62"</f>
        <v>62</v>
      </c>
      <c r="I1051" t="str">
        <f>"25"</f>
        <v>25</v>
      </c>
      <c r="J1051" t="str">
        <f>"113.54"</f>
        <v>113.54</v>
      </c>
      <c r="K1051" t="s">
        <v>19630</v>
      </c>
      <c r="L1051" t="s">
        <v>3122</v>
      </c>
      <c r="N1051" t="s">
        <v>1170</v>
      </c>
      <c r="O1051" t="s">
        <v>3084</v>
      </c>
      <c r="P1051" t="s">
        <v>775</v>
      </c>
      <c r="T1051" t="s">
        <v>373</v>
      </c>
      <c r="U1051" t="s">
        <v>373</v>
      </c>
      <c r="V1051" t="s">
        <v>19631</v>
      </c>
      <c r="W1051" t="s">
        <v>19632</v>
      </c>
      <c r="X1051" t="s">
        <v>19633</v>
      </c>
      <c r="Y1051" t="s">
        <v>19634</v>
      </c>
      <c r="Z1051" t="s">
        <v>19635</v>
      </c>
      <c r="AA1051" t="s">
        <v>19636</v>
      </c>
      <c r="AB1051" t="s">
        <v>19637</v>
      </c>
      <c r="AC1051" t="s">
        <v>19638</v>
      </c>
      <c r="AD1051" t="s">
        <v>19639</v>
      </c>
      <c r="AE1051" t="s">
        <v>19640</v>
      </c>
      <c r="AF1051" t="s">
        <v>19641</v>
      </c>
      <c r="AG1051" t="s">
        <v>19642</v>
      </c>
      <c r="AH1051" t="s">
        <v>19643</v>
      </c>
      <c r="AI1051" t="s">
        <v>19644</v>
      </c>
      <c r="BA1051" t="str">
        <f>"1549"</f>
        <v>1549</v>
      </c>
      <c r="BB1051" t="str">
        <f>"655"</f>
        <v>655</v>
      </c>
      <c r="BC1051" t="s">
        <v>388</v>
      </c>
      <c r="BD1051" t="str">
        <f t="shared" si="195"/>
        <v>1</v>
      </c>
      <c r="BE1051" t="s">
        <v>2259</v>
      </c>
      <c r="BF1051" t="str">
        <f>"38.98"</f>
        <v>38.98</v>
      </c>
      <c r="BG1051" t="str">
        <f>"62.6"</f>
        <v>62.6</v>
      </c>
      <c r="BH1051" t="str">
        <f>"23.23"</f>
        <v>23.23</v>
      </c>
      <c r="BI1051" t="str">
        <f>"127.87"</f>
        <v>127.87</v>
      </c>
      <c r="BY1051" t="str">
        <f>"26.42"</f>
        <v>26.42</v>
      </c>
      <c r="BZ1051" t="str">
        <f>"0.748"</f>
        <v>0.748</v>
      </c>
      <c r="CA1051" t="s">
        <v>431</v>
      </c>
      <c r="CK1051" t="s">
        <v>2260</v>
      </c>
      <c r="CL1051" t="s">
        <v>2261</v>
      </c>
      <c r="CM1051" t="s">
        <v>600</v>
      </c>
      <c r="CN1051">
        <v>0</v>
      </c>
      <c r="CO1051">
        <v>1</v>
      </c>
      <c r="CP1051" t="s">
        <v>437</v>
      </c>
      <c r="CQ1051" t="s">
        <v>399</v>
      </c>
      <c r="CX1051" t="s">
        <v>403</v>
      </c>
      <c r="CY1051" t="s">
        <v>400</v>
      </c>
      <c r="CZ1051">
        <v>0</v>
      </c>
      <c r="DD1051">
        <v>100000</v>
      </c>
      <c r="DE1051" t="s">
        <v>439</v>
      </c>
      <c r="DF1051" t="s">
        <v>632</v>
      </c>
      <c r="DG1051" t="s">
        <v>1808</v>
      </c>
      <c r="DH1051">
        <v>1</v>
      </c>
      <c r="DI1051">
        <v>1</v>
      </c>
      <c r="DK1051" t="s">
        <v>2262</v>
      </c>
      <c r="DL1051">
        <v>0</v>
      </c>
      <c r="DM1051" t="s">
        <v>538</v>
      </c>
      <c r="DN1051" t="s">
        <v>638</v>
      </c>
      <c r="DO1051" t="s">
        <v>2263</v>
      </c>
      <c r="DP1051" t="s">
        <v>636</v>
      </c>
      <c r="DT1051" t="s">
        <v>446</v>
      </c>
      <c r="DX1051" t="s">
        <v>1709</v>
      </c>
      <c r="DY1051" t="s">
        <v>2264</v>
      </c>
      <c r="DZ1051" t="s">
        <v>636</v>
      </c>
      <c r="EA1051" t="s">
        <v>1037</v>
      </c>
      <c r="ED1051" t="s">
        <v>632</v>
      </c>
      <c r="EE1051" t="s">
        <v>1808</v>
      </c>
      <c r="EG1051" t="s">
        <v>749</v>
      </c>
      <c r="EP1051" t="s">
        <v>600</v>
      </c>
      <c r="EQ1051" t="s">
        <v>790</v>
      </c>
      <c r="ET1051" t="s">
        <v>549</v>
      </c>
    </row>
    <row r="1052" spans="1:253" x14ac:dyDescent="0.25">
      <c r="A1052" t="s">
        <v>19645</v>
      </c>
      <c r="B1052" t="str">
        <f>"801542392246"</f>
        <v>801542392246</v>
      </c>
      <c r="C1052" t="s">
        <v>19646</v>
      </c>
      <c r="D1052" t="s">
        <v>769</v>
      </c>
      <c r="E1052" t="s">
        <v>515</v>
      </c>
      <c r="F1052" t="s">
        <v>516</v>
      </c>
      <c r="G1052" t="str">
        <f>"27.5"</f>
        <v>27.5</v>
      </c>
      <c r="H1052" t="str">
        <f t="shared" ref="H1052:I1054" si="196">"36"</f>
        <v>36</v>
      </c>
      <c r="I1052" t="str">
        <f t="shared" si="196"/>
        <v>36</v>
      </c>
      <c r="J1052" t="str">
        <f>"57.32"</f>
        <v>57.32</v>
      </c>
      <c r="K1052" t="s">
        <v>19647</v>
      </c>
      <c r="L1052" t="s">
        <v>5553</v>
      </c>
      <c r="N1052" t="s">
        <v>19648</v>
      </c>
      <c r="O1052" t="s">
        <v>2012</v>
      </c>
      <c r="P1052" t="s">
        <v>19649</v>
      </c>
      <c r="Q1052" t="s">
        <v>775</v>
      </c>
      <c r="T1052" t="s">
        <v>373</v>
      </c>
      <c r="U1052" t="s">
        <v>373</v>
      </c>
      <c r="V1052" t="s">
        <v>19650</v>
      </c>
      <c r="W1052" t="s">
        <v>19651</v>
      </c>
      <c r="X1052" t="s">
        <v>19652</v>
      </c>
      <c r="Y1052" t="s">
        <v>19653</v>
      </c>
      <c r="Z1052" t="s">
        <v>19654</v>
      </c>
      <c r="AA1052" t="s">
        <v>19655</v>
      </c>
      <c r="AB1052" t="s">
        <v>19656</v>
      </c>
      <c r="AC1052" t="s">
        <v>19657</v>
      </c>
      <c r="AD1052" t="s">
        <v>19658</v>
      </c>
      <c r="AE1052" t="s">
        <v>19659</v>
      </c>
      <c r="AF1052" t="s">
        <v>19660</v>
      </c>
      <c r="AG1052" t="s">
        <v>19661</v>
      </c>
      <c r="AH1052" t="s">
        <v>19662</v>
      </c>
      <c r="AI1052" t="s">
        <v>19663</v>
      </c>
      <c r="AJ1052" t="s">
        <v>19664</v>
      </c>
      <c r="AK1052" t="s">
        <v>19665</v>
      </c>
      <c r="BA1052" t="str">
        <f>"1249"</f>
        <v>1249</v>
      </c>
      <c r="BB1052" t="str">
        <f>"525"</f>
        <v>525</v>
      </c>
      <c r="BC1052" t="s">
        <v>388</v>
      </c>
      <c r="BD1052" t="str">
        <f t="shared" si="195"/>
        <v>1</v>
      </c>
      <c r="BE1052" t="s">
        <v>19666</v>
      </c>
      <c r="BF1052" t="str">
        <f>"29.92"</f>
        <v>29.92</v>
      </c>
      <c r="BG1052" t="str">
        <f>"38.98"</f>
        <v>38.98</v>
      </c>
      <c r="BH1052" t="str">
        <f>"37.4"</f>
        <v>37.4</v>
      </c>
      <c r="BI1052" t="str">
        <f>"80.47"</f>
        <v>80.47</v>
      </c>
      <c r="BY1052" t="str">
        <f>"21.4"</f>
        <v>21.4</v>
      </c>
      <c r="BZ1052" t="str">
        <f>"0.606"</f>
        <v>0.606</v>
      </c>
      <c r="CA1052" t="s">
        <v>495</v>
      </c>
      <c r="CK1052" t="s">
        <v>1134</v>
      </c>
      <c r="CL1052" t="s">
        <v>449</v>
      </c>
      <c r="CN1052">
        <v>0</v>
      </c>
      <c r="CO1052">
        <v>1</v>
      </c>
      <c r="CP1052" t="s">
        <v>437</v>
      </c>
      <c r="CQ1052" t="s">
        <v>631</v>
      </c>
      <c r="CX1052" t="s">
        <v>403</v>
      </c>
      <c r="CY1052" t="s">
        <v>2358</v>
      </c>
      <c r="CZ1052">
        <v>0</v>
      </c>
      <c r="DD1052">
        <v>25000</v>
      </c>
      <c r="DE1052" t="s">
        <v>439</v>
      </c>
      <c r="DF1052" t="s">
        <v>632</v>
      </c>
      <c r="DH1052">
        <v>1</v>
      </c>
      <c r="DI1052">
        <v>1</v>
      </c>
      <c r="DK1052" t="s">
        <v>2359</v>
      </c>
      <c r="DL1052">
        <v>0</v>
      </c>
      <c r="DM1052" t="s">
        <v>538</v>
      </c>
      <c r="DN1052" t="s">
        <v>600</v>
      </c>
      <c r="DO1052" t="s">
        <v>450</v>
      </c>
      <c r="DP1052" t="s">
        <v>1092</v>
      </c>
      <c r="DT1052" t="s">
        <v>1094</v>
      </c>
      <c r="DX1052" t="s">
        <v>2360</v>
      </c>
      <c r="DY1052" t="s">
        <v>855</v>
      </c>
      <c r="DZ1052" t="s">
        <v>828</v>
      </c>
      <c r="EA1052" t="s">
        <v>449</v>
      </c>
      <c r="ED1052" t="s">
        <v>632</v>
      </c>
      <c r="EG1052" t="s">
        <v>2361</v>
      </c>
      <c r="EP1052" t="s">
        <v>603</v>
      </c>
      <c r="EQ1052" t="s">
        <v>600</v>
      </c>
      <c r="ER1052">
        <v>0</v>
      </c>
      <c r="ES1052">
        <v>0</v>
      </c>
      <c r="ET1052" t="s">
        <v>643</v>
      </c>
      <c r="EU1052" t="s">
        <v>474</v>
      </c>
      <c r="IR1052" t="s">
        <v>2362</v>
      </c>
      <c r="IS1052" t="s">
        <v>578</v>
      </c>
    </row>
    <row r="1053" spans="1:253" x14ac:dyDescent="0.25">
      <c r="A1053" t="s">
        <v>19667</v>
      </c>
      <c r="B1053" t="str">
        <f>"801542405083"</f>
        <v>801542405083</v>
      </c>
      <c r="C1053" t="s">
        <v>19668</v>
      </c>
      <c r="D1053" t="s">
        <v>769</v>
      </c>
      <c r="E1053" t="s">
        <v>515</v>
      </c>
      <c r="F1053" t="s">
        <v>516</v>
      </c>
      <c r="G1053" t="str">
        <f>"27.5"</f>
        <v>27.5</v>
      </c>
      <c r="H1053" t="str">
        <f t="shared" si="196"/>
        <v>36</v>
      </c>
      <c r="I1053" t="str">
        <f t="shared" si="196"/>
        <v>36</v>
      </c>
      <c r="J1053" t="str">
        <f>"57.32"</f>
        <v>57.32</v>
      </c>
      <c r="K1053" t="s">
        <v>1517</v>
      </c>
      <c r="L1053" t="s">
        <v>5553</v>
      </c>
      <c r="N1053" t="s">
        <v>416</v>
      </c>
      <c r="O1053" t="s">
        <v>775</v>
      </c>
      <c r="T1053" t="s">
        <v>373</v>
      </c>
      <c r="U1053" t="s">
        <v>373</v>
      </c>
      <c r="V1053" t="s">
        <v>19669</v>
      </c>
      <c r="W1053" t="s">
        <v>19670</v>
      </c>
      <c r="X1053" t="s">
        <v>19671</v>
      </c>
      <c r="Y1053" t="s">
        <v>19672</v>
      </c>
      <c r="Z1053" t="s">
        <v>19673</v>
      </c>
      <c r="AA1053" t="s">
        <v>19674</v>
      </c>
      <c r="AB1053" t="s">
        <v>19675</v>
      </c>
      <c r="AC1053" t="s">
        <v>19676</v>
      </c>
      <c r="AD1053" t="s">
        <v>19677</v>
      </c>
      <c r="AE1053" t="s">
        <v>19678</v>
      </c>
      <c r="AF1053" t="s">
        <v>19679</v>
      </c>
      <c r="AG1053" t="s">
        <v>19680</v>
      </c>
      <c r="AH1053" t="s">
        <v>19681</v>
      </c>
      <c r="AI1053" t="s">
        <v>19682</v>
      </c>
      <c r="AJ1053" t="s">
        <v>19683</v>
      </c>
      <c r="AK1053" t="s">
        <v>19684</v>
      </c>
      <c r="AL1053" t="s">
        <v>19685</v>
      </c>
      <c r="AM1053" t="s">
        <v>19686</v>
      </c>
      <c r="BA1053" t="str">
        <f>"1999"</f>
        <v>1999</v>
      </c>
      <c r="BB1053" t="str">
        <f>"840"</f>
        <v>840</v>
      </c>
      <c r="BC1053" t="s">
        <v>388</v>
      </c>
      <c r="BD1053" t="str">
        <f t="shared" si="195"/>
        <v>1</v>
      </c>
      <c r="BE1053" t="s">
        <v>19666</v>
      </c>
      <c r="BF1053" t="str">
        <f>"29.92"</f>
        <v>29.92</v>
      </c>
      <c r="BG1053" t="str">
        <f>"38.98"</f>
        <v>38.98</v>
      </c>
      <c r="BH1053" t="str">
        <f>"37.4"</f>
        <v>37.4</v>
      </c>
      <c r="BI1053" t="str">
        <f>"80.47"</f>
        <v>80.47</v>
      </c>
      <c r="BY1053" t="str">
        <f>"21.4"</f>
        <v>21.4</v>
      </c>
      <c r="BZ1053" t="str">
        <f>"0.606"</f>
        <v>0.606</v>
      </c>
      <c r="CA1053" t="s">
        <v>431</v>
      </c>
      <c r="CK1053" t="s">
        <v>1134</v>
      </c>
      <c r="CL1053" t="s">
        <v>449</v>
      </c>
      <c r="CN1053">
        <v>0</v>
      </c>
      <c r="CO1053">
        <v>1</v>
      </c>
      <c r="CP1053" t="s">
        <v>437</v>
      </c>
      <c r="CQ1053" t="s">
        <v>438</v>
      </c>
      <c r="CX1053" t="s">
        <v>403</v>
      </c>
      <c r="CY1053" t="s">
        <v>2358</v>
      </c>
      <c r="CZ1053">
        <v>0</v>
      </c>
      <c r="DD1053">
        <v>0</v>
      </c>
      <c r="DE1053" t="s">
        <v>439</v>
      </c>
      <c r="DF1053" t="s">
        <v>632</v>
      </c>
      <c r="DH1053">
        <v>1</v>
      </c>
      <c r="DI1053">
        <v>1</v>
      </c>
      <c r="DK1053" t="s">
        <v>2359</v>
      </c>
      <c r="DL1053">
        <v>0</v>
      </c>
      <c r="DM1053" t="s">
        <v>538</v>
      </c>
      <c r="DN1053" t="s">
        <v>600</v>
      </c>
      <c r="DO1053" t="s">
        <v>450</v>
      </c>
      <c r="DP1053" t="s">
        <v>1092</v>
      </c>
      <c r="DT1053" t="s">
        <v>1094</v>
      </c>
      <c r="DX1053" t="s">
        <v>2360</v>
      </c>
      <c r="DY1053" t="s">
        <v>855</v>
      </c>
      <c r="DZ1053" t="s">
        <v>828</v>
      </c>
      <c r="EA1053" t="s">
        <v>449</v>
      </c>
      <c r="ED1053" t="s">
        <v>632</v>
      </c>
      <c r="EG1053" t="s">
        <v>2361</v>
      </c>
      <c r="EP1053" t="s">
        <v>603</v>
      </c>
      <c r="EQ1053" t="s">
        <v>600</v>
      </c>
      <c r="ER1053">
        <v>0</v>
      </c>
      <c r="ES1053">
        <v>0</v>
      </c>
      <c r="ET1053" t="s">
        <v>643</v>
      </c>
      <c r="EU1053" t="s">
        <v>474</v>
      </c>
      <c r="IR1053" t="s">
        <v>2362</v>
      </c>
      <c r="IS1053" t="s">
        <v>578</v>
      </c>
    </row>
    <row r="1054" spans="1:253" x14ac:dyDescent="0.25">
      <c r="A1054" t="s">
        <v>19687</v>
      </c>
      <c r="B1054" t="str">
        <f>"801542454449"</f>
        <v>801542454449</v>
      </c>
      <c r="C1054" t="s">
        <v>19688</v>
      </c>
      <c r="D1054" t="s">
        <v>769</v>
      </c>
      <c r="E1054" t="s">
        <v>515</v>
      </c>
      <c r="F1054" t="s">
        <v>516</v>
      </c>
      <c r="G1054" t="str">
        <f>"27.5"</f>
        <v>27.5</v>
      </c>
      <c r="H1054" t="str">
        <f t="shared" si="196"/>
        <v>36</v>
      </c>
      <c r="I1054" t="str">
        <f t="shared" si="196"/>
        <v>36</v>
      </c>
      <c r="J1054" t="str">
        <f>"57.32"</f>
        <v>57.32</v>
      </c>
      <c r="K1054" t="s">
        <v>2513</v>
      </c>
      <c r="L1054" t="s">
        <v>585</v>
      </c>
      <c r="N1054" t="s">
        <v>416</v>
      </c>
      <c r="O1054" t="s">
        <v>775</v>
      </c>
      <c r="T1054" t="s">
        <v>373</v>
      </c>
      <c r="U1054" t="s">
        <v>373</v>
      </c>
      <c r="V1054" t="s">
        <v>19689</v>
      </c>
      <c r="W1054" t="s">
        <v>19690</v>
      </c>
      <c r="X1054" t="s">
        <v>19691</v>
      </c>
      <c r="Y1054" t="s">
        <v>19692</v>
      </c>
      <c r="Z1054" t="s">
        <v>19693</v>
      </c>
      <c r="AA1054" t="s">
        <v>19694</v>
      </c>
      <c r="AB1054" t="s">
        <v>19695</v>
      </c>
      <c r="AC1054" t="s">
        <v>19696</v>
      </c>
      <c r="AD1054" t="s">
        <v>19697</v>
      </c>
      <c r="AE1054" t="s">
        <v>19698</v>
      </c>
      <c r="AF1054" t="s">
        <v>19699</v>
      </c>
      <c r="AG1054" t="s">
        <v>19700</v>
      </c>
      <c r="AH1054" t="s">
        <v>19701</v>
      </c>
      <c r="AI1054" t="s">
        <v>19702</v>
      </c>
      <c r="AJ1054" t="s">
        <v>19703</v>
      </c>
      <c r="AK1054" t="s">
        <v>19704</v>
      </c>
      <c r="AL1054" t="s">
        <v>19705</v>
      </c>
      <c r="AM1054" t="s">
        <v>19706</v>
      </c>
      <c r="BA1054" t="str">
        <f>"1999"</f>
        <v>1999</v>
      </c>
      <c r="BB1054" t="str">
        <f>"840"</f>
        <v>840</v>
      </c>
      <c r="BC1054" t="s">
        <v>388</v>
      </c>
      <c r="BD1054" t="str">
        <f t="shared" si="195"/>
        <v>1</v>
      </c>
      <c r="BE1054" t="s">
        <v>19666</v>
      </c>
      <c r="BF1054" t="str">
        <f>"29.92"</f>
        <v>29.92</v>
      </c>
      <c r="BG1054" t="str">
        <f>"38.98"</f>
        <v>38.98</v>
      </c>
      <c r="BH1054" t="str">
        <f>"37.4"</f>
        <v>37.4</v>
      </c>
      <c r="BI1054" t="str">
        <f>"80.47"</f>
        <v>80.47</v>
      </c>
      <c r="BY1054" t="str">
        <f>"21.4"</f>
        <v>21.4</v>
      </c>
      <c r="BZ1054" t="str">
        <f>"0.606"</f>
        <v>0.606</v>
      </c>
      <c r="CA1054" t="s">
        <v>431</v>
      </c>
      <c r="CK1054" t="s">
        <v>1134</v>
      </c>
      <c r="CL1054" t="s">
        <v>449</v>
      </c>
      <c r="CN1054">
        <v>0</v>
      </c>
      <c r="CO1054">
        <v>1</v>
      </c>
      <c r="CP1054" t="s">
        <v>437</v>
      </c>
      <c r="CQ1054" t="s">
        <v>438</v>
      </c>
      <c r="CX1054" t="s">
        <v>403</v>
      </c>
      <c r="CY1054" t="s">
        <v>2358</v>
      </c>
      <c r="CZ1054">
        <v>0</v>
      </c>
      <c r="DD1054">
        <v>0</v>
      </c>
      <c r="DE1054" t="s">
        <v>439</v>
      </c>
      <c r="DF1054" t="s">
        <v>632</v>
      </c>
      <c r="DH1054">
        <v>1</v>
      </c>
      <c r="DI1054">
        <v>1</v>
      </c>
      <c r="DK1054" t="s">
        <v>2359</v>
      </c>
      <c r="DL1054">
        <v>0</v>
      </c>
      <c r="DM1054" t="s">
        <v>538</v>
      </c>
      <c r="DN1054" t="s">
        <v>600</v>
      </c>
      <c r="DO1054" t="s">
        <v>450</v>
      </c>
      <c r="DP1054" t="s">
        <v>1092</v>
      </c>
      <c r="DT1054" t="s">
        <v>1094</v>
      </c>
      <c r="DX1054" t="s">
        <v>2360</v>
      </c>
      <c r="DY1054" t="s">
        <v>855</v>
      </c>
      <c r="DZ1054" t="s">
        <v>828</v>
      </c>
      <c r="EA1054" t="s">
        <v>449</v>
      </c>
      <c r="ED1054" t="s">
        <v>632</v>
      </c>
      <c r="EG1054" t="s">
        <v>2361</v>
      </c>
      <c r="EP1054" t="s">
        <v>603</v>
      </c>
      <c r="EQ1054" t="s">
        <v>600</v>
      </c>
      <c r="ER1054">
        <v>0</v>
      </c>
      <c r="ES1054">
        <v>0</v>
      </c>
      <c r="ET1054" t="s">
        <v>643</v>
      </c>
      <c r="EU1054" t="s">
        <v>474</v>
      </c>
      <c r="IR1054" t="s">
        <v>2362</v>
      </c>
      <c r="IS1054" t="s">
        <v>578</v>
      </c>
    </row>
    <row r="1055" spans="1:253" x14ac:dyDescent="0.25">
      <c r="A1055" t="s">
        <v>19707</v>
      </c>
      <c r="B1055" t="str">
        <f>"801542368876"</f>
        <v>801542368876</v>
      </c>
      <c r="C1055" t="s">
        <v>19708</v>
      </c>
      <c r="D1055" t="s">
        <v>769</v>
      </c>
      <c r="E1055" t="s">
        <v>515</v>
      </c>
      <c r="F1055" t="s">
        <v>516</v>
      </c>
      <c r="G1055" t="str">
        <f>"29.75"</f>
        <v>29.75</v>
      </c>
      <c r="H1055" t="str">
        <f>"32"</f>
        <v>32</v>
      </c>
      <c r="I1055" t="str">
        <f>"28.5"</f>
        <v>28.5</v>
      </c>
      <c r="J1055" t="str">
        <f>"43.21"</f>
        <v>43.21</v>
      </c>
      <c r="K1055" t="s">
        <v>2294</v>
      </c>
      <c r="L1055" t="s">
        <v>585</v>
      </c>
      <c r="N1055" t="s">
        <v>1170</v>
      </c>
      <c r="O1055" t="s">
        <v>2269</v>
      </c>
      <c r="P1055" t="s">
        <v>775</v>
      </c>
      <c r="T1055" t="s">
        <v>373</v>
      </c>
      <c r="U1055" t="s">
        <v>402</v>
      </c>
      <c r="V1055" t="s">
        <v>19709</v>
      </c>
      <c r="W1055" t="s">
        <v>19710</v>
      </c>
      <c r="X1055" t="s">
        <v>19711</v>
      </c>
      <c r="Y1055" t="s">
        <v>19712</v>
      </c>
      <c r="Z1055" t="s">
        <v>19713</v>
      </c>
      <c r="AA1055" t="s">
        <v>19714</v>
      </c>
      <c r="AB1055" t="s">
        <v>19715</v>
      </c>
      <c r="AC1055" t="s">
        <v>19716</v>
      </c>
      <c r="AD1055" t="s">
        <v>19717</v>
      </c>
      <c r="AE1055" t="s">
        <v>19718</v>
      </c>
      <c r="AF1055" t="s">
        <v>19719</v>
      </c>
      <c r="AG1055" t="s">
        <v>19720</v>
      </c>
      <c r="AH1055" t="s">
        <v>19721</v>
      </c>
      <c r="AI1055" t="s">
        <v>19722</v>
      </c>
      <c r="BA1055" t="str">
        <f>"999"</f>
        <v>999</v>
      </c>
      <c r="BB1055" t="str">
        <f>"420"</f>
        <v>420</v>
      </c>
      <c r="BC1055" t="s">
        <v>388</v>
      </c>
      <c r="BD1055" t="str">
        <f t="shared" si="195"/>
        <v>1</v>
      </c>
      <c r="BE1055" t="s">
        <v>1849</v>
      </c>
      <c r="BF1055" t="str">
        <f>"32.68"</f>
        <v>32.68</v>
      </c>
      <c r="BG1055" t="str">
        <f>"35.04"</f>
        <v>35.04</v>
      </c>
      <c r="BH1055" t="str">
        <f>"29.72"</f>
        <v>29.72</v>
      </c>
      <c r="BI1055" t="str">
        <f>"56.66"</f>
        <v>56.66</v>
      </c>
      <c r="BY1055" t="str">
        <f>"16.03"</f>
        <v>16.03</v>
      </c>
      <c r="BZ1055" t="str">
        <f>"0.454"</f>
        <v>0.454</v>
      </c>
      <c r="CA1055" t="s">
        <v>390</v>
      </c>
      <c r="CK1055" t="s">
        <v>2074</v>
      </c>
      <c r="CL1055" t="s">
        <v>511</v>
      </c>
      <c r="CM1055" t="s">
        <v>1492</v>
      </c>
      <c r="CN1055">
        <v>0</v>
      </c>
      <c r="CO1055">
        <v>0</v>
      </c>
      <c r="CP1055" t="s">
        <v>398</v>
      </c>
      <c r="CQ1055" t="s">
        <v>631</v>
      </c>
      <c r="CX1055" t="s">
        <v>403</v>
      </c>
      <c r="CY1055" t="s">
        <v>400</v>
      </c>
      <c r="CZ1055">
        <v>0</v>
      </c>
      <c r="DD1055">
        <v>25000</v>
      </c>
      <c r="DE1055" t="s">
        <v>439</v>
      </c>
      <c r="DH1055">
        <v>0</v>
      </c>
      <c r="DI1055">
        <v>1</v>
      </c>
      <c r="DK1055" t="s">
        <v>19723</v>
      </c>
      <c r="DL1055">
        <v>0</v>
      </c>
      <c r="DM1055" t="s">
        <v>538</v>
      </c>
      <c r="DY1055" t="s">
        <v>2241</v>
      </c>
      <c r="DZ1055" t="s">
        <v>2241</v>
      </c>
      <c r="EA1055" t="s">
        <v>2240</v>
      </c>
      <c r="EG1055" t="s">
        <v>749</v>
      </c>
      <c r="ER1055">
        <v>0</v>
      </c>
      <c r="ES1055">
        <v>0</v>
      </c>
      <c r="EU1055">
        <v>0</v>
      </c>
    </row>
    <row r="1056" spans="1:253" x14ac:dyDescent="0.25">
      <c r="A1056" t="s">
        <v>19724</v>
      </c>
      <c r="B1056" t="str">
        <f>"801542460648"</f>
        <v>801542460648</v>
      </c>
      <c r="C1056" t="s">
        <v>19725</v>
      </c>
      <c r="D1056" t="s">
        <v>769</v>
      </c>
      <c r="E1056" t="s">
        <v>515</v>
      </c>
      <c r="F1056" t="s">
        <v>516</v>
      </c>
      <c r="G1056" t="str">
        <f>"30.5"</f>
        <v>30.5</v>
      </c>
      <c r="H1056" t="str">
        <f>"36"</f>
        <v>36</v>
      </c>
      <c r="I1056" t="str">
        <f>"32"</f>
        <v>32</v>
      </c>
      <c r="J1056" t="str">
        <f>"52.91"</f>
        <v>52.91</v>
      </c>
      <c r="K1056" t="s">
        <v>5427</v>
      </c>
      <c r="L1056" t="s">
        <v>8106</v>
      </c>
      <c r="N1056" t="s">
        <v>416</v>
      </c>
      <c r="O1056" t="s">
        <v>775</v>
      </c>
      <c r="T1056" t="s">
        <v>373</v>
      </c>
      <c r="U1056" t="s">
        <v>373</v>
      </c>
      <c r="V1056" t="s">
        <v>19726</v>
      </c>
      <c r="W1056" t="s">
        <v>19727</v>
      </c>
      <c r="X1056" t="s">
        <v>19728</v>
      </c>
      <c r="Y1056" t="s">
        <v>19729</v>
      </c>
      <c r="Z1056" t="s">
        <v>19730</v>
      </c>
      <c r="AA1056" t="s">
        <v>19731</v>
      </c>
      <c r="AB1056" t="s">
        <v>19732</v>
      </c>
      <c r="AC1056" t="s">
        <v>19733</v>
      </c>
      <c r="AD1056" t="s">
        <v>19734</v>
      </c>
      <c r="AE1056" t="s">
        <v>19735</v>
      </c>
      <c r="AF1056" t="s">
        <v>19736</v>
      </c>
      <c r="AG1056" t="s">
        <v>19737</v>
      </c>
      <c r="AH1056" t="s">
        <v>19738</v>
      </c>
      <c r="BA1056" t="str">
        <f>"1749"</f>
        <v>1749</v>
      </c>
      <c r="BB1056" t="str">
        <f>"735"</f>
        <v>735</v>
      </c>
      <c r="BC1056" t="s">
        <v>388</v>
      </c>
      <c r="BD1056" t="str">
        <f t="shared" si="195"/>
        <v>1</v>
      </c>
      <c r="BE1056" t="s">
        <v>389</v>
      </c>
      <c r="BF1056" t="str">
        <f>"36.42"</f>
        <v>36.42</v>
      </c>
      <c r="BG1056" t="str">
        <f>"33.07"</f>
        <v>33.07</v>
      </c>
      <c r="BH1056" t="str">
        <f>"30.71"</f>
        <v>30.71</v>
      </c>
      <c r="BI1056" t="str">
        <f>"71.65"</f>
        <v>71.65</v>
      </c>
      <c r="BY1056" t="str">
        <f>"21.4"</f>
        <v>21.4</v>
      </c>
      <c r="BZ1056" t="str">
        <f>"0.606"</f>
        <v>0.606</v>
      </c>
      <c r="CA1056" t="s">
        <v>431</v>
      </c>
      <c r="CH1056" t="s">
        <v>432</v>
      </c>
      <c r="CI1056" t="s">
        <v>446</v>
      </c>
      <c r="CJ1056" t="s">
        <v>601</v>
      </c>
      <c r="CK1056" t="s">
        <v>603</v>
      </c>
      <c r="CL1056" t="s">
        <v>791</v>
      </c>
      <c r="CM1056" t="s">
        <v>601</v>
      </c>
      <c r="CN1056">
        <v>0</v>
      </c>
      <c r="CO1056">
        <v>1</v>
      </c>
      <c r="CP1056" t="s">
        <v>437</v>
      </c>
      <c r="CQ1056" t="s">
        <v>438</v>
      </c>
      <c r="CU1056" t="s">
        <v>749</v>
      </c>
      <c r="CX1056" t="s">
        <v>403</v>
      </c>
      <c r="CY1056" t="s">
        <v>400</v>
      </c>
      <c r="CZ1056">
        <v>0</v>
      </c>
      <c r="DD1056">
        <v>0</v>
      </c>
      <c r="DE1056" t="s">
        <v>439</v>
      </c>
      <c r="DF1056" t="s">
        <v>406</v>
      </c>
      <c r="DG1056" t="s">
        <v>407</v>
      </c>
      <c r="DH1056">
        <v>1</v>
      </c>
      <c r="DI1056">
        <v>1</v>
      </c>
      <c r="DK1056" t="s">
        <v>2791</v>
      </c>
      <c r="DL1056">
        <v>0</v>
      </c>
      <c r="DM1056" t="s">
        <v>538</v>
      </c>
      <c r="DN1056" t="s">
        <v>2083</v>
      </c>
      <c r="DO1056" t="s">
        <v>2599</v>
      </c>
      <c r="DP1056" t="s">
        <v>432</v>
      </c>
      <c r="DT1056" t="s">
        <v>1490</v>
      </c>
      <c r="DU1056" t="s">
        <v>450</v>
      </c>
      <c r="DV1056" t="s">
        <v>979</v>
      </c>
      <c r="DW1056" t="s">
        <v>601</v>
      </c>
      <c r="DX1056" t="s">
        <v>2263</v>
      </c>
      <c r="DY1056" t="s">
        <v>2792</v>
      </c>
      <c r="DZ1056" t="s">
        <v>609</v>
      </c>
      <c r="EA1056" t="s">
        <v>613</v>
      </c>
      <c r="ED1056" t="s">
        <v>406</v>
      </c>
      <c r="EE1056" t="s">
        <v>407</v>
      </c>
      <c r="EF1056" t="s">
        <v>831</v>
      </c>
      <c r="EG1056" t="s">
        <v>615</v>
      </c>
      <c r="EM1056" t="s">
        <v>402</v>
      </c>
      <c r="ER1056">
        <v>0</v>
      </c>
      <c r="ES1056">
        <v>0</v>
      </c>
      <c r="EU1056">
        <v>0</v>
      </c>
    </row>
    <row r="1057" spans="1:354" x14ac:dyDescent="0.25">
      <c r="A1057" t="s">
        <v>19739</v>
      </c>
      <c r="B1057" t="str">
        <f>"801542460532"</f>
        <v>801542460532</v>
      </c>
      <c r="C1057" t="s">
        <v>19740</v>
      </c>
      <c r="D1057" t="s">
        <v>769</v>
      </c>
      <c r="E1057" t="s">
        <v>413</v>
      </c>
      <c r="G1057" t="str">
        <f>"84"</f>
        <v>84</v>
      </c>
      <c r="H1057" t="str">
        <f>"43"</f>
        <v>43</v>
      </c>
      <c r="I1057" t="str">
        <f>"32"</f>
        <v>32</v>
      </c>
      <c r="J1057" t="str">
        <f>"132.28"</f>
        <v>132.28</v>
      </c>
      <c r="K1057" t="s">
        <v>7314</v>
      </c>
      <c r="L1057" t="s">
        <v>12970</v>
      </c>
      <c r="N1057" t="s">
        <v>7315</v>
      </c>
      <c r="O1057" t="s">
        <v>7316</v>
      </c>
      <c r="P1057" t="s">
        <v>775</v>
      </c>
      <c r="T1057" t="s">
        <v>373</v>
      </c>
      <c r="U1057" t="s">
        <v>402</v>
      </c>
      <c r="V1057" t="s">
        <v>19741</v>
      </c>
      <c r="W1057" t="s">
        <v>19742</v>
      </c>
      <c r="X1057" t="s">
        <v>19743</v>
      </c>
      <c r="Y1057" t="s">
        <v>19744</v>
      </c>
      <c r="Z1057" t="s">
        <v>19745</v>
      </c>
      <c r="AA1057" t="s">
        <v>19746</v>
      </c>
      <c r="AB1057" t="s">
        <v>19747</v>
      </c>
      <c r="AC1057" t="s">
        <v>19748</v>
      </c>
      <c r="AD1057" t="s">
        <v>19749</v>
      </c>
      <c r="AE1057" t="s">
        <v>19750</v>
      </c>
      <c r="AF1057" t="s">
        <v>19751</v>
      </c>
      <c r="AG1057" t="s">
        <v>19752</v>
      </c>
      <c r="AH1057" t="s">
        <v>19753</v>
      </c>
      <c r="AI1057" t="s">
        <v>19754</v>
      </c>
      <c r="BA1057" t="str">
        <f>"2099"</f>
        <v>2099</v>
      </c>
      <c r="BB1057" t="str">
        <f>"885"</f>
        <v>885</v>
      </c>
      <c r="BC1057" t="s">
        <v>388</v>
      </c>
      <c r="BD1057" t="str">
        <f t="shared" si="195"/>
        <v>1</v>
      </c>
      <c r="BE1057" t="s">
        <v>389</v>
      </c>
      <c r="BF1057" t="str">
        <f>"85.04"</f>
        <v>85.04</v>
      </c>
      <c r="BG1057" t="str">
        <f>"43.7"</f>
        <v>43.7</v>
      </c>
      <c r="BH1057" t="str">
        <f>"21.65"</f>
        <v>21.65</v>
      </c>
      <c r="BI1057" t="str">
        <f>"158.73"</f>
        <v>158.73</v>
      </c>
      <c r="BY1057" t="str">
        <f>"46.62"</f>
        <v>46.62</v>
      </c>
      <c r="BZ1057" t="str">
        <f>"1.32"</f>
        <v>1.32</v>
      </c>
      <c r="CA1057" t="s">
        <v>431</v>
      </c>
      <c r="CH1057" t="s">
        <v>789</v>
      </c>
      <c r="CI1057" t="s">
        <v>450</v>
      </c>
      <c r="CJ1057" t="s">
        <v>790</v>
      </c>
      <c r="CK1057" t="s">
        <v>451</v>
      </c>
      <c r="CL1057" t="s">
        <v>791</v>
      </c>
      <c r="CM1057" t="s">
        <v>792</v>
      </c>
      <c r="CN1057">
        <v>0</v>
      </c>
      <c r="CO1057">
        <v>2</v>
      </c>
      <c r="CP1057" t="s">
        <v>437</v>
      </c>
      <c r="CQ1057" t="s">
        <v>631</v>
      </c>
      <c r="CU1057" t="s">
        <v>793</v>
      </c>
      <c r="CX1057" t="s">
        <v>403</v>
      </c>
      <c r="CY1057" t="s">
        <v>400</v>
      </c>
      <c r="CZ1057">
        <v>0</v>
      </c>
      <c r="DD1057">
        <v>25000</v>
      </c>
      <c r="DE1057" t="s">
        <v>570</v>
      </c>
      <c r="DF1057" t="s">
        <v>406</v>
      </c>
      <c r="DG1057" t="s">
        <v>407</v>
      </c>
      <c r="DH1057">
        <v>2</v>
      </c>
      <c r="DI1057">
        <v>4</v>
      </c>
      <c r="DK1057" t="s">
        <v>794</v>
      </c>
      <c r="DL1057">
        <v>0</v>
      </c>
      <c r="DM1057" t="s">
        <v>795</v>
      </c>
      <c r="DN1057" t="s">
        <v>796</v>
      </c>
      <c r="DO1057" t="s">
        <v>797</v>
      </c>
      <c r="DP1057" t="s">
        <v>798</v>
      </c>
      <c r="DT1057" t="s">
        <v>799</v>
      </c>
      <c r="DU1057" t="s">
        <v>797</v>
      </c>
      <c r="DV1057" t="s">
        <v>474</v>
      </c>
      <c r="DW1057" t="s">
        <v>790</v>
      </c>
      <c r="DX1057" t="s">
        <v>800</v>
      </c>
      <c r="DZ1057" t="s">
        <v>801</v>
      </c>
      <c r="EA1057" t="s">
        <v>797</v>
      </c>
      <c r="ED1057" t="s">
        <v>406</v>
      </c>
      <c r="EE1057" t="s">
        <v>407</v>
      </c>
      <c r="EF1057" t="s">
        <v>802</v>
      </c>
      <c r="EG1057" t="s">
        <v>803</v>
      </c>
      <c r="EH1057" t="s">
        <v>615</v>
      </c>
    </row>
    <row r="1058" spans="1:354" x14ac:dyDescent="0.25">
      <c r="A1058" t="s">
        <v>19755</v>
      </c>
      <c r="B1058" t="str">
        <f>"801542460433"</f>
        <v>801542460433</v>
      </c>
      <c r="C1058" t="s">
        <v>19756</v>
      </c>
      <c r="D1058" t="s">
        <v>769</v>
      </c>
      <c r="E1058" t="s">
        <v>413</v>
      </c>
      <c r="G1058" t="str">
        <f>"86"</f>
        <v>86</v>
      </c>
      <c r="H1058" t="str">
        <f>"40"</f>
        <v>40</v>
      </c>
      <c r="I1058" t="str">
        <f>"32"</f>
        <v>32</v>
      </c>
      <c r="J1058" t="str">
        <f>"132.28"</f>
        <v>132.28</v>
      </c>
      <c r="K1058" t="s">
        <v>5442</v>
      </c>
      <c r="L1058" t="s">
        <v>807</v>
      </c>
      <c r="N1058" t="s">
        <v>808</v>
      </c>
      <c r="O1058" t="s">
        <v>809</v>
      </c>
      <c r="P1058" t="s">
        <v>810</v>
      </c>
      <c r="Q1058" t="s">
        <v>775</v>
      </c>
      <c r="T1058" t="s">
        <v>373</v>
      </c>
      <c r="U1058" t="s">
        <v>402</v>
      </c>
      <c r="V1058" t="s">
        <v>19757</v>
      </c>
      <c r="W1058" t="s">
        <v>19758</v>
      </c>
      <c r="X1058" t="s">
        <v>19759</v>
      </c>
      <c r="Y1058" t="s">
        <v>19760</v>
      </c>
      <c r="Z1058" t="s">
        <v>19761</v>
      </c>
      <c r="AA1058" t="s">
        <v>19762</v>
      </c>
      <c r="AB1058" t="s">
        <v>19763</v>
      </c>
      <c r="AC1058" t="s">
        <v>19764</v>
      </c>
      <c r="AD1058" t="s">
        <v>19765</v>
      </c>
      <c r="AE1058" t="s">
        <v>19766</v>
      </c>
      <c r="AF1058" t="s">
        <v>19767</v>
      </c>
      <c r="AG1058" t="s">
        <v>19768</v>
      </c>
      <c r="AH1058" t="s">
        <v>19769</v>
      </c>
      <c r="AI1058" t="s">
        <v>19770</v>
      </c>
      <c r="BA1058" t="str">
        <f>"2199"</f>
        <v>2199</v>
      </c>
      <c r="BB1058" t="str">
        <f>"925"</f>
        <v>925</v>
      </c>
      <c r="BC1058" t="s">
        <v>388</v>
      </c>
      <c r="BD1058" t="str">
        <f t="shared" si="195"/>
        <v>1</v>
      </c>
      <c r="BE1058" t="s">
        <v>389</v>
      </c>
      <c r="BF1058" t="str">
        <f>"86.61"</f>
        <v>86.61</v>
      </c>
      <c r="BG1058" t="str">
        <f>"41.34"</f>
        <v>41.34</v>
      </c>
      <c r="BH1058" t="str">
        <f>"29.92"</f>
        <v>29.92</v>
      </c>
      <c r="BI1058" t="str">
        <f>"158.95"</f>
        <v>158.95</v>
      </c>
      <c r="BY1058" t="str">
        <f>"62.01"</f>
        <v>62.01</v>
      </c>
      <c r="BZ1058" t="str">
        <f>"1.756"</f>
        <v>1.756</v>
      </c>
      <c r="CA1058" t="s">
        <v>431</v>
      </c>
      <c r="CH1058" t="s">
        <v>822</v>
      </c>
      <c r="CI1058" t="s">
        <v>797</v>
      </c>
      <c r="CJ1058" t="s">
        <v>823</v>
      </c>
      <c r="CK1058" t="s">
        <v>600</v>
      </c>
      <c r="CL1058" t="s">
        <v>791</v>
      </c>
      <c r="CM1058" t="s">
        <v>823</v>
      </c>
      <c r="CN1058">
        <v>0</v>
      </c>
      <c r="CO1058">
        <v>2</v>
      </c>
      <c r="CP1058" t="s">
        <v>437</v>
      </c>
      <c r="CQ1058" t="s">
        <v>631</v>
      </c>
      <c r="CU1058" t="s">
        <v>824</v>
      </c>
      <c r="CX1058" t="s">
        <v>403</v>
      </c>
      <c r="CY1058" t="s">
        <v>400</v>
      </c>
      <c r="CZ1058">
        <v>0</v>
      </c>
      <c r="DD1058">
        <v>25000</v>
      </c>
      <c r="DE1058" t="s">
        <v>570</v>
      </c>
      <c r="DF1058" t="s">
        <v>406</v>
      </c>
      <c r="DG1058" t="s">
        <v>407</v>
      </c>
      <c r="DH1058">
        <v>1</v>
      </c>
      <c r="DI1058">
        <v>4</v>
      </c>
      <c r="DK1058" t="s">
        <v>825</v>
      </c>
      <c r="DL1058">
        <v>0</v>
      </c>
      <c r="DM1058" t="s">
        <v>795</v>
      </c>
      <c r="DN1058" t="s">
        <v>600</v>
      </c>
      <c r="DO1058" t="s">
        <v>446</v>
      </c>
      <c r="DP1058" t="s">
        <v>826</v>
      </c>
      <c r="DT1058" t="s">
        <v>448</v>
      </c>
      <c r="DU1058" t="s">
        <v>448</v>
      </c>
      <c r="DV1058" t="s">
        <v>474</v>
      </c>
      <c r="DW1058" t="s">
        <v>443</v>
      </c>
      <c r="DX1058" t="s">
        <v>827</v>
      </c>
      <c r="DY1058" t="s">
        <v>828</v>
      </c>
      <c r="DZ1058" t="s">
        <v>829</v>
      </c>
      <c r="EA1058" t="s">
        <v>830</v>
      </c>
      <c r="ED1058" t="s">
        <v>406</v>
      </c>
      <c r="EE1058" t="s">
        <v>407</v>
      </c>
      <c r="EF1058" t="s">
        <v>831</v>
      </c>
      <c r="EG1058" t="s">
        <v>641</v>
      </c>
      <c r="ET1058" t="s">
        <v>832</v>
      </c>
    </row>
    <row r="1059" spans="1:354" x14ac:dyDescent="0.25">
      <c r="A1059" t="s">
        <v>19771</v>
      </c>
      <c r="B1059" t="str">
        <f>"801542529697"</f>
        <v>801542529697</v>
      </c>
      <c r="C1059" t="s">
        <v>19772</v>
      </c>
      <c r="D1059" t="s">
        <v>769</v>
      </c>
      <c r="E1059" t="s">
        <v>2244</v>
      </c>
      <c r="G1059" t="str">
        <f>"85"</f>
        <v>85</v>
      </c>
      <c r="H1059" t="str">
        <f>"35"</f>
        <v>35</v>
      </c>
      <c r="I1059" t="str">
        <f>"30"</f>
        <v>30</v>
      </c>
      <c r="J1059" t="str">
        <f>"88.18"</f>
        <v>88.18</v>
      </c>
      <c r="K1059" t="s">
        <v>806</v>
      </c>
      <c r="L1059" t="s">
        <v>585</v>
      </c>
      <c r="M1059" t="s">
        <v>1517</v>
      </c>
      <c r="N1059" t="s">
        <v>808</v>
      </c>
      <c r="O1059" t="s">
        <v>809</v>
      </c>
      <c r="P1059" t="s">
        <v>810</v>
      </c>
      <c r="Q1059" t="s">
        <v>775</v>
      </c>
      <c r="R1059" t="s">
        <v>416</v>
      </c>
      <c r="T1059" t="s">
        <v>373</v>
      </c>
      <c r="U1059" t="s">
        <v>402</v>
      </c>
      <c r="V1059" t="s">
        <v>19773</v>
      </c>
      <c r="W1059" t="s">
        <v>19774</v>
      </c>
      <c r="X1059" t="s">
        <v>19775</v>
      </c>
      <c r="Y1059" t="s">
        <v>19776</v>
      </c>
      <c r="Z1059" t="s">
        <v>19777</v>
      </c>
      <c r="AA1059" t="s">
        <v>19778</v>
      </c>
      <c r="AB1059" t="s">
        <v>19779</v>
      </c>
      <c r="AC1059" t="s">
        <v>19780</v>
      </c>
      <c r="AD1059" t="s">
        <v>19781</v>
      </c>
      <c r="AE1059" t="s">
        <v>19782</v>
      </c>
      <c r="AF1059" t="s">
        <v>19783</v>
      </c>
      <c r="AG1059" t="s">
        <v>19784</v>
      </c>
      <c r="BA1059" t="str">
        <f>"2299"</f>
        <v>2299</v>
      </c>
      <c r="BB1059" t="str">
        <f>"970"</f>
        <v>970</v>
      </c>
      <c r="BC1059" t="s">
        <v>388</v>
      </c>
      <c r="BD1059" t="str">
        <f t="shared" si="195"/>
        <v>1</v>
      </c>
      <c r="BE1059" t="s">
        <v>389</v>
      </c>
      <c r="BF1059" t="str">
        <f>"90.16"</f>
        <v>90.16</v>
      </c>
      <c r="BG1059" t="str">
        <f>"38.19"</f>
        <v>38.19</v>
      </c>
      <c r="BH1059" t="str">
        <f>"27.17"</f>
        <v>27.17</v>
      </c>
      <c r="BI1059" t="str">
        <f>"132.28"</f>
        <v>132.28</v>
      </c>
      <c r="BY1059" t="str">
        <f>"54.14"</f>
        <v>54.14</v>
      </c>
      <c r="BZ1059" t="str">
        <f>"1.533"</f>
        <v>1.533</v>
      </c>
      <c r="CA1059" t="s">
        <v>431</v>
      </c>
      <c r="CH1059" t="s">
        <v>443</v>
      </c>
      <c r="CI1059" t="s">
        <v>797</v>
      </c>
      <c r="CJ1059" t="s">
        <v>642</v>
      </c>
      <c r="CK1059" t="s">
        <v>443</v>
      </c>
      <c r="CL1059" t="s">
        <v>1151</v>
      </c>
      <c r="CM1059" t="s">
        <v>2926</v>
      </c>
      <c r="CN1059">
        <v>2</v>
      </c>
      <c r="CO1059">
        <v>0</v>
      </c>
      <c r="CP1059" t="s">
        <v>437</v>
      </c>
      <c r="CQ1059" t="s">
        <v>631</v>
      </c>
      <c r="CU1059" t="s">
        <v>793</v>
      </c>
      <c r="CX1059" t="s">
        <v>403</v>
      </c>
      <c r="CY1059" t="s">
        <v>400</v>
      </c>
      <c r="CZ1059">
        <v>0</v>
      </c>
      <c r="DD1059">
        <v>25000</v>
      </c>
      <c r="DE1059" t="s">
        <v>439</v>
      </c>
      <c r="DF1059" t="s">
        <v>406</v>
      </c>
      <c r="DG1059" t="s">
        <v>2641</v>
      </c>
      <c r="DH1059">
        <v>1</v>
      </c>
      <c r="DI1059">
        <v>3</v>
      </c>
      <c r="DK1059" t="s">
        <v>19785</v>
      </c>
      <c r="DL1059">
        <v>0</v>
      </c>
      <c r="DM1059" t="s">
        <v>410</v>
      </c>
      <c r="DN1059" t="s">
        <v>1553</v>
      </c>
      <c r="DO1059" t="s">
        <v>1156</v>
      </c>
      <c r="DP1059" t="s">
        <v>443</v>
      </c>
      <c r="DQ1059" t="s">
        <v>443</v>
      </c>
      <c r="DR1059" t="s">
        <v>1039</v>
      </c>
      <c r="DS1059" t="s">
        <v>797</v>
      </c>
      <c r="DT1059" t="s">
        <v>448</v>
      </c>
      <c r="DX1059" t="s">
        <v>830</v>
      </c>
      <c r="DY1059" t="s">
        <v>9483</v>
      </c>
      <c r="DZ1059" t="s">
        <v>2906</v>
      </c>
      <c r="EB1059" t="s">
        <v>2641</v>
      </c>
      <c r="EC1059" t="s">
        <v>402</v>
      </c>
      <c r="EF1059" t="s">
        <v>831</v>
      </c>
      <c r="EG1059" t="s">
        <v>615</v>
      </c>
    </row>
    <row r="1060" spans="1:354" x14ac:dyDescent="0.25">
      <c r="A1060" t="s">
        <v>19786</v>
      </c>
      <c r="B1060" t="str">
        <f>"801542538248"</f>
        <v>801542538248</v>
      </c>
      <c r="C1060" t="s">
        <v>19787</v>
      </c>
      <c r="D1060" t="s">
        <v>769</v>
      </c>
      <c r="E1060" t="s">
        <v>515</v>
      </c>
      <c r="F1060" t="s">
        <v>516</v>
      </c>
      <c r="G1060" t="str">
        <f>"29"</f>
        <v>29</v>
      </c>
      <c r="H1060" t="str">
        <f>"35"</f>
        <v>35</v>
      </c>
      <c r="I1060" t="str">
        <f>"31"</f>
        <v>31</v>
      </c>
      <c r="J1060" t="str">
        <f>"33.07"</f>
        <v>33.07</v>
      </c>
      <c r="K1060" t="s">
        <v>5442</v>
      </c>
      <c r="L1060" t="s">
        <v>8106</v>
      </c>
      <c r="N1060" t="s">
        <v>808</v>
      </c>
      <c r="O1060" t="s">
        <v>809</v>
      </c>
      <c r="P1060" t="s">
        <v>810</v>
      </c>
      <c r="Q1060" t="s">
        <v>775</v>
      </c>
      <c r="T1060" t="s">
        <v>373</v>
      </c>
      <c r="U1060" t="s">
        <v>402</v>
      </c>
      <c r="V1060" t="s">
        <v>19788</v>
      </c>
      <c r="W1060" t="s">
        <v>19789</v>
      </c>
      <c r="X1060" t="s">
        <v>19790</v>
      </c>
      <c r="Y1060" t="s">
        <v>19791</v>
      </c>
      <c r="Z1060" t="s">
        <v>19792</v>
      </c>
      <c r="AA1060" t="s">
        <v>19793</v>
      </c>
      <c r="AB1060" t="s">
        <v>19794</v>
      </c>
      <c r="AC1060" t="s">
        <v>19795</v>
      </c>
      <c r="AD1060" t="s">
        <v>19796</v>
      </c>
      <c r="AE1060" t="s">
        <v>19797</v>
      </c>
      <c r="AF1060" t="s">
        <v>19798</v>
      </c>
      <c r="AG1060" t="s">
        <v>19799</v>
      </c>
      <c r="AH1060" t="s">
        <v>19800</v>
      </c>
      <c r="AI1060" t="s">
        <v>19801</v>
      </c>
      <c r="BA1060" t="str">
        <f>"1349"</f>
        <v>1349</v>
      </c>
      <c r="BB1060" t="str">
        <f>"570"</f>
        <v>570</v>
      </c>
      <c r="BC1060" t="s">
        <v>388</v>
      </c>
      <c r="BD1060" t="str">
        <f t="shared" si="195"/>
        <v>1</v>
      </c>
      <c r="BE1060" t="s">
        <v>389</v>
      </c>
      <c r="BF1060" t="str">
        <f>"40.75"</f>
        <v>40.75</v>
      </c>
      <c r="BG1060" t="str">
        <f>"33.07"</f>
        <v>33.07</v>
      </c>
      <c r="BH1060" t="str">
        <f>"30.71"</f>
        <v>30.71</v>
      </c>
      <c r="BI1060" t="str">
        <f>"56.88"</f>
        <v>56.88</v>
      </c>
      <c r="BY1060" t="str">
        <f>"23.94"</f>
        <v>23.94</v>
      </c>
      <c r="BZ1060" t="str">
        <f>"0.678"</f>
        <v>0.678</v>
      </c>
      <c r="CA1060" t="s">
        <v>495</v>
      </c>
      <c r="CH1060" t="s">
        <v>1853</v>
      </c>
      <c r="CI1060" t="s">
        <v>450</v>
      </c>
      <c r="CJ1060" t="s">
        <v>634</v>
      </c>
      <c r="CK1060" t="s">
        <v>1510</v>
      </c>
      <c r="CL1060" t="s">
        <v>449</v>
      </c>
      <c r="CN1060">
        <v>0</v>
      </c>
      <c r="CO1060">
        <v>1</v>
      </c>
      <c r="CP1060" t="s">
        <v>437</v>
      </c>
      <c r="CQ1060" t="s">
        <v>631</v>
      </c>
      <c r="CU1060" t="s">
        <v>793</v>
      </c>
      <c r="CX1060" t="s">
        <v>2398</v>
      </c>
      <c r="CY1060" t="s">
        <v>400</v>
      </c>
      <c r="CZ1060">
        <v>0</v>
      </c>
      <c r="DD1060">
        <v>25000</v>
      </c>
      <c r="DE1060" t="s">
        <v>570</v>
      </c>
      <c r="DF1060" t="s">
        <v>406</v>
      </c>
      <c r="DG1060" t="s">
        <v>407</v>
      </c>
      <c r="DH1060">
        <v>1</v>
      </c>
      <c r="DI1060">
        <v>1</v>
      </c>
      <c r="DK1060" t="s">
        <v>19802</v>
      </c>
      <c r="DL1060">
        <v>0</v>
      </c>
      <c r="DM1060" t="s">
        <v>538</v>
      </c>
      <c r="DN1060" t="s">
        <v>603</v>
      </c>
      <c r="DO1060" t="s">
        <v>3025</v>
      </c>
      <c r="DP1060" t="s">
        <v>634</v>
      </c>
      <c r="DT1060" t="s">
        <v>1094</v>
      </c>
      <c r="DU1060" t="s">
        <v>450</v>
      </c>
      <c r="DV1060" t="s">
        <v>950</v>
      </c>
      <c r="DW1060" t="s">
        <v>1510</v>
      </c>
      <c r="DX1060" t="s">
        <v>3025</v>
      </c>
      <c r="DY1060" t="s">
        <v>1510</v>
      </c>
      <c r="DZ1060" t="s">
        <v>451</v>
      </c>
      <c r="EA1060" t="s">
        <v>613</v>
      </c>
      <c r="ED1060" t="s">
        <v>406</v>
      </c>
      <c r="EE1060" t="s">
        <v>407</v>
      </c>
      <c r="EF1060" t="s">
        <v>831</v>
      </c>
      <c r="EG1060" t="s">
        <v>615</v>
      </c>
      <c r="EP1060" t="s">
        <v>601</v>
      </c>
      <c r="EQ1060" t="s">
        <v>634</v>
      </c>
      <c r="ER1060">
        <v>0</v>
      </c>
      <c r="ES1060">
        <v>0</v>
      </c>
      <c r="EU1060">
        <v>0</v>
      </c>
    </row>
    <row r="1061" spans="1:354" x14ac:dyDescent="0.25">
      <c r="A1061" t="s">
        <v>19803</v>
      </c>
      <c r="B1061" t="str">
        <f>"801542384173"</f>
        <v>801542384173</v>
      </c>
      <c r="C1061" t="s">
        <v>19804</v>
      </c>
      <c r="D1061" t="s">
        <v>769</v>
      </c>
      <c r="E1061" t="s">
        <v>515</v>
      </c>
      <c r="F1061" t="s">
        <v>516</v>
      </c>
      <c r="G1061" t="str">
        <f>"34.75"</f>
        <v>34.75</v>
      </c>
      <c r="H1061" t="str">
        <f>"34.75"</f>
        <v>34.75</v>
      </c>
      <c r="I1061" t="str">
        <f>"25.25"</f>
        <v>25.25</v>
      </c>
      <c r="J1061" t="str">
        <f>"57.54"</f>
        <v>57.54</v>
      </c>
      <c r="K1061" t="s">
        <v>19630</v>
      </c>
      <c r="L1061" t="s">
        <v>3122</v>
      </c>
      <c r="N1061" t="s">
        <v>1170</v>
      </c>
      <c r="O1061" t="s">
        <v>3084</v>
      </c>
      <c r="P1061" t="s">
        <v>775</v>
      </c>
      <c r="T1061" t="s">
        <v>373</v>
      </c>
      <c r="U1061" t="s">
        <v>373</v>
      </c>
      <c r="V1061" t="s">
        <v>19805</v>
      </c>
      <c r="W1061" t="s">
        <v>19806</v>
      </c>
      <c r="X1061" t="s">
        <v>19807</v>
      </c>
      <c r="Y1061" t="s">
        <v>19808</v>
      </c>
      <c r="Z1061" t="s">
        <v>19809</v>
      </c>
      <c r="AA1061" t="s">
        <v>19810</v>
      </c>
      <c r="AB1061" t="s">
        <v>19811</v>
      </c>
      <c r="AC1061" t="s">
        <v>19812</v>
      </c>
      <c r="AD1061" t="s">
        <v>19813</v>
      </c>
      <c r="AE1061" t="s">
        <v>19814</v>
      </c>
      <c r="AF1061" t="s">
        <v>19815</v>
      </c>
      <c r="AG1061" t="s">
        <v>19816</v>
      </c>
      <c r="AH1061" t="s">
        <v>19817</v>
      </c>
      <c r="BA1061" t="str">
        <f>"1099"</f>
        <v>1099</v>
      </c>
      <c r="BB1061" t="str">
        <f>"465"</f>
        <v>465</v>
      </c>
      <c r="BC1061" t="s">
        <v>388</v>
      </c>
      <c r="BD1061" t="str">
        <f t="shared" si="195"/>
        <v>1</v>
      </c>
      <c r="BE1061" t="s">
        <v>389</v>
      </c>
      <c r="BF1061" t="str">
        <f>"36.02"</f>
        <v>36.02</v>
      </c>
      <c r="BG1061" t="str">
        <f>"36.02"</f>
        <v>36.02</v>
      </c>
      <c r="BH1061" t="str">
        <f>"22.24"</f>
        <v>22.24</v>
      </c>
      <c r="BI1061" t="str">
        <f>"71.21"</f>
        <v>71.21</v>
      </c>
      <c r="BY1061" t="str">
        <f>"16.7"</f>
        <v>16.7</v>
      </c>
      <c r="BZ1061" t="str">
        <f>"0.473"</f>
        <v>0.473</v>
      </c>
      <c r="CA1061" t="s">
        <v>495</v>
      </c>
      <c r="CK1061" t="s">
        <v>603</v>
      </c>
      <c r="CL1061" t="s">
        <v>2261</v>
      </c>
      <c r="CN1061">
        <v>0</v>
      </c>
      <c r="CO1061">
        <v>1</v>
      </c>
      <c r="CP1061" t="s">
        <v>437</v>
      </c>
      <c r="CQ1061" t="s">
        <v>399</v>
      </c>
      <c r="CX1061" t="s">
        <v>403</v>
      </c>
      <c r="CY1061" t="s">
        <v>400</v>
      </c>
      <c r="CZ1061">
        <v>0</v>
      </c>
      <c r="DD1061">
        <v>100000</v>
      </c>
      <c r="DE1061" t="s">
        <v>439</v>
      </c>
      <c r="DF1061" t="s">
        <v>632</v>
      </c>
      <c r="DG1061" t="s">
        <v>1808</v>
      </c>
      <c r="DH1061">
        <v>1</v>
      </c>
      <c r="DI1061">
        <v>1</v>
      </c>
      <c r="DK1061" t="s">
        <v>2262</v>
      </c>
      <c r="DL1061">
        <v>0</v>
      </c>
      <c r="DM1061" t="s">
        <v>538</v>
      </c>
      <c r="DN1061" t="s">
        <v>1092</v>
      </c>
      <c r="DO1061" t="s">
        <v>1037</v>
      </c>
      <c r="DP1061" t="s">
        <v>3055</v>
      </c>
      <c r="DT1061" t="s">
        <v>576</v>
      </c>
      <c r="DX1061" t="s">
        <v>1489</v>
      </c>
      <c r="DY1061" t="s">
        <v>3056</v>
      </c>
      <c r="DZ1061" t="s">
        <v>3057</v>
      </c>
      <c r="EA1061" t="s">
        <v>1037</v>
      </c>
      <c r="ED1061" t="s">
        <v>632</v>
      </c>
      <c r="EE1061" t="s">
        <v>1808</v>
      </c>
      <c r="EG1061" t="s">
        <v>749</v>
      </c>
      <c r="EP1061" t="s">
        <v>3058</v>
      </c>
      <c r="EQ1061" t="s">
        <v>3059</v>
      </c>
      <c r="ER1061">
        <v>0</v>
      </c>
      <c r="ES1061">
        <v>0</v>
      </c>
      <c r="ET1061" t="s">
        <v>549</v>
      </c>
      <c r="EU1061">
        <v>0</v>
      </c>
    </row>
    <row r="1062" spans="1:354" x14ac:dyDescent="0.25">
      <c r="A1062" t="s">
        <v>19818</v>
      </c>
      <c r="B1062" t="str">
        <f>"801542384135"</f>
        <v>801542384135</v>
      </c>
      <c r="C1062" t="s">
        <v>19819</v>
      </c>
      <c r="D1062" t="s">
        <v>769</v>
      </c>
      <c r="E1062" t="s">
        <v>413</v>
      </c>
      <c r="G1062" t="str">
        <f>"91.25"</f>
        <v>91.25</v>
      </c>
      <c r="H1062" t="str">
        <f>"34.75"</f>
        <v>34.75</v>
      </c>
      <c r="I1062" t="str">
        <f>"25.25"</f>
        <v>25.25</v>
      </c>
      <c r="J1062" t="str">
        <f>"120.15"</f>
        <v>120.15</v>
      </c>
      <c r="K1062" t="s">
        <v>19630</v>
      </c>
      <c r="L1062" t="s">
        <v>3122</v>
      </c>
      <c r="N1062" t="s">
        <v>1170</v>
      </c>
      <c r="O1062" t="s">
        <v>3084</v>
      </c>
      <c r="P1062" t="s">
        <v>775</v>
      </c>
      <c r="T1062" t="s">
        <v>373</v>
      </c>
      <c r="U1062" t="s">
        <v>373</v>
      </c>
      <c r="W1062" t="s">
        <v>19820</v>
      </c>
      <c r="X1062" t="s">
        <v>19821</v>
      </c>
      <c r="Y1062" t="s">
        <v>19822</v>
      </c>
      <c r="Z1062" t="s">
        <v>19823</v>
      </c>
      <c r="AA1062" t="s">
        <v>19824</v>
      </c>
      <c r="AB1062" t="s">
        <v>19825</v>
      </c>
      <c r="AC1062" t="s">
        <v>19826</v>
      </c>
      <c r="AD1062" t="s">
        <v>19827</v>
      </c>
      <c r="AE1062" t="s">
        <v>19828</v>
      </c>
      <c r="AF1062" t="s">
        <v>19829</v>
      </c>
      <c r="AG1062" t="s">
        <v>19830</v>
      </c>
      <c r="AH1062" t="s">
        <v>19831</v>
      </c>
      <c r="AI1062" t="s">
        <v>19832</v>
      </c>
      <c r="AJ1062" t="s">
        <v>19833</v>
      </c>
      <c r="AK1062" t="s">
        <v>19834</v>
      </c>
      <c r="AL1062" t="s">
        <v>19835</v>
      </c>
      <c r="BA1062" t="str">
        <f>"2099"</f>
        <v>2099</v>
      </c>
      <c r="BB1062" t="str">
        <f>"885"</f>
        <v>885</v>
      </c>
      <c r="BC1062" t="s">
        <v>388</v>
      </c>
      <c r="BD1062" t="str">
        <f t="shared" si="195"/>
        <v>1</v>
      </c>
      <c r="BE1062" t="s">
        <v>389</v>
      </c>
      <c r="BF1062" t="str">
        <f>"90.55"</f>
        <v>90.55</v>
      </c>
      <c r="BG1062" t="str">
        <f>"36.02"</f>
        <v>36.02</v>
      </c>
      <c r="BH1062" t="str">
        <f>"22.05"</f>
        <v>22.05</v>
      </c>
      <c r="BI1062" t="str">
        <f>"139.99"</f>
        <v>139.99</v>
      </c>
      <c r="BY1062" t="str">
        <f>"41.64"</f>
        <v>41.64</v>
      </c>
      <c r="BZ1062" t="str">
        <f>"1.179"</f>
        <v>1.179</v>
      </c>
      <c r="CA1062" t="s">
        <v>431</v>
      </c>
      <c r="CK1062" t="s">
        <v>603</v>
      </c>
      <c r="CL1062" t="s">
        <v>511</v>
      </c>
      <c r="CN1062">
        <v>0</v>
      </c>
      <c r="CO1062">
        <v>0</v>
      </c>
      <c r="CP1062" t="s">
        <v>437</v>
      </c>
      <c r="CQ1062" t="s">
        <v>399</v>
      </c>
      <c r="CX1062" t="s">
        <v>403</v>
      </c>
      <c r="CZ1062">
        <v>0</v>
      </c>
      <c r="DD1062">
        <v>100000</v>
      </c>
      <c r="DE1062" t="s">
        <v>439</v>
      </c>
      <c r="DH1062">
        <v>0</v>
      </c>
      <c r="DI1062">
        <v>4</v>
      </c>
      <c r="DK1062" t="s">
        <v>2262</v>
      </c>
      <c r="DL1062">
        <v>0</v>
      </c>
      <c r="DM1062" t="s">
        <v>795</v>
      </c>
      <c r="DN1062" t="s">
        <v>1092</v>
      </c>
      <c r="DO1062" t="s">
        <v>2263</v>
      </c>
      <c r="DP1062" t="s">
        <v>611</v>
      </c>
      <c r="DT1062" t="s">
        <v>446</v>
      </c>
      <c r="DX1062" t="s">
        <v>1709</v>
      </c>
      <c r="DY1062" t="s">
        <v>3096</v>
      </c>
      <c r="DZ1062" t="s">
        <v>3097</v>
      </c>
      <c r="EA1062" t="s">
        <v>2263</v>
      </c>
      <c r="EG1062" t="s">
        <v>749</v>
      </c>
      <c r="EP1062" t="s">
        <v>3098</v>
      </c>
      <c r="EQ1062" t="s">
        <v>3099</v>
      </c>
      <c r="ET1062" t="s">
        <v>2003</v>
      </c>
    </row>
    <row r="1063" spans="1:354" x14ac:dyDescent="0.25">
      <c r="A1063" t="s">
        <v>19836</v>
      </c>
      <c r="B1063" t="str">
        <f>"801542299187"</f>
        <v>801542299187</v>
      </c>
      <c r="C1063" t="s">
        <v>19837</v>
      </c>
      <c r="D1063" t="s">
        <v>769</v>
      </c>
      <c r="E1063" t="s">
        <v>515</v>
      </c>
      <c r="F1063" t="s">
        <v>516</v>
      </c>
      <c r="G1063" t="str">
        <f>"33.5"</f>
        <v>33.5</v>
      </c>
      <c r="H1063" t="str">
        <f>"33.75"</f>
        <v>33.75</v>
      </c>
      <c r="I1063" t="str">
        <f>"26"</f>
        <v>26</v>
      </c>
      <c r="J1063" t="str">
        <f>"77.16"</f>
        <v>77.16</v>
      </c>
      <c r="K1063" t="s">
        <v>19838</v>
      </c>
      <c r="L1063" t="s">
        <v>19839</v>
      </c>
      <c r="M1063" t="s">
        <v>3138</v>
      </c>
      <c r="N1063" t="s">
        <v>416</v>
      </c>
      <c r="O1063" t="s">
        <v>775</v>
      </c>
      <c r="P1063" t="s">
        <v>555</v>
      </c>
      <c r="T1063" t="s">
        <v>373</v>
      </c>
      <c r="U1063" t="s">
        <v>373</v>
      </c>
      <c r="V1063" t="s">
        <v>19840</v>
      </c>
      <c r="W1063" t="s">
        <v>19841</v>
      </c>
      <c r="X1063" t="s">
        <v>19842</v>
      </c>
      <c r="Y1063" t="s">
        <v>19843</v>
      </c>
      <c r="Z1063" t="s">
        <v>19844</v>
      </c>
      <c r="AA1063" t="s">
        <v>19845</v>
      </c>
      <c r="AB1063" t="s">
        <v>19846</v>
      </c>
      <c r="AC1063" t="s">
        <v>19847</v>
      </c>
      <c r="AD1063" t="s">
        <v>19848</v>
      </c>
      <c r="AE1063" t="s">
        <v>19849</v>
      </c>
      <c r="AF1063" t="s">
        <v>19850</v>
      </c>
      <c r="AG1063" t="s">
        <v>19851</v>
      </c>
      <c r="AH1063" t="s">
        <v>19852</v>
      </c>
      <c r="AI1063" t="s">
        <v>19853</v>
      </c>
      <c r="BA1063" t="str">
        <f>"1799"</f>
        <v>1799</v>
      </c>
      <c r="BB1063" t="str">
        <f>"760"</f>
        <v>760</v>
      </c>
      <c r="BC1063" t="s">
        <v>388</v>
      </c>
      <c r="BD1063" t="str">
        <f t="shared" si="195"/>
        <v>1</v>
      </c>
      <c r="BE1063" t="s">
        <v>389</v>
      </c>
      <c r="BF1063" t="str">
        <f>"35.83"</f>
        <v>35.83</v>
      </c>
      <c r="BG1063" t="str">
        <f>"35.94"</f>
        <v>35.94</v>
      </c>
      <c r="BH1063" t="str">
        <f>"26.97"</f>
        <v>26.97</v>
      </c>
      <c r="BI1063" t="str">
        <f>"88.18"</f>
        <v>88.18</v>
      </c>
      <c r="BY1063" t="str">
        <f>"20.09"</f>
        <v>20.09</v>
      </c>
      <c r="BZ1063" t="str">
        <f>"0.569"</f>
        <v>0.569</v>
      </c>
      <c r="CA1063" t="s">
        <v>431</v>
      </c>
      <c r="CK1063" t="s">
        <v>638</v>
      </c>
      <c r="CL1063" t="s">
        <v>474</v>
      </c>
      <c r="CM1063" t="s">
        <v>435</v>
      </c>
      <c r="CN1063">
        <v>0</v>
      </c>
      <c r="CO1063">
        <v>0</v>
      </c>
      <c r="CP1063" t="s">
        <v>437</v>
      </c>
      <c r="CQ1063" t="s">
        <v>438</v>
      </c>
      <c r="CX1063" t="s">
        <v>403</v>
      </c>
      <c r="CY1063" t="s">
        <v>1753</v>
      </c>
      <c r="CZ1063">
        <v>0</v>
      </c>
      <c r="DD1063">
        <v>0</v>
      </c>
      <c r="DE1063" t="s">
        <v>439</v>
      </c>
      <c r="DH1063">
        <v>0</v>
      </c>
      <c r="DI1063">
        <v>1</v>
      </c>
      <c r="DK1063" t="s">
        <v>3153</v>
      </c>
      <c r="DL1063">
        <v>0</v>
      </c>
      <c r="DM1063" t="s">
        <v>538</v>
      </c>
      <c r="DN1063" t="s">
        <v>796</v>
      </c>
      <c r="DO1063" t="s">
        <v>635</v>
      </c>
      <c r="DP1063" t="s">
        <v>3154</v>
      </c>
      <c r="DT1063" t="s">
        <v>450</v>
      </c>
      <c r="DX1063" t="s">
        <v>956</v>
      </c>
      <c r="EA1063" t="s">
        <v>635</v>
      </c>
      <c r="EG1063" t="s">
        <v>1513</v>
      </c>
      <c r="EP1063" t="s">
        <v>435</v>
      </c>
      <c r="EQ1063" t="s">
        <v>435</v>
      </c>
      <c r="ER1063">
        <v>0</v>
      </c>
      <c r="ES1063">
        <v>0</v>
      </c>
      <c r="ET1063" t="s">
        <v>549</v>
      </c>
      <c r="EU1063">
        <v>0</v>
      </c>
      <c r="HM1063" t="s">
        <v>1754</v>
      </c>
    </row>
    <row r="1064" spans="1:354" x14ac:dyDescent="0.25">
      <c r="A1064" t="s">
        <v>19854</v>
      </c>
      <c r="B1064" t="str">
        <f>"801542380861"</f>
        <v>801542380861</v>
      </c>
      <c r="C1064" t="s">
        <v>19855</v>
      </c>
      <c r="D1064" t="s">
        <v>769</v>
      </c>
      <c r="E1064" t="s">
        <v>515</v>
      </c>
      <c r="F1064" t="s">
        <v>516</v>
      </c>
      <c r="G1064" t="str">
        <f>"33.5"</f>
        <v>33.5</v>
      </c>
      <c r="H1064" t="str">
        <f>"33.75"</f>
        <v>33.75</v>
      </c>
      <c r="I1064" t="str">
        <f>"26"</f>
        <v>26</v>
      </c>
      <c r="J1064" t="str">
        <f>"77.16"</f>
        <v>77.16</v>
      </c>
      <c r="K1064" t="s">
        <v>5409</v>
      </c>
      <c r="L1064" t="s">
        <v>19839</v>
      </c>
      <c r="M1064" t="s">
        <v>3138</v>
      </c>
      <c r="N1064" t="s">
        <v>1170</v>
      </c>
      <c r="O1064" t="s">
        <v>3084</v>
      </c>
      <c r="P1064" t="s">
        <v>775</v>
      </c>
      <c r="Q1064" t="s">
        <v>555</v>
      </c>
      <c r="T1064" t="s">
        <v>373</v>
      </c>
      <c r="U1064" t="s">
        <v>373</v>
      </c>
      <c r="V1064" t="s">
        <v>19856</v>
      </c>
      <c r="W1064" t="s">
        <v>19857</v>
      </c>
      <c r="X1064" t="s">
        <v>19858</v>
      </c>
      <c r="Y1064" t="s">
        <v>19859</v>
      </c>
      <c r="Z1064" t="s">
        <v>19860</v>
      </c>
      <c r="AA1064" t="s">
        <v>19861</v>
      </c>
      <c r="AB1064" t="s">
        <v>19862</v>
      </c>
      <c r="AC1064" t="s">
        <v>19863</v>
      </c>
      <c r="AD1064" t="s">
        <v>5418</v>
      </c>
      <c r="AE1064" t="s">
        <v>19864</v>
      </c>
      <c r="AF1064" t="s">
        <v>19865</v>
      </c>
      <c r="AG1064" t="s">
        <v>19866</v>
      </c>
      <c r="AH1064" t="s">
        <v>19867</v>
      </c>
      <c r="AI1064" t="s">
        <v>19868</v>
      </c>
      <c r="AJ1064" t="s">
        <v>19869</v>
      </c>
      <c r="AK1064" t="s">
        <v>19870</v>
      </c>
      <c r="BA1064" t="str">
        <f>"1199"</f>
        <v>1199</v>
      </c>
      <c r="BB1064" t="str">
        <f>"505"</f>
        <v>505</v>
      </c>
      <c r="BC1064" t="s">
        <v>388</v>
      </c>
      <c r="BD1064" t="str">
        <f t="shared" si="195"/>
        <v>1</v>
      </c>
      <c r="BE1064" t="s">
        <v>389</v>
      </c>
      <c r="BF1064" t="str">
        <f>"35.83"</f>
        <v>35.83</v>
      </c>
      <c r="BG1064" t="str">
        <f>"35.94"</f>
        <v>35.94</v>
      </c>
      <c r="BH1064" t="str">
        <f>"26.97"</f>
        <v>26.97</v>
      </c>
      <c r="BI1064" t="str">
        <f>"88.18"</f>
        <v>88.18</v>
      </c>
      <c r="BY1064" t="str">
        <f>"20.09"</f>
        <v>20.09</v>
      </c>
      <c r="BZ1064" t="str">
        <f>"0.569"</f>
        <v>0.569</v>
      </c>
      <c r="CA1064" t="s">
        <v>431</v>
      </c>
      <c r="CK1064" t="s">
        <v>638</v>
      </c>
      <c r="CL1064" t="s">
        <v>474</v>
      </c>
      <c r="CM1064" t="s">
        <v>435</v>
      </c>
      <c r="CN1064">
        <v>0</v>
      </c>
      <c r="CO1064">
        <v>0</v>
      </c>
      <c r="CP1064" t="s">
        <v>437</v>
      </c>
      <c r="CQ1064" t="s">
        <v>399</v>
      </c>
      <c r="CX1064" t="s">
        <v>403</v>
      </c>
      <c r="CY1064" t="s">
        <v>1753</v>
      </c>
      <c r="CZ1064">
        <v>0</v>
      </c>
      <c r="DD1064">
        <v>100000</v>
      </c>
      <c r="DE1064" t="s">
        <v>439</v>
      </c>
      <c r="DH1064">
        <v>0</v>
      </c>
      <c r="DI1064">
        <v>1</v>
      </c>
      <c r="DK1064" t="s">
        <v>3153</v>
      </c>
      <c r="DL1064">
        <v>0</v>
      </c>
      <c r="DM1064" t="s">
        <v>538</v>
      </c>
      <c r="DN1064" t="s">
        <v>796</v>
      </c>
      <c r="DO1064" t="s">
        <v>635</v>
      </c>
      <c r="DP1064" t="s">
        <v>3154</v>
      </c>
      <c r="DT1064" t="s">
        <v>450</v>
      </c>
      <c r="DX1064" t="s">
        <v>956</v>
      </c>
      <c r="EA1064" t="s">
        <v>635</v>
      </c>
      <c r="EG1064" t="s">
        <v>1513</v>
      </c>
      <c r="EP1064" t="s">
        <v>435</v>
      </c>
      <c r="EQ1064" t="s">
        <v>435</v>
      </c>
      <c r="ER1064">
        <v>0</v>
      </c>
      <c r="ES1064">
        <v>0</v>
      </c>
      <c r="ET1064" t="s">
        <v>549</v>
      </c>
      <c r="EU1064">
        <v>0</v>
      </c>
      <c r="HM1064" t="s">
        <v>1754</v>
      </c>
    </row>
    <row r="1065" spans="1:354" x14ac:dyDescent="0.25">
      <c r="A1065" t="s">
        <v>19871</v>
      </c>
      <c r="B1065" t="str">
        <f>"801542222062"</f>
        <v>801542222062</v>
      </c>
      <c r="C1065" t="s">
        <v>19872</v>
      </c>
      <c r="D1065" t="s">
        <v>769</v>
      </c>
      <c r="E1065" t="s">
        <v>413</v>
      </c>
      <c r="G1065" t="str">
        <f>"91.25"</f>
        <v>91.25</v>
      </c>
      <c r="H1065" t="str">
        <f>"34.75"</f>
        <v>34.75</v>
      </c>
      <c r="I1065" t="str">
        <f>"25.25"</f>
        <v>25.25</v>
      </c>
      <c r="J1065" t="str">
        <f>"120.15"</f>
        <v>120.15</v>
      </c>
      <c r="K1065" t="s">
        <v>19343</v>
      </c>
      <c r="L1065" t="s">
        <v>3122</v>
      </c>
      <c r="N1065" t="s">
        <v>416</v>
      </c>
      <c r="O1065" t="s">
        <v>775</v>
      </c>
      <c r="T1065" t="s">
        <v>373</v>
      </c>
      <c r="U1065" t="s">
        <v>373</v>
      </c>
      <c r="W1065" t="s">
        <v>19873</v>
      </c>
      <c r="X1065" t="s">
        <v>19874</v>
      </c>
      <c r="Y1065" t="s">
        <v>19875</v>
      </c>
      <c r="Z1065" t="s">
        <v>19876</v>
      </c>
      <c r="AA1065" t="s">
        <v>19877</v>
      </c>
      <c r="AB1065" t="s">
        <v>19878</v>
      </c>
      <c r="AC1065" t="s">
        <v>19879</v>
      </c>
      <c r="AD1065" t="s">
        <v>19880</v>
      </c>
      <c r="AE1065" t="s">
        <v>19881</v>
      </c>
      <c r="BA1065" t="str">
        <f>"4099"</f>
        <v>4099</v>
      </c>
      <c r="BB1065" t="str">
        <f>"1725"</f>
        <v>1725</v>
      </c>
      <c r="BC1065" t="s">
        <v>388</v>
      </c>
      <c r="BD1065" t="str">
        <f t="shared" si="195"/>
        <v>1</v>
      </c>
      <c r="BE1065" t="s">
        <v>389</v>
      </c>
      <c r="BF1065" t="str">
        <f>"90.55"</f>
        <v>90.55</v>
      </c>
      <c r="BG1065" t="str">
        <f>"36.02"</f>
        <v>36.02</v>
      </c>
      <c r="BH1065" t="str">
        <f>"22.05"</f>
        <v>22.05</v>
      </c>
      <c r="BI1065" t="str">
        <f>"139.99"</f>
        <v>139.99</v>
      </c>
      <c r="BY1065" t="str">
        <f>"41.64"</f>
        <v>41.64</v>
      </c>
      <c r="BZ1065" t="str">
        <f>"1.179"</f>
        <v>1.179</v>
      </c>
      <c r="CA1065" t="s">
        <v>431</v>
      </c>
      <c r="CK1065" t="s">
        <v>603</v>
      </c>
      <c r="CL1065" t="s">
        <v>511</v>
      </c>
      <c r="CN1065">
        <v>0</v>
      </c>
      <c r="CO1065">
        <v>0</v>
      </c>
      <c r="CP1065" t="s">
        <v>437</v>
      </c>
      <c r="CQ1065" t="s">
        <v>438</v>
      </c>
      <c r="CX1065" t="s">
        <v>403</v>
      </c>
      <c r="CZ1065">
        <v>0</v>
      </c>
      <c r="DD1065">
        <v>0</v>
      </c>
      <c r="DE1065" t="s">
        <v>439</v>
      </c>
      <c r="DH1065">
        <v>0</v>
      </c>
      <c r="DI1065">
        <v>4</v>
      </c>
      <c r="DK1065" t="s">
        <v>2262</v>
      </c>
      <c r="DL1065">
        <v>0</v>
      </c>
      <c r="DM1065" t="s">
        <v>795</v>
      </c>
      <c r="DN1065" t="s">
        <v>1092</v>
      </c>
      <c r="DO1065" t="s">
        <v>2263</v>
      </c>
      <c r="DP1065" t="s">
        <v>611</v>
      </c>
      <c r="DT1065" t="s">
        <v>446</v>
      </c>
      <c r="DX1065" t="s">
        <v>1709</v>
      </c>
      <c r="DY1065" t="s">
        <v>3096</v>
      </c>
      <c r="DZ1065" t="s">
        <v>3097</v>
      </c>
      <c r="EA1065" t="s">
        <v>2263</v>
      </c>
      <c r="EG1065" t="s">
        <v>749</v>
      </c>
      <c r="EP1065" t="s">
        <v>3098</v>
      </c>
      <c r="EQ1065" t="s">
        <v>3099</v>
      </c>
      <c r="ET1065" t="s">
        <v>2003</v>
      </c>
    </row>
    <row r="1066" spans="1:354" x14ac:dyDescent="0.25">
      <c r="A1066" t="s">
        <v>19882</v>
      </c>
      <c r="B1066" t="str">
        <f>"801542381035"</f>
        <v>801542381035</v>
      </c>
      <c r="C1066" t="s">
        <v>19883</v>
      </c>
      <c r="D1066" t="s">
        <v>769</v>
      </c>
      <c r="E1066" t="s">
        <v>413</v>
      </c>
      <c r="G1066" t="str">
        <f>"95"</f>
        <v>95</v>
      </c>
      <c r="H1066" t="str">
        <f>"34.75"</f>
        <v>34.75</v>
      </c>
      <c r="I1066" t="str">
        <f>"27"</f>
        <v>27</v>
      </c>
      <c r="J1066" t="str">
        <f>"134.48"</f>
        <v>134.48</v>
      </c>
      <c r="K1066" t="s">
        <v>19838</v>
      </c>
      <c r="L1066" t="s">
        <v>19839</v>
      </c>
      <c r="M1066" t="s">
        <v>3138</v>
      </c>
      <c r="N1066" t="s">
        <v>416</v>
      </c>
      <c r="O1066" t="s">
        <v>775</v>
      </c>
      <c r="P1066" t="s">
        <v>555</v>
      </c>
      <c r="T1066" t="s">
        <v>373</v>
      </c>
      <c r="U1066" t="s">
        <v>373</v>
      </c>
      <c r="V1066" t="s">
        <v>19884</v>
      </c>
      <c r="W1066" t="s">
        <v>19885</v>
      </c>
      <c r="X1066" t="s">
        <v>19886</v>
      </c>
      <c r="Y1066" t="s">
        <v>19887</v>
      </c>
      <c r="Z1066" t="s">
        <v>19888</v>
      </c>
      <c r="AA1066" t="s">
        <v>19889</v>
      </c>
      <c r="AB1066" t="s">
        <v>19890</v>
      </c>
      <c r="AC1066" t="s">
        <v>19891</v>
      </c>
      <c r="AD1066" t="s">
        <v>19892</v>
      </c>
      <c r="AE1066" t="s">
        <v>19893</v>
      </c>
      <c r="AF1066" t="s">
        <v>19894</v>
      </c>
      <c r="AG1066" t="s">
        <v>19895</v>
      </c>
      <c r="AH1066" t="s">
        <v>19896</v>
      </c>
      <c r="BA1066" t="str">
        <f>"3199"</f>
        <v>3199</v>
      </c>
      <c r="BB1066" t="str">
        <f>"1345"</f>
        <v>1345</v>
      </c>
      <c r="BC1066" t="s">
        <v>388</v>
      </c>
      <c r="BD1066" t="str">
        <f t="shared" si="195"/>
        <v>1</v>
      </c>
      <c r="BE1066" t="s">
        <v>389</v>
      </c>
      <c r="BF1066" t="str">
        <f>"97.64"</f>
        <v>97.64</v>
      </c>
      <c r="BG1066" t="str">
        <f>"36.61"</f>
        <v>36.61</v>
      </c>
      <c r="BH1066" t="str">
        <f>"28.74"</f>
        <v>28.74</v>
      </c>
      <c r="BI1066" t="str">
        <f>"159.17"</f>
        <v>159.17</v>
      </c>
      <c r="BY1066" t="str">
        <f>"59.47"</f>
        <v>59.47</v>
      </c>
      <c r="BZ1066" t="str">
        <f>"1.684"</f>
        <v>1.684</v>
      </c>
      <c r="CA1066" t="s">
        <v>431</v>
      </c>
      <c r="CK1066" t="s">
        <v>2083</v>
      </c>
      <c r="CL1066" t="s">
        <v>511</v>
      </c>
      <c r="CM1066" t="s">
        <v>2905</v>
      </c>
      <c r="CN1066">
        <v>0</v>
      </c>
      <c r="CO1066">
        <v>0</v>
      </c>
      <c r="CP1066" t="s">
        <v>437</v>
      </c>
      <c r="CQ1066" t="s">
        <v>438</v>
      </c>
      <c r="CX1066" t="s">
        <v>403</v>
      </c>
      <c r="CY1066" t="s">
        <v>400</v>
      </c>
      <c r="CZ1066">
        <v>0</v>
      </c>
      <c r="DD1066">
        <v>0</v>
      </c>
      <c r="DE1066" t="s">
        <v>439</v>
      </c>
      <c r="DH1066">
        <v>0</v>
      </c>
      <c r="DI1066">
        <v>3</v>
      </c>
      <c r="DK1066" t="s">
        <v>3153</v>
      </c>
      <c r="DL1066">
        <v>0</v>
      </c>
      <c r="DM1066" t="s">
        <v>410</v>
      </c>
      <c r="DN1066" t="s">
        <v>451</v>
      </c>
      <c r="DO1066" t="s">
        <v>635</v>
      </c>
      <c r="DP1066" t="s">
        <v>574</v>
      </c>
      <c r="DT1066" t="s">
        <v>450</v>
      </c>
      <c r="DX1066" t="s">
        <v>1040</v>
      </c>
      <c r="DY1066" t="s">
        <v>1553</v>
      </c>
      <c r="DZ1066" t="s">
        <v>3336</v>
      </c>
      <c r="EA1066" t="s">
        <v>635</v>
      </c>
      <c r="EG1066" t="s">
        <v>2029</v>
      </c>
      <c r="ET1066" t="s">
        <v>549</v>
      </c>
    </row>
    <row r="1067" spans="1:354" x14ac:dyDescent="0.25">
      <c r="A1067" t="s">
        <v>19897</v>
      </c>
      <c r="B1067" t="str">
        <f>"801542382438"</f>
        <v>801542382438</v>
      </c>
      <c r="C1067" t="s">
        <v>19898</v>
      </c>
      <c r="D1067" t="s">
        <v>769</v>
      </c>
      <c r="E1067" t="s">
        <v>413</v>
      </c>
      <c r="G1067" t="str">
        <f>"95"</f>
        <v>95</v>
      </c>
      <c r="H1067" t="str">
        <f>"34.75"</f>
        <v>34.75</v>
      </c>
      <c r="I1067" t="str">
        <f>"27"</f>
        <v>27</v>
      </c>
      <c r="J1067" t="str">
        <f>"134.48"</f>
        <v>134.48</v>
      </c>
      <c r="K1067" t="s">
        <v>5409</v>
      </c>
      <c r="L1067" t="s">
        <v>19839</v>
      </c>
      <c r="M1067" t="s">
        <v>3138</v>
      </c>
      <c r="N1067" t="s">
        <v>1170</v>
      </c>
      <c r="O1067" t="s">
        <v>3084</v>
      </c>
      <c r="P1067" t="s">
        <v>775</v>
      </c>
      <c r="Q1067" t="s">
        <v>555</v>
      </c>
      <c r="T1067" t="s">
        <v>373</v>
      </c>
      <c r="U1067" t="s">
        <v>373</v>
      </c>
      <c r="V1067" t="s">
        <v>19899</v>
      </c>
      <c r="W1067" t="s">
        <v>19900</v>
      </c>
      <c r="X1067" t="s">
        <v>19901</v>
      </c>
      <c r="Y1067" t="s">
        <v>19902</v>
      </c>
      <c r="Z1067" t="s">
        <v>19903</v>
      </c>
      <c r="AA1067" t="s">
        <v>19904</v>
      </c>
      <c r="AB1067" t="s">
        <v>19905</v>
      </c>
      <c r="AC1067" t="s">
        <v>19906</v>
      </c>
      <c r="AD1067" t="s">
        <v>5418</v>
      </c>
      <c r="AE1067" t="s">
        <v>19907</v>
      </c>
      <c r="AF1067" t="s">
        <v>19908</v>
      </c>
      <c r="AG1067" t="s">
        <v>19909</v>
      </c>
      <c r="AH1067" t="s">
        <v>19910</v>
      </c>
      <c r="AI1067" t="s">
        <v>19911</v>
      </c>
      <c r="AJ1067" t="s">
        <v>19912</v>
      </c>
      <c r="AK1067" t="s">
        <v>19913</v>
      </c>
      <c r="AL1067" t="s">
        <v>19914</v>
      </c>
      <c r="AM1067" t="s">
        <v>19915</v>
      </c>
      <c r="BA1067" t="str">
        <f>"2299"</f>
        <v>2299</v>
      </c>
      <c r="BB1067" t="str">
        <f>"970"</f>
        <v>970</v>
      </c>
      <c r="BC1067" t="s">
        <v>388</v>
      </c>
      <c r="BD1067" t="str">
        <f t="shared" si="195"/>
        <v>1</v>
      </c>
      <c r="BE1067" t="s">
        <v>389</v>
      </c>
      <c r="BF1067" t="str">
        <f>"97.64"</f>
        <v>97.64</v>
      </c>
      <c r="BG1067" t="str">
        <f>"36.61"</f>
        <v>36.61</v>
      </c>
      <c r="BH1067" t="str">
        <f>"28.74"</f>
        <v>28.74</v>
      </c>
      <c r="BI1067" t="str">
        <f>"159.17"</f>
        <v>159.17</v>
      </c>
      <c r="BY1067" t="str">
        <f>"59.47"</f>
        <v>59.47</v>
      </c>
      <c r="BZ1067" t="str">
        <f>"1.684"</f>
        <v>1.684</v>
      </c>
      <c r="CA1067" t="s">
        <v>431</v>
      </c>
      <c r="CK1067" t="s">
        <v>2083</v>
      </c>
      <c r="CL1067" t="s">
        <v>511</v>
      </c>
      <c r="CM1067" t="s">
        <v>2905</v>
      </c>
      <c r="CN1067">
        <v>0</v>
      </c>
      <c r="CO1067">
        <v>0</v>
      </c>
      <c r="CP1067" t="s">
        <v>437</v>
      </c>
      <c r="CQ1067" t="s">
        <v>399</v>
      </c>
      <c r="CX1067" t="s">
        <v>403</v>
      </c>
      <c r="CY1067" t="s">
        <v>400</v>
      </c>
      <c r="CZ1067">
        <v>0</v>
      </c>
      <c r="DD1067">
        <v>100000</v>
      </c>
      <c r="DE1067" t="s">
        <v>439</v>
      </c>
      <c r="DH1067">
        <v>0</v>
      </c>
      <c r="DI1067">
        <v>3</v>
      </c>
      <c r="DK1067" t="s">
        <v>3153</v>
      </c>
      <c r="DL1067">
        <v>0</v>
      </c>
      <c r="DM1067" t="s">
        <v>410</v>
      </c>
      <c r="DN1067" t="s">
        <v>451</v>
      </c>
      <c r="DO1067" t="s">
        <v>635</v>
      </c>
      <c r="DP1067" t="s">
        <v>574</v>
      </c>
      <c r="DT1067" t="s">
        <v>450</v>
      </c>
      <c r="DX1067" t="s">
        <v>1040</v>
      </c>
      <c r="DY1067" t="s">
        <v>1553</v>
      </c>
      <c r="DZ1067" t="s">
        <v>3336</v>
      </c>
      <c r="EA1067" t="s">
        <v>635</v>
      </c>
      <c r="EG1067" t="s">
        <v>2029</v>
      </c>
      <c r="ET1067" t="s">
        <v>549</v>
      </c>
    </row>
    <row r="1068" spans="1:354" x14ac:dyDescent="0.25">
      <c r="A1068" t="s">
        <v>19916</v>
      </c>
      <c r="B1068" t="str">
        <f>"801542249281"</f>
        <v>801542249281</v>
      </c>
      <c r="C1068" t="s">
        <v>19917</v>
      </c>
      <c r="D1068" t="s">
        <v>769</v>
      </c>
      <c r="E1068" t="s">
        <v>413</v>
      </c>
      <c r="G1068" t="str">
        <f>"95"</f>
        <v>95</v>
      </c>
      <c r="H1068" t="str">
        <f>"34.75"</f>
        <v>34.75</v>
      </c>
      <c r="I1068" t="str">
        <f>"27"</f>
        <v>27</v>
      </c>
      <c r="J1068" t="str">
        <f>"134.48"</f>
        <v>134.48</v>
      </c>
      <c r="K1068" t="s">
        <v>19918</v>
      </c>
      <c r="L1068" t="s">
        <v>19839</v>
      </c>
      <c r="M1068" t="s">
        <v>3138</v>
      </c>
      <c r="N1068" t="s">
        <v>416</v>
      </c>
      <c r="O1068" t="s">
        <v>775</v>
      </c>
      <c r="P1068" t="s">
        <v>555</v>
      </c>
      <c r="T1068" t="s">
        <v>373</v>
      </c>
      <c r="U1068" t="s">
        <v>373</v>
      </c>
      <c r="V1068" t="s">
        <v>19919</v>
      </c>
      <c r="W1068" t="s">
        <v>19920</v>
      </c>
      <c r="X1068" t="s">
        <v>19921</v>
      </c>
      <c r="Y1068" t="s">
        <v>19922</v>
      </c>
      <c r="Z1068" t="s">
        <v>19923</v>
      </c>
      <c r="AA1068" t="s">
        <v>19924</v>
      </c>
      <c r="AB1068" t="s">
        <v>19925</v>
      </c>
      <c r="AC1068" t="s">
        <v>19926</v>
      </c>
      <c r="AD1068" t="s">
        <v>19927</v>
      </c>
      <c r="AE1068" t="s">
        <v>19928</v>
      </c>
      <c r="AF1068" t="s">
        <v>19929</v>
      </c>
      <c r="AG1068" t="s">
        <v>19930</v>
      </c>
      <c r="AH1068" t="s">
        <v>19931</v>
      </c>
      <c r="AI1068" t="s">
        <v>19932</v>
      </c>
      <c r="AJ1068" t="s">
        <v>19933</v>
      </c>
      <c r="AK1068" t="s">
        <v>19934</v>
      </c>
      <c r="AL1068" t="s">
        <v>19935</v>
      </c>
      <c r="AM1068" t="s">
        <v>19936</v>
      </c>
      <c r="AN1068" t="s">
        <v>19937</v>
      </c>
      <c r="AO1068" t="s">
        <v>19938</v>
      </c>
      <c r="AP1068" t="s">
        <v>19939</v>
      </c>
      <c r="AQ1068" t="s">
        <v>19940</v>
      </c>
      <c r="AR1068" t="s">
        <v>19941</v>
      </c>
      <c r="BA1068" t="str">
        <f>"4199"</f>
        <v>4199</v>
      </c>
      <c r="BB1068" t="str">
        <f>"1765"</f>
        <v>1765</v>
      </c>
      <c r="BC1068" t="s">
        <v>388</v>
      </c>
      <c r="BD1068" t="str">
        <f t="shared" si="195"/>
        <v>1</v>
      </c>
      <c r="BE1068" t="s">
        <v>389</v>
      </c>
      <c r="BF1068" t="str">
        <f>"97.64"</f>
        <v>97.64</v>
      </c>
      <c r="BG1068" t="str">
        <f>"36.61"</f>
        <v>36.61</v>
      </c>
      <c r="BH1068" t="str">
        <f>"28.74"</f>
        <v>28.74</v>
      </c>
      <c r="BI1068" t="str">
        <f>"159.17"</f>
        <v>159.17</v>
      </c>
      <c r="BY1068" t="str">
        <f>"59.47"</f>
        <v>59.47</v>
      </c>
      <c r="BZ1068" t="str">
        <f>"1.684"</f>
        <v>1.684</v>
      </c>
      <c r="CA1068" t="s">
        <v>431</v>
      </c>
      <c r="CK1068" t="s">
        <v>2083</v>
      </c>
      <c r="CL1068" t="s">
        <v>511</v>
      </c>
      <c r="CM1068" t="s">
        <v>2905</v>
      </c>
      <c r="CN1068">
        <v>0</v>
      </c>
      <c r="CO1068">
        <v>0</v>
      </c>
      <c r="CP1068" t="s">
        <v>437</v>
      </c>
      <c r="CQ1068" t="s">
        <v>438</v>
      </c>
      <c r="CX1068" t="s">
        <v>403</v>
      </c>
      <c r="CY1068" t="s">
        <v>400</v>
      </c>
      <c r="CZ1068">
        <v>0</v>
      </c>
      <c r="DD1068">
        <v>0</v>
      </c>
      <c r="DE1068" t="s">
        <v>439</v>
      </c>
      <c r="DH1068">
        <v>0</v>
      </c>
      <c r="DI1068">
        <v>3</v>
      </c>
      <c r="DK1068" t="s">
        <v>3153</v>
      </c>
      <c r="DL1068">
        <v>0</v>
      </c>
      <c r="DM1068" t="s">
        <v>410</v>
      </c>
      <c r="DN1068" t="s">
        <v>451</v>
      </c>
      <c r="DO1068" t="s">
        <v>635</v>
      </c>
      <c r="DP1068" t="s">
        <v>574</v>
      </c>
      <c r="DT1068" t="s">
        <v>450</v>
      </c>
      <c r="DX1068" t="s">
        <v>1040</v>
      </c>
      <c r="DY1068" t="s">
        <v>1553</v>
      </c>
      <c r="DZ1068" t="s">
        <v>3336</v>
      </c>
      <c r="EA1068" t="s">
        <v>635</v>
      </c>
      <c r="EG1068" t="s">
        <v>2029</v>
      </c>
      <c r="ET1068" t="s">
        <v>549</v>
      </c>
    </row>
    <row r="1069" spans="1:354" x14ac:dyDescent="0.25">
      <c r="A1069" t="s">
        <v>19942</v>
      </c>
      <c r="B1069" t="str">
        <f>"801542295851"</f>
        <v>801542295851</v>
      </c>
      <c r="C1069" t="s">
        <v>19943</v>
      </c>
      <c r="D1069" t="s">
        <v>769</v>
      </c>
      <c r="E1069" t="s">
        <v>515</v>
      </c>
      <c r="F1069" t="s">
        <v>516</v>
      </c>
      <c r="G1069" t="str">
        <f>"30.75"</f>
        <v>30.75</v>
      </c>
      <c r="H1069" t="str">
        <f>"33.75"</f>
        <v>33.75</v>
      </c>
      <c r="I1069" t="str">
        <f>"35"</f>
        <v>35</v>
      </c>
      <c r="J1069" t="str">
        <f>"39.68"</f>
        <v>39.68</v>
      </c>
      <c r="K1069" t="s">
        <v>19944</v>
      </c>
      <c r="L1069" t="s">
        <v>1518</v>
      </c>
      <c r="N1069" t="s">
        <v>371</v>
      </c>
      <c r="O1069" t="s">
        <v>775</v>
      </c>
      <c r="T1069" t="s">
        <v>373</v>
      </c>
      <c r="U1069" t="s">
        <v>402</v>
      </c>
      <c r="V1069" t="s">
        <v>19945</v>
      </c>
      <c r="W1069" t="s">
        <v>19946</v>
      </c>
      <c r="X1069" t="s">
        <v>19947</v>
      </c>
      <c r="Y1069" t="s">
        <v>19948</v>
      </c>
      <c r="Z1069" t="s">
        <v>19949</v>
      </c>
      <c r="AA1069" t="s">
        <v>19950</v>
      </c>
      <c r="AB1069" t="s">
        <v>19951</v>
      </c>
      <c r="AC1069" t="s">
        <v>19952</v>
      </c>
      <c r="AD1069" t="s">
        <v>19953</v>
      </c>
      <c r="AE1069" t="s">
        <v>19954</v>
      </c>
      <c r="AF1069" t="s">
        <v>19955</v>
      </c>
      <c r="AG1069" t="s">
        <v>19956</v>
      </c>
      <c r="AH1069" t="s">
        <v>19957</v>
      </c>
      <c r="BA1069" t="str">
        <f>"899"</f>
        <v>899</v>
      </c>
      <c r="BB1069" t="str">
        <f>"380"</f>
        <v>380</v>
      </c>
      <c r="BC1069" t="s">
        <v>388</v>
      </c>
      <c r="BD1069" t="str">
        <f t="shared" si="195"/>
        <v>1</v>
      </c>
      <c r="BE1069" t="s">
        <v>739</v>
      </c>
      <c r="BF1069" t="str">
        <f>"31.1"</f>
        <v>31.1</v>
      </c>
      <c r="BG1069" t="str">
        <f>"35.04"</f>
        <v>35.04</v>
      </c>
      <c r="BH1069" t="str">
        <f>"36.61"</f>
        <v>36.61</v>
      </c>
      <c r="BI1069" t="str">
        <f>"52.91"</f>
        <v>52.91</v>
      </c>
      <c r="BY1069" t="str">
        <f>"18.5"</f>
        <v>18.5</v>
      </c>
      <c r="BZ1069" t="str">
        <f>"0.524"</f>
        <v>0.524</v>
      </c>
      <c r="CA1069" t="s">
        <v>431</v>
      </c>
      <c r="CK1069" t="s">
        <v>1491</v>
      </c>
      <c r="CL1069" t="s">
        <v>511</v>
      </c>
      <c r="CN1069">
        <v>0</v>
      </c>
      <c r="CO1069">
        <v>1</v>
      </c>
      <c r="CP1069" t="s">
        <v>437</v>
      </c>
      <c r="CQ1069" t="s">
        <v>631</v>
      </c>
      <c r="CX1069" t="s">
        <v>403</v>
      </c>
      <c r="CY1069" t="s">
        <v>400</v>
      </c>
      <c r="CZ1069">
        <v>0</v>
      </c>
      <c r="DD1069">
        <v>25000</v>
      </c>
      <c r="DE1069" t="s">
        <v>439</v>
      </c>
      <c r="DF1069" t="s">
        <v>632</v>
      </c>
      <c r="DG1069" t="s">
        <v>1808</v>
      </c>
      <c r="DH1069">
        <v>1</v>
      </c>
      <c r="DI1069">
        <v>1</v>
      </c>
      <c r="DK1069" t="s">
        <v>19958</v>
      </c>
      <c r="DL1069">
        <v>0</v>
      </c>
      <c r="DM1069" t="s">
        <v>538</v>
      </c>
      <c r="DN1069" t="s">
        <v>435</v>
      </c>
      <c r="DO1069" t="s">
        <v>1156</v>
      </c>
      <c r="DP1069" t="s">
        <v>3020</v>
      </c>
      <c r="DT1069" t="s">
        <v>3638</v>
      </c>
      <c r="DX1069" t="s">
        <v>610</v>
      </c>
      <c r="DY1069" t="s">
        <v>534</v>
      </c>
      <c r="DZ1069" t="s">
        <v>2382</v>
      </c>
      <c r="EA1069" t="s">
        <v>449</v>
      </c>
      <c r="ED1069" t="s">
        <v>632</v>
      </c>
      <c r="EG1069" t="s">
        <v>749</v>
      </c>
      <c r="EP1069" t="s">
        <v>2082</v>
      </c>
      <c r="EQ1069" t="s">
        <v>2074</v>
      </c>
      <c r="ER1069">
        <v>0</v>
      </c>
      <c r="ES1069">
        <v>0</v>
      </c>
      <c r="ET1069" t="s">
        <v>549</v>
      </c>
      <c r="EU1069">
        <v>0</v>
      </c>
      <c r="KH1069" t="s">
        <v>402</v>
      </c>
    </row>
    <row r="1070" spans="1:354" x14ac:dyDescent="0.25">
      <c r="A1070" t="s">
        <v>19959</v>
      </c>
      <c r="B1070" t="str">
        <f>"801542243159"</f>
        <v>801542243159</v>
      </c>
      <c r="C1070" t="s">
        <v>19960</v>
      </c>
      <c r="D1070" t="s">
        <v>3355</v>
      </c>
      <c r="E1070" t="s">
        <v>459</v>
      </c>
      <c r="G1070" t="str">
        <f>"10"</f>
        <v>10</v>
      </c>
      <c r="H1070" t="str">
        <f>"10"</f>
        <v>10</v>
      </c>
      <c r="I1070" t="str">
        <f>"20"</f>
        <v>20</v>
      </c>
      <c r="J1070" t="str">
        <f>"22.7"</f>
        <v>22.7</v>
      </c>
      <c r="K1070" t="s">
        <v>7763</v>
      </c>
      <c r="L1070" t="s">
        <v>1987</v>
      </c>
      <c r="M1070" t="s">
        <v>19961</v>
      </c>
      <c r="N1070" t="s">
        <v>6002</v>
      </c>
      <c r="O1070" t="s">
        <v>1876</v>
      </c>
      <c r="P1070" t="s">
        <v>1699</v>
      </c>
      <c r="T1070" t="s">
        <v>373</v>
      </c>
      <c r="U1070" t="s">
        <v>373</v>
      </c>
      <c r="V1070" t="s">
        <v>19962</v>
      </c>
      <c r="W1070" t="s">
        <v>19963</v>
      </c>
      <c r="X1070" t="s">
        <v>19964</v>
      </c>
      <c r="Y1070" t="s">
        <v>19965</v>
      </c>
      <c r="Z1070" t="s">
        <v>19966</v>
      </c>
      <c r="AA1070" t="s">
        <v>19967</v>
      </c>
      <c r="AB1070" t="s">
        <v>19968</v>
      </c>
      <c r="AC1070" t="s">
        <v>19969</v>
      </c>
      <c r="BA1070" t="str">
        <f>"249"</f>
        <v>249</v>
      </c>
      <c r="BB1070" t="str">
        <f>"105"</f>
        <v>105</v>
      </c>
      <c r="BC1070" t="s">
        <v>949</v>
      </c>
      <c r="BD1070" t="str">
        <f t="shared" si="195"/>
        <v>1</v>
      </c>
      <c r="BE1070" t="s">
        <v>389</v>
      </c>
      <c r="BF1070" t="str">
        <f>"13.27"</f>
        <v>13.27</v>
      </c>
      <c r="BG1070" t="str">
        <f>"9.02"</f>
        <v>9.02</v>
      </c>
      <c r="BH1070" t="str">
        <f>"21.5"</f>
        <v>21.5</v>
      </c>
      <c r="BI1070" t="str">
        <f>"26.46"</f>
        <v>26.46</v>
      </c>
      <c r="BY1070" t="str">
        <f>"1.48"</f>
        <v>1.48</v>
      </c>
      <c r="BZ1070" t="str">
        <f>"0.042"</f>
        <v>0.042</v>
      </c>
      <c r="CA1070" t="s">
        <v>495</v>
      </c>
      <c r="CR1070" t="s">
        <v>400</v>
      </c>
      <c r="CS1070">
        <v>0</v>
      </c>
      <c r="CT1070" t="s">
        <v>400</v>
      </c>
      <c r="CV1070">
        <v>0</v>
      </c>
      <c r="CY1070" t="s">
        <v>291</v>
      </c>
      <c r="DC1070">
        <v>0</v>
      </c>
      <c r="DJ1070" t="s">
        <v>1132</v>
      </c>
      <c r="DK1070" t="s">
        <v>19970</v>
      </c>
      <c r="DM1070" t="s">
        <v>473</v>
      </c>
      <c r="EI1070" t="s">
        <v>446</v>
      </c>
      <c r="EJ1070" t="s">
        <v>446</v>
      </c>
      <c r="EK1070" t="s">
        <v>446</v>
      </c>
      <c r="EL1070" t="s">
        <v>6662</v>
      </c>
      <c r="EN1070">
        <v>0</v>
      </c>
      <c r="EO1070">
        <v>0</v>
      </c>
      <c r="EX1070" t="s">
        <v>475</v>
      </c>
      <c r="KH1070" t="s">
        <v>402</v>
      </c>
      <c r="MO1070" t="s">
        <v>796</v>
      </c>
      <c r="MP1070" t="s">
        <v>602</v>
      </c>
    </row>
    <row r="1071" spans="1:354" x14ac:dyDescent="0.25">
      <c r="A1071" t="s">
        <v>19971</v>
      </c>
      <c r="B1071" t="str">
        <f>"801542509125"</f>
        <v>801542509125</v>
      </c>
      <c r="C1071" t="s">
        <v>19972</v>
      </c>
      <c r="D1071" t="s">
        <v>3355</v>
      </c>
      <c r="E1071" t="s">
        <v>459</v>
      </c>
      <c r="G1071" t="str">
        <f>"18"</f>
        <v>18</v>
      </c>
      <c r="H1071" t="str">
        <f>"18"</f>
        <v>18</v>
      </c>
      <c r="I1071" t="str">
        <f>"20"</f>
        <v>20</v>
      </c>
      <c r="J1071" t="str">
        <f>"19.4"</f>
        <v>19.4</v>
      </c>
      <c r="K1071" t="s">
        <v>5493</v>
      </c>
      <c r="N1071" t="s">
        <v>555</v>
      </c>
      <c r="T1071" t="s">
        <v>373</v>
      </c>
      <c r="U1071" t="s">
        <v>373</v>
      </c>
      <c r="V1071" t="s">
        <v>19973</v>
      </c>
      <c r="W1071" t="s">
        <v>19974</v>
      </c>
      <c r="X1071" t="s">
        <v>19975</v>
      </c>
      <c r="Y1071" t="s">
        <v>19976</v>
      </c>
      <c r="Z1071" t="s">
        <v>19977</v>
      </c>
      <c r="AA1071" t="s">
        <v>19978</v>
      </c>
      <c r="AB1071" t="s">
        <v>19979</v>
      </c>
      <c r="AC1071" t="s">
        <v>19980</v>
      </c>
      <c r="AD1071" t="s">
        <v>19981</v>
      </c>
      <c r="AE1071" t="s">
        <v>19982</v>
      </c>
      <c r="AF1071" t="s">
        <v>19983</v>
      </c>
      <c r="BA1071" t="str">
        <f>"449"</f>
        <v>449</v>
      </c>
      <c r="BB1071" t="str">
        <f>"190"</f>
        <v>190</v>
      </c>
      <c r="BC1071" t="s">
        <v>949</v>
      </c>
      <c r="BD1071" t="str">
        <f t="shared" si="195"/>
        <v>1</v>
      </c>
      <c r="BE1071" t="s">
        <v>389</v>
      </c>
      <c r="BF1071" t="str">
        <f>"22.75"</f>
        <v>22.75</v>
      </c>
      <c r="BG1071" t="str">
        <f>"23.25"</f>
        <v>23.25</v>
      </c>
      <c r="BH1071" t="str">
        <f>"26.75"</f>
        <v>26.75</v>
      </c>
      <c r="BI1071" t="str">
        <f>"36.38"</f>
        <v>36.38</v>
      </c>
      <c r="BY1071" t="str">
        <f>"8.19"</f>
        <v>8.19</v>
      </c>
      <c r="BZ1071" t="str">
        <f>"0.232"</f>
        <v>0.232</v>
      </c>
      <c r="CA1071" t="s">
        <v>495</v>
      </c>
      <c r="CR1071" t="s">
        <v>400</v>
      </c>
      <c r="CS1071">
        <v>0</v>
      </c>
      <c r="CT1071" t="s">
        <v>400</v>
      </c>
      <c r="CV1071">
        <v>0</v>
      </c>
      <c r="CY1071" t="s">
        <v>400</v>
      </c>
      <c r="DC1071">
        <v>0</v>
      </c>
      <c r="DJ1071" t="s">
        <v>471</v>
      </c>
      <c r="DK1071" t="s">
        <v>3364</v>
      </c>
      <c r="DM1071" t="s">
        <v>473</v>
      </c>
      <c r="EI1071" t="s">
        <v>449</v>
      </c>
      <c r="EJ1071" t="s">
        <v>602</v>
      </c>
      <c r="EK1071" t="s">
        <v>449</v>
      </c>
      <c r="EL1071" t="s">
        <v>1348</v>
      </c>
      <c r="EM1071" t="s">
        <v>402</v>
      </c>
      <c r="EN1071">
        <v>0</v>
      </c>
      <c r="EO1071">
        <v>0</v>
      </c>
    </row>
    <row r="1072" spans="1:354" x14ac:dyDescent="0.25">
      <c r="A1072" t="s">
        <v>19984</v>
      </c>
      <c r="B1072" t="str">
        <f>"801542260408"</f>
        <v>801542260408</v>
      </c>
      <c r="C1072" t="s">
        <v>19985</v>
      </c>
      <c r="D1072" t="s">
        <v>12848</v>
      </c>
      <c r="E1072" t="s">
        <v>2006</v>
      </c>
      <c r="F1072" t="s">
        <v>2040</v>
      </c>
      <c r="G1072" t="str">
        <f>"77.5"</f>
        <v>77.5</v>
      </c>
      <c r="H1072" t="str">
        <f>"83.5"</f>
        <v>83.5</v>
      </c>
      <c r="I1072" t="str">
        <f>"51.5"</f>
        <v>51.5</v>
      </c>
      <c r="J1072" t="str">
        <f>"149.77"</f>
        <v>149.77</v>
      </c>
      <c r="K1072" t="s">
        <v>19986</v>
      </c>
      <c r="N1072" t="s">
        <v>555</v>
      </c>
      <c r="T1072" t="s">
        <v>373</v>
      </c>
      <c r="U1072" t="s">
        <v>373</v>
      </c>
      <c r="V1072" t="s">
        <v>19987</v>
      </c>
      <c r="W1072" t="s">
        <v>19988</v>
      </c>
      <c r="X1072" t="s">
        <v>19989</v>
      </c>
      <c r="Y1072" t="s">
        <v>19990</v>
      </c>
      <c r="Z1072" t="s">
        <v>19991</v>
      </c>
      <c r="AA1072" t="s">
        <v>19992</v>
      </c>
      <c r="AB1072" t="s">
        <v>19993</v>
      </c>
      <c r="AC1072" t="s">
        <v>19994</v>
      </c>
      <c r="AD1072" t="s">
        <v>19995</v>
      </c>
      <c r="AE1072" t="s">
        <v>19996</v>
      </c>
      <c r="AF1072" t="s">
        <v>19997</v>
      </c>
      <c r="BA1072" t="str">
        <f>"1199"</f>
        <v>1199</v>
      </c>
      <c r="BB1072" t="str">
        <f>"505"</f>
        <v>505</v>
      </c>
      <c r="BC1072" t="s">
        <v>949</v>
      </c>
      <c r="BD1072" t="str">
        <f>"2"</f>
        <v>2</v>
      </c>
      <c r="BE1072" t="s">
        <v>19998</v>
      </c>
      <c r="BF1072" t="str">
        <f>"81"</f>
        <v>81</v>
      </c>
      <c r="BG1072" t="str">
        <f>"6"</f>
        <v>6</v>
      </c>
      <c r="BH1072" t="str">
        <f>"52"</f>
        <v>52</v>
      </c>
      <c r="BI1072" t="str">
        <f>"77.16"</f>
        <v>77.16</v>
      </c>
      <c r="BJ1072" t="s">
        <v>19999</v>
      </c>
      <c r="BK1072" t="str">
        <f>"83.25"</f>
        <v>83.25</v>
      </c>
      <c r="BL1072" t="str">
        <f>"5.25"</f>
        <v>5.25</v>
      </c>
      <c r="BM1072" t="str">
        <f>"16.5"</f>
        <v>16.5</v>
      </c>
      <c r="BN1072" t="str">
        <f>"104.5"</f>
        <v>104.5</v>
      </c>
      <c r="BY1072" t="str">
        <f>"18.79"</f>
        <v>18.79</v>
      </c>
      <c r="BZ1072" t="str">
        <f>"0.532"</f>
        <v>0.532</v>
      </c>
      <c r="CA1072" t="s">
        <v>495</v>
      </c>
      <c r="CR1072" t="s">
        <v>400</v>
      </c>
      <c r="CS1072">
        <v>0</v>
      </c>
      <c r="CT1072" t="s">
        <v>400</v>
      </c>
      <c r="CV1072">
        <v>0</v>
      </c>
      <c r="CY1072" t="s">
        <v>400</v>
      </c>
      <c r="DA1072">
        <v>0</v>
      </c>
      <c r="DB1072">
        <v>0</v>
      </c>
      <c r="DC1072">
        <v>0</v>
      </c>
      <c r="DK1072" t="s">
        <v>20000</v>
      </c>
      <c r="DM1072" t="s">
        <v>2028</v>
      </c>
      <c r="EN1072">
        <v>0</v>
      </c>
      <c r="HN1072" t="s">
        <v>830</v>
      </c>
      <c r="HO1072" t="s">
        <v>830</v>
      </c>
      <c r="HP1072" t="s">
        <v>830</v>
      </c>
      <c r="HQ1072" t="s">
        <v>608</v>
      </c>
      <c r="HR1072" t="s">
        <v>6662</v>
      </c>
      <c r="HS1072" t="s">
        <v>2907</v>
      </c>
      <c r="HT1072" t="s">
        <v>5743</v>
      </c>
      <c r="HU1072" t="s">
        <v>6662</v>
      </c>
      <c r="HV1072" t="s">
        <v>2907</v>
      </c>
      <c r="HW1072" t="s">
        <v>5406</v>
      </c>
      <c r="HX1072" t="s">
        <v>20001</v>
      </c>
      <c r="HY1072" t="s">
        <v>639</v>
      </c>
      <c r="HZ1072" t="s">
        <v>637</v>
      </c>
      <c r="IA1072" t="s">
        <v>5406</v>
      </c>
      <c r="IB1072" t="s">
        <v>637</v>
      </c>
      <c r="IC1072" t="s">
        <v>402</v>
      </c>
      <c r="ID1072" t="s">
        <v>2176</v>
      </c>
      <c r="IE1072" t="s">
        <v>1312</v>
      </c>
      <c r="IF1072" t="s">
        <v>20002</v>
      </c>
      <c r="IG1072" t="s">
        <v>2040</v>
      </c>
      <c r="IM1072" t="s">
        <v>20003</v>
      </c>
      <c r="IN1072" t="s">
        <v>445</v>
      </c>
      <c r="IO1072" t="s">
        <v>827</v>
      </c>
      <c r="IP1072" t="s">
        <v>402</v>
      </c>
    </row>
    <row r="1073" spans="1:250" x14ac:dyDescent="0.25">
      <c r="A1073" t="s">
        <v>20004</v>
      </c>
      <c r="B1073" t="str">
        <f>"801542248994"</f>
        <v>801542248994</v>
      </c>
      <c r="C1073" t="s">
        <v>19985</v>
      </c>
      <c r="D1073" t="s">
        <v>12848</v>
      </c>
      <c r="E1073" t="s">
        <v>2006</v>
      </c>
      <c r="F1073" t="s">
        <v>2007</v>
      </c>
      <c r="G1073" t="str">
        <f>"61.5"</f>
        <v>61.5</v>
      </c>
      <c r="H1073" t="str">
        <f>"83.5"</f>
        <v>83.5</v>
      </c>
      <c r="I1073" t="str">
        <f>"51.5"</f>
        <v>51.5</v>
      </c>
      <c r="J1073" t="str">
        <f>"118.94"</f>
        <v>118.94</v>
      </c>
      <c r="K1073" t="s">
        <v>19986</v>
      </c>
      <c r="N1073" t="s">
        <v>555</v>
      </c>
      <c r="T1073" t="s">
        <v>373</v>
      </c>
      <c r="U1073" t="s">
        <v>373</v>
      </c>
      <c r="V1073" t="s">
        <v>19987</v>
      </c>
      <c r="W1073" t="s">
        <v>20005</v>
      </c>
      <c r="X1073" t="s">
        <v>20006</v>
      </c>
      <c r="Y1073" t="s">
        <v>20007</v>
      </c>
      <c r="Z1073" t="s">
        <v>20008</v>
      </c>
      <c r="AA1073" t="s">
        <v>20009</v>
      </c>
      <c r="AB1073" t="s">
        <v>20010</v>
      </c>
      <c r="AC1073" t="s">
        <v>20011</v>
      </c>
      <c r="AD1073" t="s">
        <v>20012</v>
      </c>
      <c r="AE1073" t="s">
        <v>20013</v>
      </c>
      <c r="AF1073" t="s">
        <v>20014</v>
      </c>
      <c r="BA1073" t="str">
        <f>"999"</f>
        <v>999</v>
      </c>
      <c r="BB1073" t="str">
        <f>"420"</f>
        <v>420</v>
      </c>
      <c r="BC1073" t="s">
        <v>949</v>
      </c>
      <c r="BD1073" t="str">
        <f>"2"</f>
        <v>2</v>
      </c>
      <c r="BE1073" t="s">
        <v>3541</v>
      </c>
      <c r="BF1073" t="str">
        <f>"64"</f>
        <v>64</v>
      </c>
      <c r="BG1073" t="str">
        <f>"6"</f>
        <v>6</v>
      </c>
      <c r="BH1073" t="str">
        <f>"53"</f>
        <v>53</v>
      </c>
      <c r="BI1073" t="str">
        <f>"66.58"</f>
        <v>66.58</v>
      </c>
      <c r="BJ1073" t="s">
        <v>20015</v>
      </c>
      <c r="BK1073" t="str">
        <f>"83.25"</f>
        <v>83.25</v>
      </c>
      <c r="BL1073" t="str">
        <f>"5.25"</f>
        <v>5.25</v>
      </c>
      <c r="BM1073" t="str">
        <f>"16.5"</f>
        <v>16.5</v>
      </c>
      <c r="BN1073" t="str">
        <f>"72.75"</f>
        <v>72.75</v>
      </c>
      <c r="BY1073" t="str">
        <f>"15.96"</f>
        <v>15.96</v>
      </c>
      <c r="BZ1073" t="str">
        <f>"0.452"</f>
        <v>0.452</v>
      </c>
      <c r="CA1073" t="s">
        <v>431</v>
      </c>
      <c r="CR1073" t="s">
        <v>400</v>
      </c>
      <c r="CS1073">
        <v>0</v>
      </c>
      <c r="CT1073" t="s">
        <v>400</v>
      </c>
      <c r="CV1073">
        <v>0</v>
      </c>
      <c r="CY1073" t="s">
        <v>400</v>
      </c>
      <c r="DA1073">
        <v>0</v>
      </c>
      <c r="DB1073">
        <v>0</v>
      </c>
      <c r="DC1073">
        <v>0</v>
      </c>
      <c r="DK1073" t="s">
        <v>20000</v>
      </c>
      <c r="DM1073" t="s">
        <v>2028</v>
      </c>
      <c r="EN1073">
        <v>0</v>
      </c>
      <c r="HN1073" t="s">
        <v>830</v>
      </c>
      <c r="HO1073" t="s">
        <v>830</v>
      </c>
      <c r="HP1073" t="s">
        <v>830</v>
      </c>
      <c r="HQ1073" t="s">
        <v>608</v>
      </c>
      <c r="HR1073" t="s">
        <v>6662</v>
      </c>
      <c r="HS1073" t="s">
        <v>6354</v>
      </c>
      <c r="HT1073" t="s">
        <v>5743</v>
      </c>
      <c r="HU1073" t="s">
        <v>6662</v>
      </c>
      <c r="HV1073" t="s">
        <v>6354</v>
      </c>
      <c r="HW1073" t="s">
        <v>5406</v>
      </c>
      <c r="HX1073" t="s">
        <v>20001</v>
      </c>
      <c r="HY1073" t="s">
        <v>2927</v>
      </c>
      <c r="HZ1073" t="s">
        <v>637</v>
      </c>
      <c r="IA1073" t="s">
        <v>5406</v>
      </c>
      <c r="IB1073" t="s">
        <v>637</v>
      </c>
      <c r="IC1073" t="s">
        <v>402</v>
      </c>
      <c r="ID1073" t="s">
        <v>2176</v>
      </c>
      <c r="IE1073" t="s">
        <v>1312</v>
      </c>
      <c r="IF1073" t="s">
        <v>20002</v>
      </c>
      <c r="IG1073" t="s">
        <v>2007</v>
      </c>
      <c r="IM1073" t="s">
        <v>20003</v>
      </c>
      <c r="IN1073" t="s">
        <v>445</v>
      </c>
      <c r="IO1073" t="s">
        <v>827</v>
      </c>
      <c r="IP1073" t="s">
        <v>402</v>
      </c>
    </row>
    <row r="1074" spans="1:250" x14ac:dyDescent="0.25">
      <c r="A1074" t="s">
        <v>20016</v>
      </c>
      <c r="B1074" t="str">
        <f>"801542266677"</f>
        <v>801542266677</v>
      </c>
      <c r="C1074" t="s">
        <v>19985</v>
      </c>
      <c r="D1074" t="s">
        <v>12848</v>
      </c>
      <c r="E1074" t="s">
        <v>2006</v>
      </c>
      <c r="F1074" t="s">
        <v>2981</v>
      </c>
      <c r="G1074" t="str">
        <f>"40.5"</f>
        <v>40.5</v>
      </c>
      <c r="H1074" t="str">
        <f>"78.5"</f>
        <v>78.5</v>
      </c>
      <c r="I1074" t="str">
        <f>"51.5"</f>
        <v>51.5</v>
      </c>
      <c r="J1074" t="str">
        <f>"90.3"</f>
        <v>90.3</v>
      </c>
      <c r="K1074" t="s">
        <v>19986</v>
      </c>
      <c r="N1074" t="s">
        <v>555</v>
      </c>
      <c r="T1074" t="s">
        <v>373</v>
      </c>
      <c r="U1074" t="s">
        <v>373</v>
      </c>
      <c r="V1074" t="s">
        <v>20017</v>
      </c>
      <c r="W1074" t="s">
        <v>20018</v>
      </c>
      <c r="X1074" t="s">
        <v>20019</v>
      </c>
      <c r="Y1074" t="s">
        <v>20020</v>
      </c>
      <c r="Z1074" t="s">
        <v>20021</v>
      </c>
      <c r="AA1074" t="s">
        <v>20022</v>
      </c>
      <c r="AB1074" t="s">
        <v>20023</v>
      </c>
      <c r="AC1074" t="s">
        <v>20024</v>
      </c>
      <c r="AD1074" t="s">
        <v>20025</v>
      </c>
      <c r="AE1074" t="s">
        <v>20026</v>
      </c>
      <c r="AF1074" t="s">
        <v>20027</v>
      </c>
      <c r="BA1074" t="str">
        <f>"799"</f>
        <v>799</v>
      </c>
      <c r="BB1074" t="str">
        <f>"340"</f>
        <v>340</v>
      </c>
      <c r="BC1074" t="s">
        <v>949</v>
      </c>
      <c r="BD1074" t="str">
        <f>"2"</f>
        <v>2</v>
      </c>
      <c r="BE1074" t="s">
        <v>3541</v>
      </c>
      <c r="BF1074" t="str">
        <f>"43.5"</f>
        <v>43.5</v>
      </c>
      <c r="BG1074" t="str">
        <f>"6"</f>
        <v>6</v>
      </c>
      <c r="BH1074" t="str">
        <f>"53"</f>
        <v>53</v>
      </c>
      <c r="BI1074" t="str">
        <f>"51.15"</f>
        <v>51.15</v>
      </c>
      <c r="BJ1074" t="s">
        <v>20028</v>
      </c>
      <c r="BK1074" t="str">
        <f>"78.5"</f>
        <v>78.5</v>
      </c>
      <c r="BL1074" t="str">
        <f>"5.5"</f>
        <v>5.5</v>
      </c>
      <c r="BM1074" t="str">
        <f>"16"</f>
        <v>16</v>
      </c>
      <c r="BN1074" t="str">
        <f>"67.02"</f>
        <v>67.02</v>
      </c>
      <c r="BY1074" t="str">
        <f>"12.01"</f>
        <v>12.01</v>
      </c>
      <c r="BZ1074" t="str">
        <f>"0.34"</f>
        <v>0.34</v>
      </c>
      <c r="CA1074" t="s">
        <v>495</v>
      </c>
      <c r="CR1074" t="s">
        <v>400</v>
      </c>
      <c r="CS1074">
        <v>0</v>
      </c>
      <c r="CT1074" t="s">
        <v>400</v>
      </c>
      <c r="CV1074">
        <v>0</v>
      </c>
      <c r="CY1074" t="s">
        <v>400</v>
      </c>
      <c r="DA1074">
        <v>0</v>
      </c>
      <c r="DB1074">
        <v>0</v>
      </c>
      <c r="DC1074">
        <v>0</v>
      </c>
      <c r="DK1074" t="s">
        <v>20000</v>
      </c>
      <c r="DM1074" t="s">
        <v>2028</v>
      </c>
      <c r="EN1074">
        <v>0</v>
      </c>
      <c r="HN1074" t="s">
        <v>830</v>
      </c>
      <c r="HO1074" t="s">
        <v>830</v>
      </c>
      <c r="HP1074" t="s">
        <v>830</v>
      </c>
      <c r="HQ1074" t="s">
        <v>608</v>
      </c>
      <c r="HR1074" t="s">
        <v>6662</v>
      </c>
      <c r="HS1074" t="s">
        <v>3633</v>
      </c>
      <c r="HT1074" t="s">
        <v>5743</v>
      </c>
      <c r="HU1074" t="s">
        <v>6662</v>
      </c>
      <c r="HV1074" t="s">
        <v>3633</v>
      </c>
      <c r="HW1074" t="s">
        <v>642</v>
      </c>
      <c r="HX1074" t="s">
        <v>20001</v>
      </c>
      <c r="HY1074" t="s">
        <v>3023</v>
      </c>
      <c r="HZ1074" t="s">
        <v>637</v>
      </c>
      <c r="IA1074" t="s">
        <v>642</v>
      </c>
      <c r="IB1074" t="s">
        <v>637</v>
      </c>
      <c r="IC1074" t="s">
        <v>402</v>
      </c>
      <c r="ID1074" t="s">
        <v>2176</v>
      </c>
      <c r="IE1074" t="s">
        <v>1312</v>
      </c>
      <c r="IF1074" t="s">
        <v>20002</v>
      </c>
      <c r="IG1074" t="s">
        <v>2981</v>
      </c>
      <c r="IM1074" t="s">
        <v>2080</v>
      </c>
      <c r="IN1074" t="s">
        <v>445</v>
      </c>
      <c r="IO1074" t="s">
        <v>827</v>
      </c>
      <c r="IP1074" t="s">
        <v>402</v>
      </c>
    </row>
    <row r="1075" spans="1:250" x14ac:dyDescent="0.25">
      <c r="A1075" t="s">
        <v>20029</v>
      </c>
      <c r="B1075" t="str">
        <f>"801542442026"</f>
        <v>801542442026</v>
      </c>
      <c r="C1075" t="s">
        <v>20030</v>
      </c>
      <c r="D1075" t="s">
        <v>20031</v>
      </c>
      <c r="E1075" t="s">
        <v>1021</v>
      </c>
      <c r="G1075" t="str">
        <f>"72"</f>
        <v>72</v>
      </c>
      <c r="H1075" t="str">
        <f>"18"</f>
        <v>18</v>
      </c>
      <c r="I1075" t="str">
        <f>"27"</f>
        <v>27</v>
      </c>
      <c r="J1075" t="str">
        <f>"153.88"</f>
        <v>153.88</v>
      </c>
      <c r="K1075" t="s">
        <v>8340</v>
      </c>
      <c r="L1075" t="s">
        <v>20032</v>
      </c>
      <c r="N1075" t="s">
        <v>555</v>
      </c>
      <c r="T1075" t="s">
        <v>373</v>
      </c>
      <c r="U1075" t="s">
        <v>373</v>
      </c>
      <c r="V1075" t="s">
        <v>20033</v>
      </c>
      <c r="W1075" t="s">
        <v>20034</v>
      </c>
      <c r="X1075" t="s">
        <v>20035</v>
      </c>
      <c r="Y1075" t="s">
        <v>20036</v>
      </c>
      <c r="Z1075" t="s">
        <v>20037</v>
      </c>
      <c r="AA1075" t="s">
        <v>20038</v>
      </c>
      <c r="AB1075" t="s">
        <v>20039</v>
      </c>
      <c r="AC1075" t="s">
        <v>20040</v>
      </c>
      <c r="AD1075" t="s">
        <v>20041</v>
      </c>
      <c r="AE1075" t="s">
        <v>20042</v>
      </c>
      <c r="AF1075" t="s">
        <v>20043</v>
      </c>
      <c r="AG1075" t="s">
        <v>20044</v>
      </c>
      <c r="AH1075" t="s">
        <v>20045</v>
      </c>
      <c r="BA1075" t="str">
        <f>"1699"</f>
        <v>1699</v>
      </c>
      <c r="BB1075" t="str">
        <f>"715"</f>
        <v>715</v>
      </c>
      <c r="BC1075" t="s">
        <v>949</v>
      </c>
      <c r="BD1075" t="str">
        <f>"1"</f>
        <v>1</v>
      </c>
      <c r="BE1075" t="s">
        <v>20046</v>
      </c>
      <c r="BF1075" t="str">
        <f>"77.5"</f>
        <v>77.5</v>
      </c>
      <c r="BG1075" t="str">
        <f>"23"</f>
        <v>23</v>
      </c>
      <c r="BH1075" t="str">
        <f>"29"</f>
        <v>29</v>
      </c>
      <c r="BI1075" t="str">
        <f>"172.22"</f>
        <v>172.22</v>
      </c>
      <c r="BY1075" t="str">
        <f>"29.91"</f>
        <v>29.91</v>
      </c>
      <c r="BZ1075" t="str">
        <f>"0.847"</f>
        <v>0.847</v>
      </c>
      <c r="CA1075" t="s">
        <v>431</v>
      </c>
      <c r="CB1075" t="s">
        <v>511</v>
      </c>
      <c r="CC1075" t="s">
        <v>1040</v>
      </c>
      <c r="CD1075" t="s">
        <v>20047</v>
      </c>
      <c r="CE1075" t="s">
        <v>511</v>
      </c>
      <c r="CF1075" t="s">
        <v>1037</v>
      </c>
      <c r="CG1075" t="s">
        <v>20047</v>
      </c>
      <c r="CR1075" t="s">
        <v>400</v>
      </c>
      <c r="CS1075">
        <v>0</v>
      </c>
      <c r="CT1075" t="s">
        <v>400</v>
      </c>
      <c r="CV1075">
        <v>2</v>
      </c>
      <c r="CW1075" t="s">
        <v>402</v>
      </c>
      <c r="CY1075" t="s">
        <v>954</v>
      </c>
      <c r="DA1075">
        <v>18.14</v>
      </c>
      <c r="DB1075">
        <v>40</v>
      </c>
      <c r="DC1075">
        <v>0</v>
      </c>
      <c r="DK1075" t="s">
        <v>20048</v>
      </c>
      <c r="DX1075" t="s">
        <v>827</v>
      </c>
      <c r="EM1075" t="s">
        <v>402</v>
      </c>
      <c r="EN1075">
        <v>4</v>
      </c>
      <c r="EZ1075" t="s">
        <v>1151</v>
      </c>
      <c r="FA1075" t="s">
        <v>1040</v>
      </c>
      <c r="FB1075" t="s">
        <v>6227</v>
      </c>
      <c r="FG1075" t="s">
        <v>402</v>
      </c>
      <c r="FI1075">
        <v>4</v>
      </c>
      <c r="FJ1075" t="s">
        <v>960</v>
      </c>
      <c r="FK1075" t="s">
        <v>961</v>
      </c>
      <c r="FO1075" t="s">
        <v>984</v>
      </c>
      <c r="GB1075" t="s">
        <v>511</v>
      </c>
      <c r="GC1075" t="s">
        <v>1037</v>
      </c>
      <c r="GD1075" t="s">
        <v>20047</v>
      </c>
      <c r="GE1075">
        <v>0</v>
      </c>
      <c r="GR1075" t="s">
        <v>511</v>
      </c>
      <c r="GS1075" t="s">
        <v>511</v>
      </c>
      <c r="GT1075" t="s">
        <v>1037</v>
      </c>
      <c r="GU1075" t="s">
        <v>1037</v>
      </c>
      <c r="GV1075" t="s">
        <v>20047</v>
      </c>
      <c r="GW1075" t="s">
        <v>20047</v>
      </c>
    </row>
    <row r="1076" spans="1:250" x14ac:dyDescent="0.25">
      <c r="A1076" t="s">
        <v>20049</v>
      </c>
      <c r="B1076" t="str">
        <f>"801542431679"</f>
        <v>801542431679</v>
      </c>
      <c r="C1076" t="s">
        <v>20050</v>
      </c>
      <c r="D1076" t="s">
        <v>3406</v>
      </c>
      <c r="E1076" t="s">
        <v>1319</v>
      </c>
      <c r="F1076" t="s">
        <v>1320</v>
      </c>
      <c r="G1076" t="str">
        <f>"71"</f>
        <v>71</v>
      </c>
      <c r="H1076" t="str">
        <f>"27"</f>
        <v>27</v>
      </c>
      <c r="I1076" t="str">
        <f>"30.5"</f>
        <v>30.5</v>
      </c>
      <c r="J1076" t="str">
        <f>"214.95"</f>
        <v>214.95</v>
      </c>
      <c r="K1076" t="s">
        <v>837</v>
      </c>
      <c r="L1076" t="s">
        <v>20051</v>
      </c>
      <c r="N1076" t="s">
        <v>555</v>
      </c>
      <c r="O1076" t="s">
        <v>933</v>
      </c>
      <c r="T1076" t="s">
        <v>373</v>
      </c>
      <c r="U1076" t="s">
        <v>373</v>
      </c>
      <c r="V1076" t="s">
        <v>20052</v>
      </c>
      <c r="W1076" t="s">
        <v>20053</v>
      </c>
      <c r="X1076" t="s">
        <v>20054</v>
      </c>
      <c r="Y1076" t="s">
        <v>20055</v>
      </c>
      <c r="Z1076" t="s">
        <v>20056</v>
      </c>
      <c r="AA1076" t="s">
        <v>20057</v>
      </c>
      <c r="AB1076" t="s">
        <v>20058</v>
      </c>
      <c r="AC1076" t="s">
        <v>20059</v>
      </c>
      <c r="AD1076" t="s">
        <v>20060</v>
      </c>
      <c r="AE1076" t="s">
        <v>20061</v>
      </c>
      <c r="AF1076" t="s">
        <v>20062</v>
      </c>
      <c r="AG1076" t="s">
        <v>20063</v>
      </c>
      <c r="AH1076" t="s">
        <v>20064</v>
      </c>
      <c r="AI1076" t="s">
        <v>20065</v>
      </c>
      <c r="BA1076" t="str">
        <f>"2299"</f>
        <v>2299</v>
      </c>
      <c r="BB1076" t="str">
        <f>"970"</f>
        <v>970</v>
      </c>
      <c r="BC1076" t="s">
        <v>949</v>
      </c>
      <c r="BD1076" t="str">
        <f>"1"</f>
        <v>1</v>
      </c>
      <c r="BE1076" t="s">
        <v>389</v>
      </c>
      <c r="BF1076" t="str">
        <f>"74.25"</f>
        <v>74.25</v>
      </c>
      <c r="BG1076" t="str">
        <f>"30"</f>
        <v>30</v>
      </c>
      <c r="BH1076" t="str">
        <f>"27.5"</f>
        <v>27.5</v>
      </c>
      <c r="BI1076" t="str">
        <f>"257.06"</f>
        <v>257.06</v>
      </c>
      <c r="BY1076" t="str">
        <f>"35.46"</f>
        <v>35.46</v>
      </c>
      <c r="BZ1076" t="str">
        <f>"1.004"</f>
        <v>1.004</v>
      </c>
      <c r="CA1076" t="s">
        <v>431</v>
      </c>
      <c r="CE1076" t="s">
        <v>1510</v>
      </c>
      <c r="CF1076" t="s">
        <v>396</v>
      </c>
      <c r="CG1076" t="s">
        <v>435</v>
      </c>
      <c r="CR1076" t="s">
        <v>400</v>
      </c>
      <c r="CS1076">
        <v>0</v>
      </c>
      <c r="CT1076" t="s">
        <v>400</v>
      </c>
      <c r="CV1076">
        <v>0</v>
      </c>
      <c r="CX1076" t="s">
        <v>953</v>
      </c>
      <c r="CY1076" t="s">
        <v>954</v>
      </c>
      <c r="DC1076">
        <v>2</v>
      </c>
      <c r="DJ1076" t="s">
        <v>1345</v>
      </c>
      <c r="DK1076" t="s">
        <v>3423</v>
      </c>
      <c r="DM1076" t="s">
        <v>669</v>
      </c>
      <c r="DX1076" t="s">
        <v>3025</v>
      </c>
      <c r="DY1076" t="s">
        <v>1491</v>
      </c>
      <c r="DZ1076" t="s">
        <v>601</v>
      </c>
      <c r="EI1076" t="s">
        <v>956</v>
      </c>
      <c r="EJ1076" t="s">
        <v>610</v>
      </c>
      <c r="EK1076" t="s">
        <v>956</v>
      </c>
      <c r="EL1076" t="s">
        <v>827</v>
      </c>
      <c r="EM1076" t="s">
        <v>402</v>
      </c>
      <c r="EN1076">
        <v>3</v>
      </c>
      <c r="EW1076" t="s">
        <v>638</v>
      </c>
      <c r="EZ1076" t="s">
        <v>435</v>
      </c>
      <c r="FA1076" t="s">
        <v>1040</v>
      </c>
      <c r="FB1076" t="s">
        <v>601</v>
      </c>
      <c r="FC1076" t="s">
        <v>1510</v>
      </c>
      <c r="FD1076" t="s">
        <v>1040</v>
      </c>
      <c r="FE1076" t="s">
        <v>435</v>
      </c>
      <c r="FH1076" t="s">
        <v>959</v>
      </c>
      <c r="FI1076">
        <v>2</v>
      </c>
      <c r="FJ1076" t="s">
        <v>960</v>
      </c>
      <c r="FK1076" t="s">
        <v>961</v>
      </c>
      <c r="FM1076" t="s">
        <v>402</v>
      </c>
      <c r="FO1076" t="s">
        <v>984</v>
      </c>
      <c r="GB1076" t="s">
        <v>20066</v>
      </c>
      <c r="GC1076" t="s">
        <v>475</v>
      </c>
      <c r="GD1076" t="s">
        <v>823</v>
      </c>
      <c r="GE1076">
        <v>0</v>
      </c>
      <c r="HH1076" t="s">
        <v>402</v>
      </c>
    </row>
    <row r="1077" spans="1:250" x14ac:dyDescent="0.25">
      <c r="A1077" t="s">
        <v>20067</v>
      </c>
      <c r="B1077" t="str">
        <f>"801542271077"</f>
        <v>801542271077</v>
      </c>
      <c r="C1077" t="s">
        <v>20068</v>
      </c>
      <c r="D1077" t="s">
        <v>1098</v>
      </c>
      <c r="E1077" t="s">
        <v>1077</v>
      </c>
      <c r="G1077" t="str">
        <f t="shared" ref="G1077:H1079" si="197">"42"</f>
        <v>42</v>
      </c>
      <c r="H1077" t="str">
        <f t="shared" si="197"/>
        <v>42</v>
      </c>
      <c r="I1077" t="str">
        <f>"16"</f>
        <v>16</v>
      </c>
      <c r="J1077" t="str">
        <f>"86.64"</f>
        <v>86.64</v>
      </c>
      <c r="K1077" t="s">
        <v>3426</v>
      </c>
      <c r="N1077" t="s">
        <v>1101</v>
      </c>
      <c r="T1077" t="s">
        <v>373</v>
      </c>
      <c r="U1077" t="s">
        <v>373</v>
      </c>
      <c r="V1077" t="s">
        <v>20069</v>
      </c>
      <c r="W1077" t="s">
        <v>20070</v>
      </c>
      <c r="X1077" t="s">
        <v>20071</v>
      </c>
      <c r="Y1077" t="s">
        <v>20072</v>
      </c>
      <c r="Z1077" t="s">
        <v>20073</v>
      </c>
      <c r="AA1077" t="s">
        <v>20074</v>
      </c>
      <c r="AB1077" t="s">
        <v>20075</v>
      </c>
      <c r="AC1077" t="s">
        <v>20076</v>
      </c>
      <c r="AD1077" t="s">
        <v>20077</v>
      </c>
      <c r="AE1077" t="s">
        <v>20078</v>
      </c>
      <c r="AF1077" t="s">
        <v>20079</v>
      </c>
      <c r="AG1077" t="s">
        <v>20080</v>
      </c>
      <c r="AH1077" t="s">
        <v>20081</v>
      </c>
      <c r="BA1077" t="str">
        <f>"1099"</f>
        <v>1099</v>
      </c>
      <c r="BB1077" t="str">
        <f>"465"</f>
        <v>465</v>
      </c>
      <c r="BC1077" t="s">
        <v>949</v>
      </c>
      <c r="BD1077" t="str">
        <f>"1"</f>
        <v>1</v>
      </c>
      <c r="BE1077" t="s">
        <v>389</v>
      </c>
      <c r="BF1077" t="str">
        <f t="shared" ref="BF1077:BG1079" si="198">"45.5"</f>
        <v>45.5</v>
      </c>
      <c r="BG1077" t="str">
        <f t="shared" si="198"/>
        <v>45.5</v>
      </c>
      <c r="BH1077" t="str">
        <f>"18.5"</f>
        <v>18.5</v>
      </c>
      <c r="BI1077" t="str">
        <f>"118.28"</f>
        <v>118.28</v>
      </c>
      <c r="BY1077" t="str">
        <f>"22.18"</f>
        <v>22.18</v>
      </c>
      <c r="BZ1077" t="str">
        <f>"0.628"</f>
        <v>0.628</v>
      </c>
      <c r="CA1077" t="s">
        <v>390</v>
      </c>
      <c r="CR1077" t="s">
        <v>400</v>
      </c>
      <c r="CS1077">
        <v>0</v>
      </c>
      <c r="CT1077" t="s">
        <v>400</v>
      </c>
      <c r="CV1077">
        <v>0</v>
      </c>
      <c r="CY1077" t="s">
        <v>400</v>
      </c>
      <c r="DC1077">
        <v>0</v>
      </c>
      <c r="DJ1077" t="s">
        <v>1132</v>
      </c>
      <c r="DK1077" t="s">
        <v>20082</v>
      </c>
      <c r="DM1077" t="s">
        <v>473</v>
      </c>
      <c r="EI1077" t="s">
        <v>791</v>
      </c>
      <c r="EJ1077" t="s">
        <v>510</v>
      </c>
      <c r="EK1077" t="s">
        <v>791</v>
      </c>
      <c r="EL1077" t="s">
        <v>1094</v>
      </c>
      <c r="EN1077">
        <v>0</v>
      </c>
      <c r="EO1077">
        <v>0</v>
      </c>
      <c r="EX1077" t="s">
        <v>2240</v>
      </c>
    </row>
    <row r="1078" spans="1:250" x14ac:dyDescent="0.25">
      <c r="A1078" t="s">
        <v>20083</v>
      </c>
      <c r="B1078" t="str">
        <f>"801542380359"</f>
        <v>801542380359</v>
      </c>
      <c r="C1078" t="s">
        <v>20084</v>
      </c>
      <c r="D1078" t="s">
        <v>1098</v>
      </c>
      <c r="E1078" t="s">
        <v>1077</v>
      </c>
      <c r="G1078" t="str">
        <f t="shared" si="197"/>
        <v>42</v>
      </c>
      <c r="H1078" t="str">
        <f t="shared" si="197"/>
        <v>42</v>
      </c>
      <c r="I1078" t="str">
        <f>"16"</f>
        <v>16</v>
      </c>
      <c r="J1078" t="str">
        <f>"86.64"</f>
        <v>86.64</v>
      </c>
      <c r="K1078" t="s">
        <v>8340</v>
      </c>
      <c r="N1078" t="s">
        <v>933</v>
      </c>
      <c r="T1078" t="s">
        <v>373</v>
      </c>
      <c r="U1078" t="s">
        <v>373</v>
      </c>
      <c r="V1078" t="s">
        <v>20085</v>
      </c>
      <c r="W1078" t="s">
        <v>20086</v>
      </c>
      <c r="X1078" t="s">
        <v>20087</v>
      </c>
      <c r="Y1078" t="s">
        <v>20088</v>
      </c>
      <c r="Z1078" t="s">
        <v>20089</v>
      </c>
      <c r="AA1078" t="s">
        <v>20090</v>
      </c>
      <c r="AB1078" t="s">
        <v>20091</v>
      </c>
      <c r="AC1078" t="s">
        <v>20092</v>
      </c>
      <c r="AD1078" t="s">
        <v>20093</v>
      </c>
      <c r="AE1078" t="s">
        <v>20094</v>
      </c>
      <c r="BA1078" t="str">
        <f>"1099"</f>
        <v>1099</v>
      </c>
      <c r="BB1078" t="str">
        <f>"465"</f>
        <v>465</v>
      </c>
      <c r="BC1078" t="s">
        <v>949</v>
      </c>
      <c r="BD1078" t="str">
        <f>"1"</f>
        <v>1</v>
      </c>
      <c r="BE1078" t="s">
        <v>389</v>
      </c>
      <c r="BF1078" t="str">
        <f t="shared" si="198"/>
        <v>45.5</v>
      </c>
      <c r="BG1078" t="str">
        <f t="shared" si="198"/>
        <v>45.5</v>
      </c>
      <c r="BH1078" t="str">
        <f>"18.5"</f>
        <v>18.5</v>
      </c>
      <c r="BI1078" t="str">
        <f>"118.28"</f>
        <v>118.28</v>
      </c>
      <c r="BY1078" t="str">
        <f>"22.18"</f>
        <v>22.18</v>
      </c>
      <c r="BZ1078" t="str">
        <f>"0.628"</f>
        <v>0.628</v>
      </c>
      <c r="CA1078" t="s">
        <v>495</v>
      </c>
      <c r="CR1078" t="s">
        <v>400</v>
      </c>
      <c r="CS1078">
        <v>0</v>
      </c>
      <c r="CT1078" t="s">
        <v>400</v>
      </c>
      <c r="CV1078">
        <v>0</v>
      </c>
      <c r="CY1078" t="s">
        <v>400</v>
      </c>
      <c r="DC1078">
        <v>0</v>
      </c>
      <c r="DJ1078" t="s">
        <v>1132</v>
      </c>
      <c r="DK1078" t="s">
        <v>20082</v>
      </c>
      <c r="DM1078" t="s">
        <v>473</v>
      </c>
      <c r="EI1078" t="s">
        <v>791</v>
      </c>
      <c r="EJ1078" t="s">
        <v>510</v>
      </c>
      <c r="EK1078" t="s">
        <v>791</v>
      </c>
      <c r="EL1078" t="s">
        <v>1094</v>
      </c>
      <c r="EN1078">
        <v>0</v>
      </c>
      <c r="EO1078">
        <v>0</v>
      </c>
      <c r="EX1078" t="s">
        <v>2240</v>
      </c>
    </row>
    <row r="1079" spans="1:250" x14ac:dyDescent="0.25">
      <c r="A1079" t="s">
        <v>20095</v>
      </c>
      <c r="B1079" t="str">
        <f>"801542295868"</f>
        <v>801542295868</v>
      </c>
      <c r="C1079" t="s">
        <v>20096</v>
      </c>
      <c r="D1079" t="s">
        <v>1098</v>
      </c>
      <c r="E1079" t="s">
        <v>1077</v>
      </c>
      <c r="G1079" t="str">
        <f t="shared" si="197"/>
        <v>42</v>
      </c>
      <c r="H1079" t="str">
        <f t="shared" si="197"/>
        <v>42</v>
      </c>
      <c r="I1079" t="str">
        <f>"15"</f>
        <v>15</v>
      </c>
      <c r="J1079" t="str">
        <f>"176.4"</f>
        <v>176.4</v>
      </c>
      <c r="K1079" t="s">
        <v>3426</v>
      </c>
      <c r="N1079" t="s">
        <v>1101</v>
      </c>
      <c r="T1079" t="s">
        <v>373</v>
      </c>
      <c r="U1079" t="s">
        <v>373</v>
      </c>
      <c r="V1079" t="s">
        <v>20097</v>
      </c>
      <c r="W1079" t="s">
        <v>20098</v>
      </c>
      <c r="X1079" t="s">
        <v>20099</v>
      </c>
      <c r="Y1079" t="s">
        <v>20100</v>
      </c>
      <c r="Z1079" t="s">
        <v>20101</v>
      </c>
      <c r="AA1079" t="s">
        <v>20102</v>
      </c>
      <c r="AB1079" t="s">
        <v>20103</v>
      </c>
      <c r="AC1079" t="s">
        <v>20104</v>
      </c>
      <c r="AD1079" t="s">
        <v>20105</v>
      </c>
      <c r="AE1079" t="s">
        <v>20106</v>
      </c>
      <c r="AF1079" t="s">
        <v>20107</v>
      </c>
      <c r="AG1079" t="s">
        <v>20108</v>
      </c>
      <c r="AH1079" t="s">
        <v>20109</v>
      </c>
      <c r="AI1079" t="s">
        <v>20110</v>
      </c>
      <c r="AJ1079" t="s">
        <v>20111</v>
      </c>
      <c r="AK1079" t="s">
        <v>20112</v>
      </c>
      <c r="AL1079" t="s">
        <v>20113</v>
      </c>
      <c r="BA1079" t="str">
        <f>"1299"</f>
        <v>1299</v>
      </c>
      <c r="BB1079" t="str">
        <f>"550"</f>
        <v>550</v>
      </c>
      <c r="BC1079" t="s">
        <v>949</v>
      </c>
      <c r="BD1079" t="str">
        <f>"1"</f>
        <v>1</v>
      </c>
      <c r="BE1079" t="s">
        <v>389</v>
      </c>
      <c r="BF1079" t="str">
        <f t="shared" si="198"/>
        <v>45.5</v>
      </c>
      <c r="BG1079" t="str">
        <f t="shared" si="198"/>
        <v>45.5</v>
      </c>
      <c r="BH1079" t="str">
        <f>"18.75"</f>
        <v>18.75</v>
      </c>
      <c r="BI1079" t="str">
        <f>"208.56"</f>
        <v>208.56</v>
      </c>
      <c r="BY1079" t="str">
        <f>"22.46"</f>
        <v>22.46</v>
      </c>
      <c r="BZ1079" t="str">
        <f>"0.636"</f>
        <v>0.636</v>
      </c>
      <c r="CA1079" t="s">
        <v>495</v>
      </c>
      <c r="CR1079" t="s">
        <v>1343</v>
      </c>
      <c r="CS1079">
        <v>4</v>
      </c>
      <c r="CT1079" t="s">
        <v>1008</v>
      </c>
      <c r="CV1079">
        <v>0</v>
      </c>
      <c r="CX1079" t="s">
        <v>953</v>
      </c>
      <c r="CY1079" t="s">
        <v>1009</v>
      </c>
      <c r="DC1079">
        <v>0</v>
      </c>
      <c r="DJ1079" t="s">
        <v>1132</v>
      </c>
      <c r="DK1079" t="s">
        <v>3437</v>
      </c>
      <c r="DM1079" t="s">
        <v>473</v>
      </c>
      <c r="DX1079" t="s">
        <v>827</v>
      </c>
      <c r="EI1079" t="s">
        <v>790</v>
      </c>
      <c r="EJ1079" t="s">
        <v>827</v>
      </c>
      <c r="EK1079" t="s">
        <v>790</v>
      </c>
      <c r="EL1079" t="s">
        <v>956</v>
      </c>
      <c r="EN1079">
        <v>0</v>
      </c>
      <c r="EO1079">
        <v>0</v>
      </c>
      <c r="EX1079" t="s">
        <v>827</v>
      </c>
      <c r="FR1079" t="s">
        <v>474</v>
      </c>
      <c r="FT1079" t="s">
        <v>450</v>
      </c>
      <c r="FV1079" t="s">
        <v>449</v>
      </c>
      <c r="FX1079" t="s">
        <v>1008</v>
      </c>
      <c r="FZ1079" t="s">
        <v>1018</v>
      </c>
      <c r="GA1079" t="s">
        <v>402</v>
      </c>
    </row>
    <row r="1080" spans="1:250" x14ac:dyDescent="0.25">
      <c r="A1080" t="s">
        <v>20114</v>
      </c>
      <c r="B1080" t="str">
        <f>"801542296889"</f>
        <v>801542296889</v>
      </c>
      <c r="C1080" t="s">
        <v>20115</v>
      </c>
      <c r="D1080" t="s">
        <v>1098</v>
      </c>
      <c r="E1080" t="s">
        <v>647</v>
      </c>
      <c r="F1080" t="s">
        <v>648</v>
      </c>
      <c r="G1080" t="str">
        <f>"54"</f>
        <v>54</v>
      </c>
      <c r="H1080" t="str">
        <f>"54"</f>
        <v>54</v>
      </c>
      <c r="I1080" t="str">
        <f>"30"</f>
        <v>30</v>
      </c>
      <c r="J1080" t="str">
        <f>"151.24"</f>
        <v>151.24</v>
      </c>
      <c r="K1080" t="s">
        <v>20116</v>
      </c>
      <c r="N1080" t="s">
        <v>1101</v>
      </c>
      <c r="T1080" t="s">
        <v>373</v>
      </c>
      <c r="U1080" t="s">
        <v>373</v>
      </c>
      <c r="V1080" t="s">
        <v>20117</v>
      </c>
      <c r="W1080" t="s">
        <v>20118</v>
      </c>
      <c r="X1080" t="s">
        <v>20119</v>
      </c>
      <c r="Y1080" t="s">
        <v>20120</v>
      </c>
      <c r="Z1080" t="s">
        <v>20121</v>
      </c>
      <c r="AA1080" t="s">
        <v>20122</v>
      </c>
      <c r="AB1080" t="s">
        <v>20123</v>
      </c>
      <c r="AC1080" t="s">
        <v>20124</v>
      </c>
      <c r="AD1080" t="s">
        <v>20125</v>
      </c>
      <c r="AE1080" t="s">
        <v>20126</v>
      </c>
      <c r="AF1080" t="s">
        <v>20127</v>
      </c>
      <c r="AG1080" t="s">
        <v>20128</v>
      </c>
      <c r="BA1080" t="str">
        <f>"1499"</f>
        <v>1499</v>
      </c>
      <c r="BB1080" t="str">
        <f>"630"</f>
        <v>630</v>
      </c>
      <c r="BC1080" t="s">
        <v>949</v>
      </c>
      <c r="BD1080" t="str">
        <f>"2"</f>
        <v>2</v>
      </c>
      <c r="BE1080" t="s">
        <v>1090</v>
      </c>
      <c r="BF1080" t="str">
        <f>"27.5"</f>
        <v>27.5</v>
      </c>
      <c r="BG1080" t="str">
        <f>"27.5"</f>
        <v>27.5</v>
      </c>
      <c r="BH1080" t="str">
        <f>"28.5"</f>
        <v>28.5</v>
      </c>
      <c r="BI1080" t="str">
        <f>"47.18"</f>
        <v>47.18</v>
      </c>
      <c r="BJ1080" t="s">
        <v>1089</v>
      </c>
      <c r="BK1080" t="str">
        <f>"57.25"</f>
        <v>57.25</v>
      </c>
      <c r="BL1080" t="str">
        <f>"7.25"</f>
        <v>7.25</v>
      </c>
      <c r="BM1080" t="str">
        <f>"57.5"</f>
        <v>57.5</v>
      </c>
      <c r="BN1080" t="str">
        <f>"133.82"</f>
        <v>133.82</v>
      </c>
      <c r="BY1080" t="str">
        <f>"26.27"</f>
        <v>26.27</v>
      </c>
      <c r="BZ1080" t="str">
        <f>"0.744"</f>
        <v>0.744</v>
      </c>
      <c r="CA1080" t="s">
        <v>495</v>
      </c>
      <c r="CR1080" t="s">
        <v>400</v>
      </c>
      <c r="CS1080">
        <v>0</v>
      </c>
      <c r="CT1080" t="s">
        <v>400</v>
      </c>
      <c r="CV1080">
        <v>0</v>
      </c>
      <c r="CY1080" t="s">
        <v>400</v>
      </c>
      <c r="DA1080">
        <v>0</v>
      </c>
      <c r="DB1080">
        <v>0</v>
      </c>
      <c r="DC1080">
        <v>0</v>
      </c>
      <c r="DI1080">
        <v>6</v>
      </c>
      <c r="DJ1080" t="s">
        <v>471</v>
      </c>
      <c r="DK1080" t="s">
        <v>1114</v>
      </c>
      <c r="DM1080" t="s">
        <v>473</v>
      </c>
      <c r="DX1080" t="s">
        <v>638</v>
      </c>
      <c r="EI1080" t="s">
        <v>600</v>
      </c>
      <c r="EJ1080" t="s">
        <v>638</v>
      </c>
      <c r="EK1080" t="s">
        <v>600</v>
      </c>
      <c r="EL1080" t="s">
        <v>1040</v>
      </c>
      <c r="EN1080">
        <v>0</v>
      </c>
      <c r="EO1080">
        <v>0</v>
      </c>
      <c r="EW1080" t="s">
        <v>638</v>
      </c>
      <c r="EX1080" t="s">
        <v>950</v>
      </c>
      <c r="EY1080" t="s">
        <v>1115</v>
      </c>
    </row>
    <row r="1081" spans="1:250" x14ac:dyDescent="0.25">
      <c r="A1081" t="s">
        <v>20129</v>
      </c>
      <c r="B1081" t="str">
        <f>"801542357658"</f>
        <v>801542357658</v>
      </c>
      <c r="C1081" t="s">
        <v>20130</v>
      </c>
      <c r="D1081" t="s">
        <v>1098</v>
      </c>
      <c r="E1081" t="s">
        <v>1593</v>
      </c>
      <c r="G1081" t="str">
        <f>"63"</f>
        <v>63</v>
      </c>
      <c r="H1081" t="str">
        <f>"17"</f>
        <v>17</v>
      </c>
      <c r="I1081" t="str">
        <f>"18"</f>
        <v>18</v>
      </c>
      <c r="J1081" t="str">
        <f>"115.74"</f>
        <v>115.74</v>
      </c>
      <c r="K1081" t="s">
        <v>3426</v>
      </c>
      <c r="N1081" t="s">
        <v>1101</v>
      </c>
      <c r="T1081" t="s">
        <v>373</v>
      </c>
      <c r="U1081" t="s">
        <v>373</v>
      </c>
      <c r="V1081" t="s">
        <v>20131</v>
      </c>
      <c r="W1081" t="s">
        <v>20132</v>
      </c>
      <c r="X1081" t="s">
        <v>20133</v>
      </c>
      <c r="Y1081" t="s">
        <v>20134</v>
      </c>
      <c r="Z1081" t="s">
        <v>20135</v>
      </c>
      <c r="AA1081" t="s">
        <v>20136</v>
      </c>
      <c r="AB1081" t="s">
        <v>20137</v>
      </c>
      <c r="AC1081" t="s">
        <v>20138</v>
      </c>
      <c r="AD1081" t="s">
        <v>20139</v>
      </c>
      <c r="AE1081" t="s">
        <v>20140</v>
      </c>
      <c r="AF1081" t="s">
        <v>20141</v>
      </c>
      <c r="AG1081" t="s">
        <v>20142</v>
      </c>
      <c r="AH1081" t="s">
        <v>20143</v>
      </c>
      <c r="BA1081" t="str">
        <f>"949"</f>
        <v>949</v>
      </c>
      <c r="BB1081" t="str">
        <f>"400"</f>
        <v>400</v>
      </c>
      <c r="BC1081" t="s">
        <v>949</v>
      </c>
      <c r="BD1081" t="str">
        <f>"1"</f>
        <v>1</v>
      </c>
      <c r="BE1081" t="s">
        <v>389</v>
      </c>
      <c r="BF1081" t="str">
        <f>"67"</f>
        <v>67</v>
      </c>
      <c r="BG1081" t="str">
        <f>"21.5"</f>
        <v>21.5</v>
      </c>
      <c r="BH1081" t="str">
        <f>"22.5"</f>
        <v>22.5</v>
      </c>
      <c r="BI1081" t="str">
        <f>"149.36"</f>
        <v>149.36</v>
      </c>
      <c r="BY1081" t="str">
        <f>"18.75"</f>
        <v>18.75</v>
      </c>
      <c r="BZ1081" t="str">
        <f>"0.531"</f>
        <v>0.531</v>
      </c>
      <c r="CA1081" t="s">
        <v>431</v>
      </c>
      <c r="CY1081" t="s">
        <v>400</v>
      </c>
      <c r="DE1081" t="s">
        <v>405</v>
      </c>
      <c r="DK1081" t="s">
        <v>3437</v>
      </c>
      <c r="DX1081" t="s">
        <v>637</v>
      </c>
      <c r="FK1081" t="s">
        <v>1611</v>
      </c>
      <c r="HJ1081" t="s">
        <v>979</v>
      </c>
      <c r="HK1081" t="s">
        <v>950</v>
      </c>
      <c r="HL1081" t="s">
        <v>2927</v>
      </c>
    </row>
    <row r="1082" spans="1:250" x14ac:dyDescent="0.25">
      <c r="A1082" t="s">
        <v>20144</v>
      </c>
      <c r="B1082" t="str">
        <f>"801542359584"</f>
        <v>801542359584</v>
      </c>
      <c r="C1082" t="s">
        <v>20145</v>
      </c>
      <c r="D1082" t="s">
        <v>1098</v>
      </c>
      <c r="E1082" t="s">
        <v>647</v>
      </c>
      <c r="F1082" t="s">
        <v>20146</v>
      </c>
      <c r="G1082" t="str">
        <f>"72"</f>
        <v>72</v>
      </c>
      <c r="H1082" t="str">
        <f>"27"</f>
        <v>27</v>
      </c>
      <c r="I1082" t="str">
        <f>"36"</f>
        <v>36</v>
      </c>
      <c r="J1082" t="str">
        <f>"363.19"</f>
        <v>363.19</v>
      </c>
      <c r="K1082" t="s">
        <v>6041</v>
      </c>
      <c r="L1082" t="s">
        <v>20147</v>
      </c>
      <c r="N1082" t="s">
        <v>6002</v>
      </c>
      <c r="O1082" t="s">
        <v>1424</v>
      </c>
      <c r="T1082" t="s">
        <v>373</v>
      </c>
      <c r="U1082" t="s">
        <v>373</v>
      </c>
      <c r="V1082" t="s">
        <v>20148</v>
      </c>
      <c r="W1082" t="s">
        <v>20149</v>
      </c>
      <c r="X1082" t="s">
        <v>20150</v>
      </c>
      <c r="Y1082" t="s">
        <v>20151</v>
      </c>
      <c r="Z1082" t="s">
        <v>20152</v>
      </c>
      <c r="AA1082" t="s">
        <v>20153</v>
      </c>
      <c r="AB1082" t="s">
        <v>20154</v>
      </c>
      <c r="AC1082" t="s">
        <v>20155</v>
      </c>
      <c r="AD1082" t="s">
        <v>20156</v>
      </c>
      <c r="AE1082" t="s">
        <v>20157</v>
      </c>
      <c r="AF1082" t="s">
        <v>20158</v>
      </c>
      <c r="AG1082" t="s">
        <v>20159</v>
      </c>
      <c r="AH1082" t="s">
        <v>20160</v>
      </c>
      <c r="BA1082" t="str">
        <f>"1999"</f>
        <v>1999</v>
      </c>
      <c r="BB1082" t="str">
        <f>"840"</f>
        <v>840</v>
      </c>
      <c r="BC1082" t="s">
        <v>949</v>
      </c>
      <c r="BD1082" t="str">
        <f>"2"</f>
        <v>2</v>
      </c>
      <c r="BE1082" t="s">
        <v>1089</v>
      </c>
      <c r="BF1082" t="str">
        <f>"81.5"</f>
        <v>81.5</v>
      </c>
      <c r="BG1082" t="str">
        <f>"8"</f>
        <v>8</v>
      </c>
      <c r="BH1082" t="str">
        <f>"36"</f>
        <v>36</v>
      </c>
      <c r="BI1082" t="str">
        <f>"314.38"</f>
        <v>314.38</v>
      </c>
      <c r="BJ1082" t="s">
        <v>20161</v>
      </c>
      <c r="BK1082" t="str">
        <f>"72"</f>
        <v>72</v>
      </c>
      <c r="BL1082" t="str">
        <f>"33"</f>
        <v>33</v>
      </c>
      <c r="BM1082" t="str">
        <f>"14.5"</f>
        <v>14.5</v>
      </c>
      <c r="BN1082" t="str">
        <f>"161.27"</f>
        <v>161.27</v>
      </c>
      <c r="BY1082" t="str">
        <f>"33.55"</f>
        <v>33.55</v>
      </c>
      <c r="BZ1082" t="str">
        <f>"0.95"</f>
        <v>0.95</v>
      </c>
      <c r="CA1082" t="s">
        <v>495</v>
      </c>
      <c r="CR1082" t="s">
        <v>1343</v>
      </c>
      <c r="CS1082">
        <v>6</v>
      </c>
      <c r="CT1082" t="s">
        <v>1008</v>
      </c>
      <c r="CV1082">
        <v>0</v>
      </c>
      <c r="CX1082" t="s">
        <v>667</v>
      </c>
      <c r="CY1082" t="s">
        <v>1009</v>
      </c>
      <c r="DA1082">
        <v>0</v>
      </c>
      <c r="DB1082">
        <v>0</v>
      </c>
      <c r="DC1082">
        <v>0</v>
      </c>
      <c r="DI1082">
        <v>6</v>
      </c>
      <c r="DJ1082" t="s">
        <v>408</v>
      </c>
      <c r="DK1082" t="s">
        <v>20162</v>
      </c>
      <c r="DM1082" t="s">
        <v>669</v>
      </c>
      <c r="DX1082" t="s">
        <v>2792</v>
      </c>
      <c r="DZ1082" t="s">
        <v>6370</v>
      </c>
      <c r="EI1082" t="s">
        <v>451</v>
      </c>
      <c r="EJ1082" t="s">
        <v>3018</v>
      </c>
      <c r="EK1082" t="s">
        <v>6582</v>
      </c>
      <c r="EL1082" t="s">
        <v>1040</v>
      </c>
      <c r="EM1082" t="s">
        <v>402</v>
      </c>
      <c r="EN1082">
        <v>0</v>
      </c>
      <c r="EW1082" t="s">
        <v>2792</v>
      </c>
      <c r="FR1082" t="s">
        <v>2696</v>
      </c>
      <c r="FT1082" t="s">
        <v>1852</v>
      </c>
      <c r="FV1082" t="s">
        <v>20163</v>
      </c>
      <c r="FX1082" t="s">
        <v>1008</v>
      </c>
      <c r="FZ1082" t="s">
        <v>953</v>
      </c>
      <c r="GA1082" t="s">
        <v>402</v>
      </c>
      <c r="IG1082" t="s">
        <v>6371</v>
      </c>
    </row>
    <row r="1083" spans="1:250" x14ac:dyDescent="0.25">
      <c r="A1083" t="s">
        <v>20164</v>
      </c>
      <c r="B1083" t="str">
        <f>"801542500016"</f>
        <v>801542500016</v>
      </c>
      <c r="C1083" t="s">
        <v>20165</v>
      </c>
      <c r="D1083" t="s">
        <v>1118</v>
      </c>
      <c r="E1083" t="s">
        <v>1043</v>
      </c>
      <c r="G1083" t="str">
        <f>"22"</f>
        <v>22</v>
      </c>
      <c r="H1083" t="str">
        <f>"16"</f>
        <v>16</v>
      </c>
      <c r="I1083" t="str">
        <f>"26"</f>
        <v>26</v>
      </c>
      <c r="J1083" t="str">
        <f>"64.9"</f>
        <v>64.9</v>
      </c>
      <c r="K1083" t="s">
        <v>6041</v>
      </c>
      <c r="L1083" t="s">
        <v>1987</v>
      </c>
      <c r="N1083" t="s">
        <v>6002</v>
      </c>
      <c r="O1083" t="s">
        <v>555</v>
      </c>
      <c r="T1083" t="s">
        <v>373</v>
      </c>
      <c r="U1083" t="s">
        <v>373</v>
      </c>
      <c r="V1083" t="s">
        <v>20166</v>
      </c>
      <c r="W1083" t="s">
        <v>20167</v>
      </c>
      <c r="X1083" t="s">
        <v>20168</v>
      </c>
      <c r="Y1083" t="s">
        <v>20169</v>
      </c>
      <c r="Z1083" t="s">
        <v>20170</v>
      </c>
      <c r="AA1083" t="s">
        <v>20171</v>
      </c>
      <c r="AB1083" t="s">
        <v>20172</v>
      </c>
      <c r="AC1083" t="s">
        <v>20173</v>
      </c>
      <c r="AD1083" t="s">
        <v>20174</v>
      </c>
      <c r="AE1083" t="s">
        <v>20175</v>
      </c>
      <c r="BA1083" t="str">
        <f>"549"</f>
        <v>549</v>
      </c>
      <c r="BB1083" t="str">
        <f>"235"</f>
        <v>235</v>
      </c>
      <c r="BC1083" t="s">
        <v>949</v>
      </c>
      <c r="BD1083" t="str">
        <f>"2"</f>
        <v>2</v>
      </c>
      <c r="BE1083" t="s">
        <v>1089</v>
      </c>
      <c r="BF1083" t="str">
        <f>"22.76"</f>
        <v>22.76</v>
      </c>
      <c r="BG1083" t="str">
        <f>"9.49"</f>
        <v>9.49</v>
      </c>
      <c r="BH1083" t="str">
        <f>"27.01"</f>
        <v>27.01</v>
      </c>
      <c r="BI1083" t="str">
        <f>"74.56"</f>
        <v>74.56</v>
      </c>
      <c r="BJ1083" t="s">
        <v>5995</v>
      </c>
      <c r="BK1083" t="str">
        <f>"25.5"</f>
        <v>25.5</v>
      </c>
      <c r="BL1083" t="str">
        <f>"19.25"</f>
        <v>19.25</v>
      </c>
      <c r="BM1083" t="str">
        <f>"29.5"</f>
        <v>29.5</v>
      </c>
      <c r="BN1083" t="str">
        <f>"22.27"</f>
        <v>22.27</v>
      </c>
      <c r="BY1083" t="str">
        <f>"11.76"</f>
        <v>11.76</v>
      </c>
      <c r="BZ1083" t="str">
        <f>"0.333"</f>
        <v>0.333</v>
      </c>
      <c r="CA1083" t="s">
        <v>431</v>
      </c>
      <c r="CB1083" t="s">
        <v>979</v>
      </c>
      <c r="CC1083" t="s">
        <v>3483</v>
      </c>
      <c r="CD1083" t="s">
        <v>602</v>
      </c>
      <c r="CE1083" t="s">
        <v>979</v>
      </c>
      <c r="CF1083" t="s">
        <v>20176</v>
      </c>
      <c r="CG1083" t="s">
        <v>602</v>
      </c>
      <c r="CR1083" t="s">
        <v>400</v>
      </c>
      <c r="CS1083">
        <v>0</v>
      </c>
      <c r="CT1083" t="s">
        <v>400</v>
      </c>
      <c r="CV1083">
        <v>2</v>
      </c>
      <c r="CW1083" t="s">
        <v>402</v>
      </c>
      <c r="CY1083" t="s">
        <v>404</v>
      </c>
      <c r="DC1083">
        <v>0</v>
      </c>
      <c r="DJ1083" t="s">
        <v>1437</v>
      </c>
      <c r="DK1083" t="s">
        <v>20177</v>
      </c>
      <c r="DM1083" t="s">
        <v>473</v>
      </c>
      <c r="DX1083" t="s">
        <v>1490</v>
      </c>
      <c r="EM1083" t="s">
        <v>402</v>
      </c>
      <c r="EN1083">
        <v>0</v>
      </c>
      <c r="FI1083">
        <v>0</v>
      </c>
      <c r="FJ1083" t="s">
        <v>1012</v>
      </c>
    </row>
    <row r="1084" spans="1:250" x14ac:dyDescent="0.25">
      <c r="A1084" t="s">
        <v>20178</v>
      </c>
      <c r="B1084" t="str">
        <f>"801542296124"</f>
        <v>801542296124</v>
      </c>
      <c r="C1084" t="s">
        <v>20179</v>
      </c>
      <c r="D1084" t="s">
        <v>1118</v>
      </c>
      <c r="E1084" t="s">
        <v>459</v>
      </c>
      <c r="G1084" t="str">
        <f>"16"</f>
        <v>16</v>
      </c>
      <c r="H1084" t="str">
        <f>"16"</f>
        <v>16</v>
      </c>
      <c r="I1084" t="str">
        <f>"22"</f>
        <v>22</v>
      </c>
      <c r="J1084" t="str">
        <f>"18"</f>
        <v>18</v>
      </c>
      <c r="K1084" t="s">
        <v>20180</v>
      </c>
      <c r="L1084" t="s">
        <v>20181</v>
      </c>
      <c r="N1084" t="s">
        <v>5044</v>
      </c>
      <c r="O1084" t="s">
        <v>1121</v>
      </c>
      <c r="T1084" t="s">
        <v>373</v>
      </c>
      <c r="U1084" t="s">
        <v>373</v>
      </c>
      <c r="V1084" t="s">
        <v>20182</v>
      </c>
      <c r="W1084" t="s">
        <v>20183</v>
      </c>
      <c r="X1084" t="s">
        <v>20184</v>
      </c>
      <c r="Y1084" t="s">
        <v>20185</v>
      </c>
      <c r="Z1084" t="s">
        <v>20186</v>
      </c>
      <c r="AA1084" t="s">
        <v>20187</v>
      </c>
      <c r="AB1084" t="s">
        <v>20188</v>
      </c>
      <c r="AC1084" t="s">
        <v>20189</v>
      </c>
      <c r="AD1084" t="s">
        <v>20190</v>
      </c>
      <c r="BA1084" t="str">
        <f>"349"</f>
        <v>349</v>
      </c>
      <c r="BB1084" t="str">
        <f>"150"</f>
        <v>150</v>
      </c>
      <c r="BC1084" t="s">
        <v>949</v>
      </c>
      <c r="BD1084" t="str">
        <f>"1"</f>
        <v>1</v>
      </c>
      <c r="BE1084" t="s">
        <v>389</v>
      </c>
      <c r="BF1084" t="str">
        <f>"20"</f>
        <v>20</v>
      </c>
      <c r="BG1084" t="str">
        <f>"17"</f>
        <v>17</v>
      </c>
      <c r="BH1084" t="str">
        <f>"24"</f>
        <v>24</v>
      </c>
      <c r="BI1084" t="str">
        <f>"25"</f>
        <v>25</v>
      </c>
      <c r="BY1084" t="str">
        <f>"4.73"</f>
        <v>4.73</v>
      </c>
      <c r="BZ1084" t="str">
        <f>"0.134"</f>
        <v>0.134</v>
      </c>
      <c r="CA1084" t="s">
        <v>390</v>
      </c>
      <c r="CR1084" t="s">
        <v>400</v>
      </c>
      <c r="CS1084">
        <v>0</v>
      </c>
      <c r="CT1084" t="s">
        <v>400</v>
      </c>
      <c r="CV1084">
        <v>0</v>
      </c>
      <c r="CY1084" t="s">
        <v>400</v>
      </c>
      <c r="DC1084">
        <v>0</v>
      </c>
      <c r="DJ1084" t="s">
        <v>471</v>
      </c>
      <c r="DK1084" t="s">
        <v>1118</v>
      </c>
      <c r="DM1084" t="s">
        <v>473</v>
      </c>
      <c r="EI1084" t="s">
        <v>635</v>
      </c>
      <c r="EJ1084" t="s">
        <v>1136</v>
      </c>
      <c r="EK1084" t="s">
        <v>635</v>
      </c>
      <c r="EL1084" t="s">
        <v>20191</v>
      </c>
      <c r="EN1084">
        <v>0</v>
      </c>
      <c r="EO1084">
        <v>0</v>
      </c>
      <c r="EX1084" t="s">
        <v>1852</v>
      </c>
    </row>
    <row r="1085" spans="1:250" x14ac:dyDescent="0.25">
      <c r="A1085" t="s">
        <v>20192</v>
      </c>
      <c r="B1085" t="str">
        <f>"801542296131"</f>
        <v>801542296131</v>
      </c>
      <c r="C1085" t="s">
        <v>20179</v>
      </c>
      <c r="D1085" t="s">
        <v>1118</v>
      </c>
      <c r="E1085" t="s">
        <v>459</v>
      </c>
      <c r="G1085" t="str">
        <f>"16"</f>
        <v>16</v>
      </c>
      <c r="H1085" t="str">
        <f>"16"</f>
        <v>16</v>
      </c>
      <c r="I1085" t="str">
        <f>"22"</f>
        <v>22</v>
      </c>
      <c r="J1085" t="str">
        <f>"18"</f>
        <v>18</v>
      </c>
      <c r="K1085" t="s">
        <v>20180</v>
      </c>
      <c r="L1085" t="s">
        <v>5443</v>
      </c>
      <c r="N1085" t="s">
        <v>5044</v>
      </c>
      <c r="O1085" t="s">
        <v>1121</v>
      </c>
      <c r="T1085" t="s">
        <v>373</v>
      </c>
      <c r="U1085" t="s">
        <v>373</v>
      </c>
      <c r="V1085" t="s">
        <v>20193</v>
      </c>
      <c r="W1085" t="s">
        <v>20194</v>
      </c>
      <c r="X1085" t="s">
        <v>20195</v>
      </c>
      <c r="Y1085" t="s">
        <v>20196</v>
      </c>
      <c r="Z1085" t="s">
        <v>20197</v>
      </c>
      <c r="AA1085" t="s">
        <v>20198</v>
      </c>
      <c r="AB1085" t="s">
        <v>20199</v>
      </c>
      <c r="AC1085" t="s">
        <v>20200</v>
      </c>
      <c r="AD1085" t="s">
        <v>20201</v>
      </c>
      <c r="BA1085" t="str">
        <f>"349"</f>
        <v>349</v>
      </c>
      <c r="BB1085" t="str">
        <f>"150"</f>
        <v>150</v>
      </c>
      <c r="BC1085" t="s">
        <v>949</v>
      </c>
      <c r="BD1085" t="str">
        <f>"1"</f>
        <v>1</v>
      </c>
      <c r="BE1085" t="s">
        <v>389</v>
      </c>
      <c r="BF1085" t="str">
        <f>"20"</f>
        <v>20</v>
      </c>
      <c r="BG1085" t="str">
        <f>"17"</f>
        <v>17</v>
      </c>
      <c r="BH1085" t="str">
        <f>"24"</f>
        <v>24</v>
      </c>
      <c r="BI1085" t="str">
        <f>"25"</f>
        <v>25</v>
      </c>
      <c r="BY1085" t="str">
        <f>"4.73"</f>
        <v>4.73</v>
      </c>
      <c r="BZ1085" t="str">
        <f>"0.134"</f>
        <v>0.134</v>
      </c>
      <c r="CA1085" t="s">
        <v>431</v>
      </c>
      <c r="CR1085" t="s">
        <v>400</v>
      </c>
      <c r="CS1085">
        <v>0</v>
      </c>
      <c r="CT1085" t="s">
        <v>400</v>
      </c>
      <c r="CV1085">
        <v>0</v>
      </c>
      <c r="CY1085" t="s">
        <v>400</v>
      </c>
      <c r="DC1085">
        <v>0</v>
      </c>
      <c r="DJ1085" t="s">
        <v>471</v>
      </c>
      <c r="DK1085" t="s">
        <v>1118</v>
      </c>
      <c r="DM1085" t="s">
        <v>473</v>
      </c>
      <c r="EI1085" t="s">
        <v>635</v>
      </c>
      <c r="EJ1085" t="s">
        <v>1136</v>
      </c>
      <c r="EK1085" t="s">
        <v>635</v>
      </c>
      <c r="EL1085" t="s">
        <v>20191</v>
      </c>
      <c r="EN1085">
        <v>0</v>
      </c>
      <c r="EO1085">
        <v>0</v>
      </c>
      <c r="EX1085" t="s">
        <v>1852</v>
      </c>
    </row>
    <row r="1086" spans="1:250" x14ac:dyDescent="0.25">
      <c r="A1086" t="s">
        <v>20202</v>
      </c>
      <c r="B1086" t="str">
        <f>"801542167523"</f>
        <v>801542167523</v>
      </c>
      <c r="C1086" t="s">
        <v>20179</v>
      </c>
      <c r="D1086" t="s">
        <v>1118</v>
      </c>
      <c r="E1086" t="s">
        <v>459</v>
      </c>
      <c r="G1086" t="str">
        <f>"16"</f>
        <v>16</v>
      </c>
      <c r="H1086" t="str">
        <f>"16"</f>
        <v>16</v>
      </c>
      <c r="I1086" t="str">
        <f>"22"</f>
        <v>22</v>
      </c>
      <c r="J1086" t="str">
        <f>"18"</f>
        <v>18</v>
      </c>
      <c r="K1086" t="s">
        <v>20180</v>
      </c>
      <c r="L1086" t="s">
        <v>18047</v>
      </c>
      <c r="N1086" t="s">
        <v>5044</v>
      </c>
      <c r="O1086" t="s">
        <v>1121</v>
      </c>
      <c r="T1086" t="s">
        <v>373</v>
      </c>
      <c r="U1086" t="s">
        <v>373</v>
      </c>
      <c r="V1086" t="s">
        <v>20203</v>
      </c>
      <c r="W1086" t="s">
        <v>20204</v>
      </c>
      <c r="X1086" t="s">
        <v>20205</v>
      </c>
      <c r="Y1086" t="s">
        <v>20206</v>
      </c>
      <c r="Z1086" t="s">
        <v>20207</v>
      </c>
      <c r="AA1086" t="s">
        <v>20208</v>
      </c>
      <c r="AB1086" t="s">
        <v>20209</v>
      </c>
      <c r="AC1086" t="s">
        <v>20210</v>
      </c>
      <c r="AD1086" t="s">
        <v>20211</v>
      </c>
      <c r="BA1086" t="str">
        <f>"349"</f>
        <v>349</v>
      </c>
      <c r="BB1086" t="str">
        <f>"150"</f>
        <v>150</v>
      </c>
      <c r="BC1086" t="s">
        <v>949</v>
      </c>
      <c r="BD1086" t="str">
        <f>"1"</f>
        <v>1</v>
      </c>
      <c r="BE1086" t="s">
        <v>389</v>
      </c>
      <c r="BF1086" t="str">
        <f>"20"</f>
        <v>20</v>
      </c>
      <c r="BG1086" t="str">
        <f>"17"</f>
        <v>17</v>
      </c>
      <c r="BH1086" t="str">
        <f>"24"</f>
        <v>24</v>
      </c>
      <c r="BI1086" t="str">
        <f>"25"</f>
        <v>25</v>
      </c>
      <c r="BY1086" t="str">
        <f>"4.73"</f>
        <v>4.73</v>
      </c>
      <c r="BZ1086" t="str">
        <f>"0.134"</f>
        <v>0.134</v>
      </c>
      <c r="CA1086" t="s">
        <v>431</v>
      </c>
      <c r="CR1086" t="s">
        <v>400</v>
      </c>
      <c r="CS1086">
        <v>0</v>
      </c>
      <c r="CT1086" t="s">
        <v>400</v>
      </c>
      <c r="CV1086">
        <v>0</v>
      </c>
      <c r="CY1086" t="s">
        <v>400</v>
      </c>
      <c r="DC1086">
        <v>0</v>
      </c>
      <c r="DJ1086" t="s">
        <v>471</v>
      </c>
      <c r="DK1086" t="s">
        <v>1118</v>
      </c>
      <c r="DM1086" t="s">
        <v>473</v>
      </c>
      <c r="EI1086" t="s">
        <v>635</v>
      </c>
      <c r="EJ1086" t="s">
        <v>1136</v>
      </c>
      <c r="EK1086" t="s">
        <v>635</v>
      </c>
      <c r="EL1086" t="s">
        <v>20191</v>
      </c>
      <c r="EN1086">
        <v>0</v>
      </c>
      <c r="EO1086">
        <v>0</v>
      </c>
      <c r="EX1086" t="s">
        <v>1852</v>
      </c>
    </row>
    <row r="1087" spans="1:250" x14ac:dyDescent="0.25">
      <c r="A1087" t="s">
        <v>20212</v>
      </c>
      <c r="B1087" t="str">
        <f>"801542308728"</f>
        <v>801542308728</v>
      </c>
      <c r="C1087" t="s">
        <v>20213</v>
      </c>
      <c r="D1087" t="s">
        <v>1118</v>
      </c>
      <c r="E1087" t="s">
        <v>647</v>
      </c>
      <c r="F1087" t="s">
        <v>648</v>
      </c>
      <c r="G1087" t="str">
        <f>"42"</f>
        <v>42</v>
      </c>
      <c r="H1087" t="str">
        <f>"42"</f>
        <v>42</v>
      </c>
      <c r="I1087" t="str">
        <f>"31"</f>
        <v>31</v>
      </c>
      <c r="J1087" t="str">
        <f>"74.96"</f>
        <v>74.96</v>
      </c>
      <c r="K1087" t="s">
        <v>20214</v>
      </c>
      <c r="N1087" t="s">
        <v>1121</v>
      </c>
      <c r="T1087" t="s">
        <v>373</v>
      </c>
      <c r="U1087" t="s">
        <v>373</v>
      </c>
      <c r="V1087" t="s">
        <v>20215</v>
      </c>
      <c r="W1087" t="s">
        <v>20216</v>
      </c>
      <c r="X1087" t="s">
        <v>20217</v>
      </c>
      <c r="Y1087" t="s">
        <v>20218</v>
      </c>
      <c r="Z1087" t="s">
        <v>20219</v>
      </c>
      <c r="AA1087" t="s">
        <v>20220</v>
      </c>
      <c r="AB1087" t="s">
        <v>20221</v>
      </c>
      <c r="AC1087" t="s">
        <v>20222</v>
      </c>
      <c r="AD1087" t="s">
        <v>20223</v>
      </c>
      <c r="BA1087" t="str">
        <f>"1299"</f>
        <v>1299</v>
      </c>
      <c r="BB1087" t="str">
        <f>"550"</f>
        <v>550</v>
      </c>
      <c r="BC1087" t="s">
        <v>949</v>
      </c>
      <c r="BD1087" t="str">
        <f>"2"</f>
        <v>2</v>
      </c>
      <c r="BE1087" t="s">
        <v>1089</v>
      </c>
      <c r="BF1087" t="str">
        <f>"43.7"</f>
        <v>43.7</v>
      </c>
      <c r="BG1087" t="str">
        <f>"3.25"</f>
        <v>3.25</v>
      </c>
      <c r="BH1087" t="str">
        <f>"44"</f>
        <v>44</v>
      </c>
      <c r="BI1087" t="str">
        <f>"59.79"</f>
        <v>59.79</v>
      </c>
      <c r="BJ1087" t="s">
        <v>1090</v>
      </c>
      <c r="BK1087" t="str">
        <f>"23.5"</f>
        <v>23.5</v>
      </c>
      <c r="BL1087" t="str">
        <f>"23.5"</f>
        <v>23.5</v>
      </c>
      <c r="BM1087" t="str">
        <f>"32.75"</f>
        <v>32.75</v>
      </c>
      <c r="BN1087" t="str">
        <f>"36.38"</f>
        <v>36.38</v>
      </c>
      <c r="BY1087" t="str">
        <f>"14.06"</f>
        <v>14.06</v>
      </c>
      <c r="BZ1087" t="str">
        <f>"0.398"</f>
        <v>0.398</v>
      </c>
      <c r="CA1087" t="s">
        <v>495</v>
      </c>
      <c r="CR1087" t="s">
        <v>400</v>
      </c>
      <c r="CS1087">
        <v>0</v>
      </c>
      <c r="CT1087" t="s">
        <v>400</v>
      </c>
      <c r="CV1087">
        <v>0</v>
      </c>
      <c r="CY1087" t="s">
        <v>400</v>
      </c>
      <c r="DA1087">
        <v>0</v>
      </c>
      <c r="DB1087">
        <v>0</v>
      </c>
      <c r="DC1087">
        <v>0</v>
      </c>
      <c r="DI1087">
        <v>4</v>
      </c>
      <c r="DJ1087" t="s">
        <v>471</v>
      </c>
      <c r="DK1087" t="s">
        <v>3481</v>
      </c>
      <c r="DM1087" t="s">
        <v>473</v>
      </c>
      <c r="DX1087" t="s">
        <v>3482</v>
      </c>
      <c r="EI1087" t="s">
        <v>1491</v>
      </c>
      <c r="EJ1087" t="s">
        <v>1491</v>
      </c>
      <c r="EK1087" t="s">
        <v>3482</v>
      </c>
      <c r="EL1087" t="s">
        <v>3483</v>
      </c>
      <c r="EM1087" t="s">
        <v>402</v>
      </c>
      <c r="EN1087">
        <v>0</v>
      </c>
      <c r="EO1087">
        <v>0</v>
      </c>
      <c r="EW1087" t="s">
        <v>1853</v>
      </c>
      <c r="EX1087" t="s">
        <v>3484</v>
      </c>
      <c r="EY1087" t="s">
        <v>1115</v>
      </c>
    </row>
    <row r="1088" spans="1:250" x14ac:dyDescent="0.25">
      <c r="A1088" t="s">
        <v>20224</v>
      </c>
      <c r="B1088" t="str">
        <f>"801542306588"</f>
        <v>801542306588</v>
      </c>
      <c r="C1088" t="s">
        <v>20225</v>
      </c>
      <c r="D1088" t="s">
        <v>15054</v>
      </c>
      <c r="E1088" t="s">
        <v>4074</v>
      </c>
      <c r="G1088" t="str">
        <f>"49"</f>
        <v>49</v>
      </c>
      <c r="H1088" t="str">
        <f>"15"</f>
        <v>15</v>
      </c>
      <c r="I1088" t="str">
        <f>"31"</f>
        <v>31</v>
      </c>
      <c r="J1088" t="str">
        <f>"106.26"</f>
        <v>106.26</v>
      </c>
      <c r="K1088" t="s">
        <v>20226</v>
      </c>
      <c r="N1088" t="s">
        <v>1101</v>
      </c>
      <c r="T1088" t="s">
        <v>373</v>
      </c>
      <c r="U1088" t="s">
        <v>373</v>
      </c>
      <c r="V1088" t="s">
        <v>20227</v>
      </c>
      <c r="W1088" t="s">
        <v>20228</v>
      </c>
      <c r="X1088" t="s">
        <v>20229</v>
      </c>
      <c r="Y1088" t="s">
        <v>20230</v>
      </c>
      <c r="Z1088" t="s">
        <v>20231</v>
      </c>
      <c r="AA1088" t="s">
        <v>20232</v>
      </c>
      <c r="AB1088" t="s">
        <v>20233</v>
      </c>
      <c r="AC1088" t="s">
        <v>20234</v>
      </c>
      <c r="AD1088" t="s">
        <v>20235</v>
      </c>
      <c r="AE1088" t="s">
        <v>20236</v>
      </c>
      <c r="AF1088" t="s">
        <v>20237</v>
      </c>
      <c r="AG1088" t="s">
        <v>20238</v>
      </c>
      <c r="BA1088" t="str">
        <f>"999"</f>
        <v>999</v>
      </c>
      <c r="BB1088" t="str">
        <f>"420"</f>
        <v>420</v>
      </c>
      <c r="BC1088" t="s">
        <v>949</v>
      </c>
      <c r="BD1088" t="str">
        <f>"1"</f>
        <v>1</v>
      </c>
      <c r="BE1088" t="s">
        <v>389</v>
      </c>
      <c r="BF1088" t="str">
        <f>"57.25"</f>
        <v>57.25</v>
      </c>
      <c r="BG1088" t="str">
        <f>"18.75"</f>
        <v>18.75</v>
      </c>
      <c r="BH1088" t="str">
        <f>"34.5"</f>
        <v>34.5</v>
      </c>
      <c r="BI1088" t="str">
        <f>"144.51"</f>
        <v>144.51</v>
      </c>
      <c r="BY1088" t="str">
        <f>"21.44"</f>
        <v>21.44</v>
      </c>
      <c r="BZ1088" t="str">
        <f>"0.607"</f>
        <v>0.607</v>
      </c>
      <c r="CA1088" t="s">
        <v>390</v>
      </c>
      <c r="CE1088" t="s">
        <v>13516</v>
      </c>
      <c r="CF1088" t="s">
        <v>602</v>
      </c>
      <c r="CG1088" t="s">
        <v>3023</v>
      </c>
      <c r="CR1088" t="s">
        <v>400</v>
      </c>
      <c r="CS1088">
        <v>0</v>
      </c>
      <c r="CT1088" t="s">
        <v>400</v>
      </c>
      <c r="CV1088">
        <v>0</v>
      </c>
      <c r="CX1088" t="s">
        <v>667</v>
      </c>
      <c r="CY1088" t="s">
        <v>400</v>
      </c>
      <c r="DC1088">
        <v>0</v>
      </c>
      <c r="DJ1088" t="s">
        <v>408</v>
      </c>
      <c r="DK1088" t="s">
        <v>20239</v>
      </c>
      <c r="DM1088" t="s">
        <v>473</v>
      </c>
      <c r="DX1088" t="s">
        <v>446</v>
      </c>
      <c r="DZ1088" t="s">
        <v>1158</v>
      </c>
      <c r="EI1088" t="s">
        <v>979</v>
      </c>
      <c r="EJ1088" t="s">
        <v>3096</v>
      </c>
      <c r="EK1088" t="s">
        <v>827</v>
      </c>
      <c r="EL1088" t="s">
        <v>1040</v>
      </c>
      <c r="EN1088">
        <v>1</v>
      </c>
      <c r="EO1088">
        <v>0</v>
      </c>
      <c r="EZ1088" t="s">
        <v>1040</v>
      </c>
      <c r="FA1088" t="s">
        <v>1056</v>
      </c>
      <c r="FB1088" t="s">
        <v>1158</v>
      </c>
      <c r="FH1088" t="s">
        <v>1245</v>
      </c>
      <c r="FI1088">
        <v>1</v>
      </c>
      <c r="FJ1088" t="s">
        <v>6562</v>
      </c>
      <c r="FO1088" t="s">
        <v>984</v>
      </c>
    </row>
    <row r="1089" spans="1:303" x14ac:dyDescent="0.25">
      <c r="A1089" t="s">
        <v>20240</v>
      </c>
      <c r="B1089" t="str">
        <f>"801542386818"</f>
        <v>801542386818</v>
      </c>
      <c r="C1089" t="s">
        <v>20241</v>
      </c>
      <c r="D1089" t="s">
        <v>3487</v>
      </c>
      <c r="E1089" t="s">
        <v>3813</v>
      </c>
      <c r="G1089" t="str">
        <f>"65"</f>
        <v>65</v>
      </c>
      <c r="H1089" t="str">
        <f>"17.75"</f>
        <v>17.75</v>
      </c>
      <c r="I1089" t="str">
        <f>"76.75"</f>
        <v>76.75</v>
      </c>
      <c r="J1089" t="str">
        <f>"174.17"</f>
        <v>174.17</v>
      </c>
      <c r="K1089" t="s">
        <v>20242</v>
      </c>
      <c r="L1089" t="s">
        <v>6439</v>
      </c>
      <c r="N1089" t="s">
        <v>555</v>
      </c>
      <c r="O1089" t="s">
        <v>933</v>
      </c>
      <c r="T1089" t="s">
        <v>373</v>
      </c>
      <c r="U1089" t="s">
        <v>373</v>
      </c>
      <c r="V1089" t="s">
        <v>20243</v>
      </c>
      <c r="W1089" t="s">
        <v>20244</v>
      </c>
      <c r="X1089" t="s">
        <v>20245</v>
      </c>
      <c r="Y1089" t="s">
        <v>20246</v>
      </c>
      <c r="Z1089" t="s">
        <v>20247</v>
      </c>
      <c r="AA1089" t="s">
        <v>20248</v>
      </c>
      <c r="AB1089" t="s">
        <v>20249</v>
      </c>
      <c r="AC1089" t="s">
        <v>20250</v>
      </c>
      <c r="AD1089" t="s">
        <v>20251</v>
      </c>
      <c r="AE1089" t="s">
        <v>20252</v>
      </c>
      <c r="AF1089" t="s">
        <v>20253</v>
      </c>
      <c r="AG1089" t="s">
        <v>20254</v>
      </c>
      <c r="AH1089" t="s">
        <v>20255</v>
      </c>
      <c r="AI1089" t="s">
        <v>20256</v>
      </c>
      <c r="AJ1089" t="s">
        <v>20257</v>
      </c>
      <c r="AK1089" t="s">
        <v>20258</v>
      </c>
      <c r="BA1089" t="str">
        <f>"1799"</f>
        <v>1799</v>
      </c>
      <c r="BB1089" t="str">
        <f>"760"</f>
        <v>760</v>
      </c>
      <c r="BC1089" t="s">
        <v>949</v>
      </c>
      <c r="BD1089" t="str">
        <f>"2"</f>
        <v>2</v>
      </c>
      <c r="BE1089" t="s">
        <v>20259</v>
      </c>
      <c r="BF1089" t="str">
        <f>"67.5"</f>
        <v>67.5</v>
      </c>
      <c r="BG1089" t="str">
        <f>"20.25"</f>
        <v>20.25</v>
      </c>
      <c r="BH1089" t="str">
        <f>"30.5"</f>
        <v>30.5</v>
      </c>
      <c r="BI1089" t="str">
        <f>"181.84"</f>
        <v>181.84</v>
      </c>
      <c r="BJ1089" t="s">
        <v>20260</v>
      </c>
      <c r="BK1089" t="str">
        <f>"79.5"</f>
        <v>79.5</v>
      </c>
      <c r="BL1089" t="str">
        <f>"21"</f>
        <v>21</v>
      </c>
      <c r="BM1089" t="str">
        <f>"6"</f>
        <v>6</v>
      </c>
      <c r="BN1089" t="str">
        <f>"41.67"</f>
        <v>41.67</v>
      </c>
      <c r="BY1089" t="str">
        <f>"29.91"</f>
        <v>29.91</v>
      </c>
      <c r="BZ1089" t="str">
        <f>"0.847"</f>
        <v>0.847</v>
      </c>
      <c r="CA1089" t="s">
        <v>431</v>
      </c>
      <c r="CB1089" t="s">
        <v>20261</v>
      </c>
      <c r="CC1089" t="s">
        <v>3518</v>
      </c>
      <c r="CD1089" t="s">
        <v>20262</v>
      </c>
      <c r="CE1089" t="s">
        <v>20261</v>
      </c>
      <c r="CF1089" t="s">
        <v>20263</v>
      </c>
      <c r="CG1089" t="s">
        <v>20262</v>
      </c>
      <c r="CR1089" t="s">
        <v>400</v>
      </c>
      <c r="CS1089">
        <v>0</v>
      </c>
      <c r="CT1089" t="s">
        <v>400</v>
      </c>
      <c r="CV1089">
        <v>4</v>
      </c>
      <c r="CW1089" t="s">
        <v>402</v>
      </c>
      <c r="CX1089" t="s">
        <v>667</v>
      </c>
      <c r="CY1089" t="s">
        <v>954</v>
      </c>
      <c r="DA1089">
        <v>18.14</v>
      </c>
      <c r="DB1089">
        <v>40</v>
      </c>
      <c r="DC1089">
        <v>2</v>
      </c>
      <c r="DJ1089" t="s">
        <v>5762</v>
      </c>
      <c r="DK1089" t="s">
        <v>20264</v>
      </c>
      <c r="DX1089" t="s">
        <v>20265</v>
      </c>
      <c r="EM1089" t="s">
        <v>402</v>
      </c>
      <c r="EN1089">
        <v>7</v>
      </c>
      <c r="EZ1089" t="s">
        <v>858</v>
      </c>
      <c r="FA1089" t="s">
        <v>1040</v>
      </c>
      <c r="FB1089" t="s">
        <v>449</v>
      </c>
      <c r="FC1089" t="s">
        <v>1055</v>
      </c>
      <c r="FD1089" t="s">
        <v>7363</v>
      </c>
      <c r="FE1089" t="s">
        <v>17353</v>
      </c>
      <c r="FH1089" t="s">
        <v>959</v>
      </c>
      <c r="FI1089">
        <v>2</v>
      </c>
      <c r="FJ1089" t="s">
        <v>960</v>
      </c>
      <c r="FK1089" t="s">
        <v>1246</v>
      </c>
      <c r="FM1089" t="s">
        <v>402</v>
      </c>
      <c r="FO1089" t="s">
        <v>984</v>
      </c>
      <c r="GB1089" t="s">
        <v>20261</v>
      </c>
      <c r="GC1089" t="s">
        <v>20263</v>
      </c>
      <c r="GD1089" t="s">
        <v>20262</v>
      </c>
      <c r="GR1089" t="s">
        <v>20261</v>
      </c>
      <c r="GS1089" t="s">
        <v>20266</v>
      </c>
      <c r="GT1089" t="s">
        <v>20263</v>
      </c>
      <c r="GU1089" t="s">
        <v>603</v>
      </c>
      <c r="GV1089" t="s">
        <v>20262</v>
      </c>
      <c r="GW1089" t="s">
        <v>17353</v>
      </c>
      <c r="JM1089" t="s">
        <v>20266</v>
      </c>
      <c r="JN1089" t="s">
        <v>7363</v>
      </c>
      <c r="JO1089" t="s">
        <v>11151</v>
      </c>
      <c r="JY1089" t="s">
        <v>20266</v>
      </c>
      <c r="JZ1089" t="s">
        <v>603</v>
      </c>
      <c r="KA1089" t="s">
        <v>17353</v>
      </c>
      <c r="KL1089" t="s">
        <v>20266</v>
      </c>
      <c r="KM1089" t="s">
        <v>20266</v>
      </c>
      <c r="KN1089" t="s">
        <v>5937</v>
      </c>
      <c r="KO1089" t="s">
        <v>5937</v>
      </c>
      <c r="KP1089" t="s">
        <v>11151</v>
      </c>
      <c r="KQ1089" t="s">
        <v>11151</v>
      </c>
    </row>
    <row r="1090" spans="1:303" x14ac:dyDescent="0.25">
      <c r="A1090" t="s">
        <v>20267</v>
      </c>
      <c r="B1090" t="str">
        <f>"801542461614"</f>
        <v>801542461614</v>
      </c>
      <c r="C1090" t="s">
        <v>3524</v>
      </c>
      <c r="D1090" t="s">
        <v>3487</v>
      </c>
      <c r="E1090" t="s">
        <v>2006</v>
      </c>
      <c r="F1090" t="s">
        <v>2007</v>
      </c>
      <c r="G1090" t="str">
        <f>"62.25"</f>
        <v>62.25</v>
      </c>
      <c r="H1090" t="str">
        <f>"83"</f>
        <v>83</v>
      </c>
      <c r="I1090" t="str">
        <f>"46.5"</f>
        <v>46.5</v>
      </c>
      <c r="J1090" t="str">
        <f>"148.11"</f>
        <v>148.11</v>
      </c>
      <c r="K1090" t="s">
        <v>2053</v>
      </c>
      <c r="L1090" t="s">
        <v>6438</v>
      </c>
      <c r="N1090" t="s">
        <v>933</v>
      </c>
      <c r="O1090" t="s">
        <v>3490</v>
      </c>
      <c r="T1090" t="s">
        <v>373</v>
      </c>
      <c r="U1090" t="s">
        <v>373</v>
      </c>
      <c r="V1090" t="s">
        <v>20268</v>
      </c>
      <c r="W1090" t="s">
        <v>20269</v>
      </c>
      <c r="X1090" t="s">
        <v>20270</v>
      </c>
      <c r="Y1090" t="s">
        <v>20271</v>
      </c>
      <c r="Z1090" t="s">
        <v>20272</v>
      </c>
      <c r="AA1090" t="s">
        <v>20273</v>
      </c>
      <c r="AB1090" t="s">
        <v>20274</v>
      </c>
      <c r="AC1090" t="s">
        <v>20275</v>
      </c>
      <c r="AD1090" t="s">
        <v>20276</v>
      </c>
      <c r="AE1090" t="s">
        <v>20277</v>
      </c>
      <c r="AF1090" t="s">
        <v>20278</v>
      </c>
      <c r="AG1090" t="s">
        <v>20279</v>
      </c>
      <c r="AH1090" t="s">
        <v>20280</v>
      </c>
      <c r="BA1090" t="str">
        <f>"1699"</f>
        <v>1699</v>
      </c>
      <c r="BB1090" t="str">
        <f>"715"</f>
        <v>715</v>
      </c>
      <c r="BC1090" t="s">
        <v>949</v>
      </c>
      <c r="BD1090" t="str">
        <f>"2"</f>
        <v>2</v>
      </c>
      <c r="BE1090" t="s">
        <v>3541</v>
      </c>
      <c r="BF1090" t="str">
        <f>"67"</f>
        <v>67</v>
      </c>
      <c r="BG1090" t="str">
        <f>"7.5"</f>
        <v>7.5</v>
      </c>
      <c r="BH1090" t="str">
        <f>"50.75"</f>
        <v>50.75</v>
      </c>
      <c r="BI1090" t="str">
        <f>"91.49"</f>
        <v>91.49</v>
      </c>
      <c r="BJ1090" t="s">
        <v>3542</v>
      </c>
      <c r="BK1090" t="str">
        <f>"83"</f>
        <v>83</v>
      </c>
      <c r="BL1090" t="str">
        <f>"11.75"</f>
        <v>11.75</v>
      </c>
      <c r="BM1090" t="str">
        <f>"12.5"</f>
        <v>12.5</v>
      </c>
      <c r="BN1090" t="str">
        <f>"110.89"</f>
        <v>110.89</v>
      </c>
      <c r="BY1090" t="str">
        <f>"21.82"</f>
        <v>21.82</v>
      </c>
      <c r="BZ1090" t="str">
        <f>"0.618"</f>
        <v>0.618</v>
      </c>
      <c r="CA1090" t="s">
        <v>495</v>
      </c>
      <c r="CR1090" t="s">
        <v>400</v>
      </c>
      <c r="CS1090">
        <v>0</v>
      </c>
      <c r="CT1090" t="s">
        <v>400</v>
      </c>
      <c r="CV1090">
        <v>0</v>
      </c>
      <c r="CX1090" t="s">
        <v>667</v>
      </c>
      <c r="CY1090" t="s">
        <v>400</v>
      </c>
      <c r="DA1090">
        <v>0</v>
      </c>
      <c r="DB1090">
        <v>0</v>
      </c>
      <c r="DC1090">
        <v>0</v>
      </c>
      <c r="DK1090" t="s">
        <v>3510</v>
      </c>
      <c r="DM1090" t="s">
        <v>2028</v>
      </c>
      <c r="EN1090">
        <v>0</v>
      </c>
      <c r="HN1090" t="s">
        <v>3511</v>
      </c>
      <c r="HO1090" t="s">
        <v>3511</v>
      </c>
      <c r="HP1090" t="s">
        <v>3511</v>
      </c>
      <c r="HQ1090" t="s">
        <v>3512</v>
      </c>
      <c r="HR1090" t="s">
        <v>637</v>
      </c>
      <c r="HS1090" t="s">
        <v>3543</v>
      </c>
      <c r="HT1090" t="s">
        <v>3514</v>
      </c>
      <c r="HU1090" t="s">
        <v>637</v>
      </c>
      <c r="HV1090" t="s">
        <v>3543</v>
      </c>
      <c r="HW1090" t="s">
        <v>3544</v>
      </c>
      <c r="HX1090" t="s">
        <v>1712</v>
      </c>
      <c r="HY1090" t="s">
        <v>3545</v>
      </c>
      <c r="HZ1090" t="s">
        <v>566</v>
      </c>
      <c r="IA1090" t="s">
        <v>3544</v>
      </c>
      <c r="IB1090" t="s">
        <v>3518</v>
      </c>
      <c r="IC1090" t="s">
        <v>402</v>
      </c>
      <c r="ID1090" t="s">
        <v>3519</v>
      </c>
      <c r="IE1090" t="s">
        <v>3520</v>
      </c>
      <c r="IF1090" t="s">
        <v>2177</v>
      </c>
      <c r="IG1090" t="s">
        <v>2007</v>
      </c>
      <c r="IM1090" t="s">
        <v>3521</v>
      </c>
      <c r="IN1090" t="s">
        <v>540</v>
      </c>
      <c r="IO1090" t="s">
        <v>637</v>
      </c>
      <c r="IP1090" t="s">
        <v>402</v>
      </c>
      <c r="IQ1090" t="s">
        <v>3522</v>
      </c>
    </row>
    <row r="1091" spans="1:303" x14ac:dyDescent="0.25">
      <c r="A1091" t="s">
        <v>20281</v>
      </c>
      <c r="B1091" t="str">
        <f>"801542462543"</f>
        <v>801542462543</v>
      </c>
      <c r="C1091" t="s">
        <v>3524</v>
      </c>
      <c r="D1091" t="s">
        <v>3487</v>
      </c>
      <c r="E1091" t="s">
        <v>2006</v>
      </c>
      <c r="F1091" t="s">
        <v>2981</v>
      </c>
      <c r="G1091" t="str">
        <f>"42.5"</f>
        <v>42.5</v>
      </c>
      <c r="H1091" t="str">
        <f>"79"</f>
        <v>79</v>
      </c>
      <c r="I1091" t="str">
        <f>"46.5"</f>
        <v>46.5</v>
      </c>
      <c r="J1091" t="str">
        <f>"109.04"</f>
        <v>109.04</v>
      </c>
      <c r="K1091" t="s">
        <v>2053</v>
      </c>
      <c r="L1091" t="s">
        <v>6438</v>
      </c>
      <c r="N1091" t="s">
        <v>933</v>
      </c>
      <c r="O1091" t="s">
        <v>3490</v>
      </c>
      <c r="T1091" t="s">
        <v>373</v>
      </c>
      <c r="U1091" t="s">
        <v>373</v>
      </c>
      <c r="V1091" t="s">
        <v>20268</v>
      </c>
      <c r="W1091" t="s">
        <v>20282</v>
      </c>
      <c r="X1091" t="s">
        <v>20283</v>
      </c>
      <c r="Y1091" t="s">
        <v>20284</v>
      </c>
      <c r="Z1091" t="s">
        <v>20285</v>
      </c>
      <c r="AA1091" t="s">
        <v>20286</v>
      </c>
      <c r="AB1091" t="s">
        <v>20287</v>
      </c>
      <c r="AC1091" t="s">
        <v>20288</v>
      </c>
      <c r="AD1091" t="s">
        <v>20289</v>
      </c>
      <c r="BA1091" t="str">
        <f>"1299"</f>
        <v>1299</v>
      </c>
      <c r="BB1091" t="str">
        <f>"550"</f>
        <v>550</v>
      </c>
      <c r="BC1091" t="s">
        <v>949</v>
      </c>
      <c r="BD1091" t="str">
        <f>"2"</f>
        <v>2</v>
      </c>
      <c r="BE1091" t="s">
        <v>3541</v>
      </c>
      <c r="BF1091" t="str">
        <f>"47.25"</f>
        <v>47.25</v>
      </c>
      <c r="BG1091" t="str">
        <f>"7.5"</f>
        <v>7.5</v>
      </c>
      <c r="BH1091" t="str">
        <f>"50.75"</f>
        <v>50.75</v>
      </c>
      <c r="BI1091" t="str">
        <f>"56.04"</f>
        <v>56.04</v>
      </c>
      <c r="BJ1091" t="s">
        <v>3542</v>
      </c>
      <c r="BK1091" t="str">
        <f>"79.5"</f>
        <v>79.5</v>
      </c>
      <c r="BL1091" t="str">
        <f>"8.5"</f>
        <v>8.5</v>
      </c>
      <c r="BM1091" t="str">
        <f>"14.5"</f>
        <v>14.5</v>
      </c>
      <c r="BN1091" t="str">
        <f>"72.14"</f>
        <v>72.14</v>
      </c>
      <c r="BY1091" t="str">
        <f>"16.1"</f>
        <v>16.1</v>
      </c>
      <c r="BZ1091" t="str">
        <f>"0.456"</f>
        <v>0.456</v>
      </c>
      <c r="CA1091" t="s">
        <v>390</v>
      </c>
      <c r="CR1091" t="s">
        <v>400</v>
      </c>
      <c r="CS1091">
        <v>0</v>
      </c>
      <c r="CT1091" t="s">
        <v>400</v>
      </c>
      <c r="CV1091">
        <v>0</v>
      </c>
      <c r="CX1091" t="s">
        <v>667</v>
      </c>
      <c r="CY1091" t="s">
        <v>400</v>
      </c>
      <c r="DA1091">
        <v>0</v>
      </c>
      <c r="DB1091">
        <v>0</v>
      </c>
      <c r="DC1091">
        <v>0</v>
      </c>
      <c r="DK1091" t="s">
        <v>3510</v>
      </c>
      <c r="DM1091" t="s">
        <v>2028</v>
      </c>
      <c r="EN1091">
        <v>0</v>
      </c>
      <c r="HN1091" t="s">
        <v>3511</v>
      </c>
      <c r="HO1091" t="s">
        <v>3511</v>
      </c>
      <c r="HP1091" t="s">
        <v>3511</v>
      </c>
      <c r="HQ1091" t="s">
        <v>3512</v>
      </c>
      <c r="HR1091" t="s">
        <v>637</v>
      </c>
      <c r="HS1091" t="s">
        <v>3513</v>
      </c>
      <c r="HT1091" t="s">
        <v>3514</v>
      </c>
      <c r="HU1091" t="s">
        <v>637</v>
      </c>
      <c r="HV1091" t="s">
        <v>3513</v>
      </c>
      <c r="HW1091" t="s">
        <v>3515</v>
      </c>
      <c r="HX1091" t="s">
        <v>1712</v>
      </c>
      <c r="HY1091" t="s">
        <v>3516</v>
      </c>
      <c r="HZ1091" t="s">
        <v>566</v>
      </c>
      <c r="IA1091" t="s">
        <v>3517</v>
      </c>
      <c r="IB1091" t="s">
        <v>3518</v>
      </c>
      <c r="IC1091" t="s">
        <v>402</v>
      </c>
      <c r="ID1091" t="s">
        <v>3519</v>
      </c>
      <c r="IE1091" t="s">
        <v>3520</v>
      </c>
      <c r="IF1091" t="s">
        <v>2177</v>
      </c>
      <c r="IG1091" t="s">
        <v>2981</v>
      </c>
      <c r="IM1091" t="s">
        <v>3521</v>
      </c>
      <c r="IN1091" t="s">
        <v>540</v>
      </c>
      <c r="IO1091" t="s">
        <v>637</v>
      </c>
      <c r="IP1091" t="s">
        <v>402</v>
      </c>
      <c r="IQ1091" t="s">
        <v>3522</v>
      </c>
    </row>
    <row r="1092" spans="1:303" x14ac:dyDescent="0.25">
      <c r="A1092" t="s">
        <v>20290</v>
      </c>
      <c r="B1092" t="str">
        <f>"801542441845"</f>
        <v>801542441845</v>
      </c>
      <c r="C1092" t="s">
        <v>20291</v>
      </c>
      <c r="D1092" t="s">
        <v>3487</v>
      </c>
      <c r="E1092" t="s">
        <v>964</v>
      </c>
      <c r="G1092" t="str">
        <f>"35"</f>
        <v>35</v>
      </c>
      <c r="H1092" t="str">
        <f>"18"</f>
        <v>18</v>
      </c>
      <c r="I1092" t="str">
        <f>"32"</f>
        <v>32</v>
      </c>
      <c r="J1092" t="str">
        <f>"85.76"</f>
        <v>85.76</v>
      </c>
      <c r="K1092" t="s">
        <v>6439</v>
      </c>
      <c r="L1092" t="s">
        <v>6438</v>
      </c>
      <c r="M1092" t="s">
        <v>3579</v>
      </c>
      <c r="N1092" t="s">
        <v>933</v>
      </c>
      <c r="O1092" t="s">
        <v>3490</v>
      </c>
      <c r="P1092" t="s">
        <v>555</v>
      </c>
      <c r="T1092" t="s">
        <v>373</v>
      </c>
      <c r="U1092" t="s">
        <v>373</v>
      </c>
      <c r="V1092" t="s">
        <v>20292</v>
      </c>
      <c r="W1092" t="s">
        <v>20293</v>
      </c>
      <c r="X1092" t="s">
        <v>20294</v>
      </c>
      <c r="Y1092" t="s">
        <v>20295</v>
      </c>
      <c r="Z1092" t="s">
        <v>20296</v>
      </c>
      <c r="AA1092" t="s">
        <v>20297</v>
      </c>
      <c r="AB1092" t="s">
        <v>20298</v>
      </c>
      <c r="AC1092" t="s">
        <v>20299</v>
      </c>
      <c r="AD1092" t="s">
        <v>20300</v>
      </c>
      <c r="AE1092" t="s">
        <v>20301</v>
      </c>
      <c r="AF1092" t="s">
        <v>20302</v>
      </c>
      <c r="AG1092" t="s">
        <v>20303</v>
      </c>
      <c r="AH1092" t="s">
        <v>20304</v>
      </c>
      <c r="AI1092" t="s">
        <v>20305</v>
      </c>
      <c r="AJ1092" t="s">
        <v>20306</v>
      </c>
      <c r="BA1092" t="str">
        <f>"1199"</f>
        <v>1199</v>
      </c>
      <c r="BB1092" t="str">
        <f>"505"</f>
        <v>505</v>
      </c>
      <c r="BC1092" t="s">
        <v>949</v>
      </c>
      <c r="BD1092" t="str">
        <f>"1"</f>
        <v>1</v>
      </c>
      <c r="BE1092" t="s">
        <v>389</v>
      </c>
      <c r="BF1092" t="str">
        <f>"38.5"</f>
        <v>38.5</v>
      </c>
      <c r="BG1092" t="str">
        <f>"21.5"</f>
        <v>21.5</v>
      </c>
      <c r="BH1092" t="str">
        <f>"32.5"</f>
        <v>32.5</v>
      </c>
      <c r="BI1092" t="str">
        <f>"98.9"</f>
        <v>98.9</v>
      </c>
      <c r="BY1092" t="str">
        <f>"15.57"</f>
        <v>15.57</v>
      </c>
      <c r="BZ1092" t="str">
        <f>"0.441"</f>
        <v>0.441</v>
      </c>
      <c r="CA1092" t="s">
        <v>495</v>
      </c>
      <c r="CE1092" t="s">
        <v>511</v>
      </c>
      <c r="CF1092" t="s">
        <v>3596</v>
      </c>
      <c r="CG1092" t="s">
        <v>3597</v>
      </c>
      <c r="CR1092" t="s">
        <v>400</v>
      </c>
      <c r="CS1092">
        <v>0</v>
      </c>
      <c r="CT1092" t="s">
        <v>400</v>
      </c>
      <c r="CV1092">
        <v>0</v>
      </c>
      <c r="CX1092" t="s">
        <v>667</v>
      </c>
      <c r="CY1092" t="s">
        <v>954</v>
      </c>
      <c r="DA1092">
        <v>18.14</v>
      </c>
      <c r="DB1092">
        <v>40</v>
      </c>
      <c r="DC1092">
        <v>2</v>
      </c>
      <c r="DJ1092" t="s">
        <v>982</v>
      </c>
      <c r="DK1092" t="s">
        <v>3598</v>
      </c>
      <c r="DX1092" t="s">
        <v>2599</v>
      </c>
      <c r="EM1092" t="s">
        <v>402</v>
      </c>
      <c r="EN1092">
        <v>2</v>
      </c>
      <c r="EZ1092" t="s">
        <v>1493</v>
      </c>
      <c r="FA1092" t="s">
        <v>1040</v>
      </c>
      <c r="FB1092" t="s">
        <v>3597</v>
      </c>
      <c r="FC1092" t="s">
        <v>979</v>
      </c>
      <c r="FD1092" t="s">
        <v>3599</v>
      </c>
      <c r="FE1092" t="s">
        <v>3600</v>
      </c>
      <c r="FF1092">
        <v>0</v>
      </c>
      <c r="FG1092" t="s">
        <v>402</v>
      </c>
      <c r="FH1092" t="s">
        <v>959</v>
      </c>
      <c r="FI1092">
        <v>2</v>
      </c>
      <c r="FJ1092" t="s">
        <v>960</v>
      </c>
      <c r="FK1092" t="s">
        <v>961</v>
      </c>
      <c r="FL1092">
        <v>0</v>
      </c>
      <c r="FM1092" t="s">
        <v>402</v>
      </c>
      <c r="FN1092" t="s">
        <v>3601</v>
      </c>
      <c r="FO1092" t="s">
        <v>984</v>
      </c>
      <c r="FQ1092">
        <v>0</v>
      </c>
      <c r="GB1092" t="s">
        <v>511</v>
      </c>
      <c r="GC1092" t="s">
        <v>3596</v>
      </c>
      <c r="GD1092" t="s">
        <v>3597</v>
      </c>
      <c r="GX1092" t="s">
        <v>433</v>
      </c>
      <c r="HI1092" t="s">
        <v>402</v>
      </c>
    </row>
    <row r="1093" spans="1:303" x14ac:dyDescent="0.25">
      <c r="A1093" t="s">
        <v>20307</v>
      </c>
      <c r="B1093" t="str">
        <f>"801542280376"</f>
        <v>801542280376</v>
      </c>
      <c r="C1093" t="s">
        <v>20308</v>
      </c>
      <c r="D1093" t="s">
        <v>20309</v>
      </c>
      <c r="E1093" t="s">
        <v>1077</v>
      </c>
      <c r="G1093" t="str">
        <f>"48"</f>
        <v>48</v>
      </c>
      <c r="H1093" t="str">
        <f>"48"</f>
        <v>48</v>
      </c>
      <c r="I1093" t="str">
        <f>"15"</f>
        <v>15</v>
      </c>
      <c r="J1093" t="str">
        <f>"189.6"</f>
        <v>189.6</v>
      </c>
      <c r="K1093" t="s">
        <v>20310</v>
      </c>
      <c r="L1093" t="s">
        <v>20311</v>
      </c>
      <c r="N1093" t="s">
        <v>6002</v>
      </c>
      <c r="O1093" t="s">
        <v>555</v>
      </c>
      <c r="T1093" t="s">
        <v>373</v>
      </c>
      <c r="U1093" t="s">
        <v>373</v>
      </c>
      <c r="V1093" t="s">
        <v>20312</v>
      </c>
      <c r="W1093" t="s">
        <v>20313</v>
      </c>
      <c r="X1093" t="s">
        <v>20314</v>
      </c>
      <c r="Y1093" t="s">
        <v>20315</v>
      </c>
      <c r="Z1093" t="s">
        <v>20316</v>
      </c>
      <c r="AA1093" t="s">
        <v>20317</v>
      </c>
      <c r="AB1093" t="s">
        <v>20318</v>
      </c>
      <c r="AC1093" t="s">
        <v>20319</v>
      </c>
      <c r="AD1093" t="s">
        <v>20320</v>
      </c>
      <c r="AE1093" t="s">
        <v>20321</v>
      </c>
      <c r="AF1093" t="s">
        <v>20322</v>
      </c>
      <c r="AG1093" t="s">
        <v>20323</v>
      </c>
      <c r="AH1093" t="s">
        <v>20324</v>
      </c>
      <c r="AI1093" t="s">
        <v>20325</v>
      </c>
      <c r="BA1093" t="str">
        <f>"1899"</f>
        <v>1899</v>
      </c>
      <c r="BB1093" t="str">
        <f>"800"</f>
        <v>800</v>
      </c>
      <c r="BC1093" t="s">
        <v>949</v>
      </c>
      <c r="BD1093" t="str">
        <f>"2"</f>
        <v>2</v>
      </c>
      <c r="BE1093" t="s">
        <v>1090</v>
      </c>
      <c r="BF1093" t="str">
        <f>"44.25"</f>
        <v>44.25</v>
      </c>
      <c r="BG1093" t="str">
        <f>"44.25"</f>
        <v>44.25</v>
      </c>
      <c r="BH1093" t="str">
        <f>"17"</f>
        <v>17</v>
      </c>
      <c r="BI1093" t="str">
        <f>"59.97"</f>
        <v>59.97</v>
      </c>
      <c r="BJ1093" t="s">
        <v>1089</v>
      </c>
      <c r="BK1093" t="str">
        <f>"56.5"</f>
        <v>56.5</v>
      </c>
      <c r="BL1093" t="str">
        <f>"8"</f>
        <v>8</v>
      </c>
      <c r="BM1093" t="str">
        <f>"56.5"</f>
        <v>56.5</v>
      </c>
      <c r="BN1093" t="str">
        <f>"248.24"</f>
        <v>248.24</v>
      </c>
      <c r="BY1093" t="str">
        <f>"34.01"</f>
        <v>34.01</v>
      </c>
      <c r="BZ1093" t="str">
        <f>"0.963"</f>
        <v>0.963</v>
      </c>
      <c r="CA1093" t="s">
        <v>495</v>
      </c>
      <c r="CR1093" t="s">
        <v>400</v>
      </c>
      <c r="CS1093">
        <v>0</v>
      </c>
      <c r="CT1093" t="s">
        <v>400</v>
      </c>
      <c r="CV1093">
        <v>0</v>
      </c>
      <c r="CY1093" t="s">
        <v>400</v>
      </c>
      <c r="DC1093">
        <v>0</v>
      </c>
      <c r="DJ1093" t="s">
        <v>471</v>
      </c>
      <c r="DK1093" t="s">
        <v>20177</v>
      </c>
      <c r="DM1093" t="s">
        <v>473</v>
      </c>
      <c r="DX1093" t="s">
        <v>958</v>
      </c>
      <c r="EI1093" t="s">
        <v>3384</v>
      </c>
      <c r="EJ1093" t="s">
        <v>2696</v>
      </c>
      <c r="EK1093" t="s">
        <v>3384</v>
      </c>
      <c r="EL1093" t="s">
        <v>637</v>
      </c>
      <c r="EN1093">
        <v>0</v>
      </c>
      <c r="EO1093">
        <v>0</v>
      </c>
      <c r="EX1093" t="s">
        <v>2599</v>
      </c>
    </row>
    <row r="1094" spans="1:303" x14ac:dyDescent="0.25">
      <c r="A1094" t="s">
        <v>20326</v>
      </c>
      <c r="B1094" t="str">
        <f>"801542296148"</f>
        <v>801542296148</v>
      </c>
      <c r="C1094" t="s">
        <v>20327</v>
      </c>
      <c r="D1094" t="s">
        <v>7960</v>
      </c>
      <c r="E1094" t="s">
        <v>1077</v>
      </c>
      <c r="G1094" t="str">
        <f>"42"</f>
        <v>42</v>
      </c>
      <c r="H1094" t="str">
        <f>"42"</f>
        <v>42</v>
      </c>
      <c r="I1094" t="str">
        <f>"15.5"</f>
        <v>15.5</v>
      </c>
      <c r="J1094" t="str">
        <f>"35.71"</f>
        <v>35.71</v>
      </c>
      <c r="K1094" t="s">
        <v>20328</v>
      </c>
      <c r="N1094" t="s">
        <v>20329</v>
      </c>
      <c r="T1094" t="s">
        <v>373</v>
      </c>
      <c r="U1094" t="s">
        <v>373</v>
      </c>
      <c r="V1094" t="s">
        <v>20330</v>
      </c>
      <c r="W1094" t="s">
        <v>20331</v>
      </c>
      <c r="X1094" t="s">
        <v>20332</v>
      </c>
      <c r="Y1094" t="s">
        <v>20333</v>
      </c>
      <c r="Z1094" t="s">
        <v>20334</v>
      </c>
      <c r="AA1094" t="s">
        <v>20335</v>
      </c>
      <c r="AB1094" t="s">
        <v>20336</v>
      </c>
      <c r="AC1094" t="s">
        <v>20337</v>
      </c>
      <c r="AD1094" t="s">
        <v>20338</v>
      </c>
      <c r="AE1094" t="s">
        <v>20339</v>
      </c>
      <c r="BA1094" t="str">
        <f>"999"</f>
        <v>999</v>
      </c>
      <c r="BB1094" t="str">
        <f>"420"</f>
        <v>420</v>
      </c>
      <c r="BC1094" t="s">
        <v>6158</v>
      </c>
      <c r="BD1094" t="str">
        <f t="shared" ref="BD1094:BD1099" si="199">"1"</f>
        <v>1</v>
      </c>
      <c r="BE1094" t="s">
        <v>389</v>
      </c>
      <c r="BF1094" t="str">
        <f>"46"</f>
        <v>46</v>
      </c>
      <c r="BG1094" t="str">
        <f>"46"</f>
        <v>46</v>
      </c>
      <c r="BH1094" t="str">
        <f>"19"</f>
        <v>19</v>
      </c>
      <c r="BI1094" t="str">
        <f>"54.67"</f>
        <v>54.67</v>
      </c>
      <c r="BY1094" t="str">
        <f>"23.27"</f>
        <v>23.27</v>
      </c>
      <c r="BZ1094" t="str">
        <f>"0.659"</f>
        <v>0.659</v>
      </c>
      <c r="CA1094" t="s">
        <v>431</v>
      </c>
      <c r="CQ1094" t="s">
        <v>438</v>
      </c>
      <c r="CR1094" t="s">
        <v>400</v>
      </c>
      <c r="CS1094">
        <v>0</v>
      </c>
      <c r="CT1094" t="s">
        <v>400</v>
      </c>
      <c r="CV1094">
        <v>0</v>
      </c>
      <c r="CX1094" t="s">
        <v>1609</v>
      </c>
      <c r="CY1094" t="s">
        <v>400</v>
      </c>
      <c r="DC1094">
        <v>0</v>
      </c>
      <c r="DD1094">
        <v>0</v>
      </c>
      <c r="DJ1094" t="s">
        <v>471</v>
      </c>
      <c r="DK1094" t="s">
        <v>20340</v>
      </c>
      <c r="DM1094" t="s">
        <v>473</v>
      </c>
      <c r="DX1094" t="s">
        <v>2241</v>
      </c>
      <c r="EI1094" t="s">
        <v>1150</v>
      </c>
      <c r="EJ1094" t="s">
        <v>510</v>
      </c>
      <c r="EK1094" t="s">
        <v>1150</v>
      </c>
      <c r="EL1094" t="s">
        <v>475</v>
      </c>
      <c r="EN1094">
        <v>0</v>
      </c>
      <c r="EO1094">
        <v>0</v>
      </c>
    </row>
    <row r="1095" spans="1:303" x14ac:dyDescent="0.25">
      <c r="A1095" t="s">
        <v>20341</v>
      </c>
      <c r="B1095" t="str">
        <f>"801542418748"</f>
        <v>801542418748</v>
      </c>
      <c r="C1095" t="s">
        <v>20342</v>
      </c>
      <c r="D1095" t="s">
        <v>7960</v>
      </c>
      <c r="E1095" t="s">
        <v>8884</v>
      </c>
      <c r="F1095" t="s">
        <v>10888</v>
      </c>
      <c r="G1095" t="str">
        <f>"36"</f>
        <v>36</v>
      </c>
      <c r="H1095" t="str">
        <f>"36"</f>
        <v>36</v>
      </c>
      <c r="I1095" t="str">
        <f>"15.5"</f>
        <v>15.5</v>
      </c>
      <c r="J1095" t="str">
        <f>"16.75"</f>
        <v>16.75</v>
      </c>
      <c r="K1095" t="s">
        <v>20343</v>
      </c>
      <c r="L1095" t="s">
        <v>20344</v>
      </c>
      <c r="N1095" t="s">
        <v>7963</v>
      </c>
      <c r="O1095" t="s">
        <v>1121</v>
      </c>
      <c r="T1095" t="s">
        <v>373</v>
      </c>
      <c r="U1095" t="s">
        <v>373</v>
      </c>
      <c r="V1095" t="s">
        <v>20345</v>
      </c>
      <c r="W1095" t="s">
        <v>20346</v>
      </c>
      <c r="X1095" t="s">
        <v>20347</v>
      </c>
      <c r="Y1095" t="s">
        <v>20348</v>
      </c>
      <c r="Z1095" t="s">
        <v>20349</v>
      </c>
      <c r="AA1095" t="s">
        <v>20350</v>
      </c>
      <c r="AB1095" t="s">
        <v>20351</v>
      </c>
      <c r="AC1095" t="s">
        <v>20352</v>
      </c>
      <c r="AD1095" t="s">
        <v>20353</v>
      </c>
      <c r="AE1095" t="s">
        <v>20354</v>
      </c>
      <c r="BA1095" t="str">
        <f>"699"</f>
        <v>699</v>
      </c>
      <c r="BB1095" t="str">
        <f>"295"</f>
        <v>295</v>
      </c>
      <c r="BC1095" t="s">
        <v>6158</v>
      </c>
      <c r="BD1095" t="str">
        <f t="shared" si="199"/>
        <v>1</v>
      </c>
      <c r="BE1095" t="s">
        <v>389</v>
      </c>
      <c r="BF1095" t="str">
        <f>"41"</f>
        <v>41</v>
      </c>
      <c r="BG1095" t="str">
        <f>"41"</f>
        <v>41</v>
      </c>
      <c r="BH1095" t="str">
        <f>"20.25"</f>
        <v>20.25</v>
      </c>
      <c r="BI1095" t="str">
        <f>"31.31"</f>
        <v>31.31</v>
      </c>
      <c r="BY1095" t="str">
        <f>"19.71"</f>
        <v>19.71</v>
      </c>
      <c r="BZ1095" t="str">
        <f>"0.558"</f>
        <v>0.558</v>
      </c>
      <c r="CA1095" t="s">
        <v>431</v>
      </c>
      <c r="CQ1095" t="s">
        <v>438</v>
      </c>
      <c r="CR1095" t="s">
        <v>400</v>
      </c>
      <c r="CS1095">
        <v>0</v>
      </c>
      <c r="CT1095" t="s">
        <v>400</v>
      </c>
      <c r="CV1095">
        <v>0</v>
      </c>
      <c r="CY1095" t="s">
        <v>400</v>
      </c>
      <c r="DC1095">
        <v>0</v>
      </c>
      <c r="DD1095">
        <v>0</v>
      </c>
      <c r="DJ1095" t="s">
        <v>471</v>
      </c>
      <c r="DK1095" t="s">
        <v>20355</v>
      </c>
      <c r="DM1095" t="s">
        <v>473</v>
      </c>
      <c r="EI1095" t="s">
        <v>859</v>
      </c>
      <c r="EJ1095" t="s">
        <v>510</v>
      </c>
      <c r="EK1095" t="s">
        <v>859</v>
      </c>
      <c r="EN1095">
        <v>0</v>
      </c>
      <c r="EO1095">
        <v>0</v>
      </c>
    </row>
    <row r="1096" spans="1:303" x14ac:dyDescent="0.25">
      <c r="A1096" t="s">
        <v>20356</v>
      </c>
      <c r="B1096" t="str">
        <f>"801542192396"</f>
        <v>801542192396</v>
      </c>
      <c r="C1096" t="s">
        <v>20357</v>
      </c>
      <c r="D1096" t="s">
        <v>1139</v>
      </c>
      <c r="E1096" t="s">
        <v>413</v>
      </c>
      <c r="G1096" t="str">
        <f>"92"</f>
        <v>92</v>
      </c>
      <c r="H1096" t="str">
        <f>"39.5"</f>
        <v>39.5</v>
      </c>
      <c r="I1096" t="str">
        <f>"30"</f>
        <v>30</v>
      </c>
      <c r="J1096" t="str">
        <f>"126.1"</f>
        <v>126.1</v>
      </c>
      <c r="K1096" t="s">
        <v>3028</v>
      </c>
      <c r="L1096" t="s">
        <v>20358</v>
      </c>
      <c r="N1096" t="s">
        <v>371</v>
      </c>
      <c r="O1096" t="s">
        <v>555</v>
      </c>
      <c r="T1096" t="s">
        <v>373</v>
      </c>
      <c r="U1096" t="s">
        <v>373</v>
      </c>
      <c r="V1096" t="s">
        <v>20359</v>
      </c>
      <c r="W1096" t="s">
        <v>20360</v>
      </c>
      <c r="X1096" t="s">
        <v>20361</v>
      </c>
      <c r="Y1096" t="s">
        <v>20362</v>
      </c>
      <c r="Z1096" t="s">
        <v>20363</v>
      </c>
      <c r="AA1096" t="s">
        <v>20364</v>
      </c>
      <c r="AB1096" t="s">
        <v>20365</v>
      </c>
      <c r="AC1096" t="s">
        <v>20366</v>
      </c>
      <c r="AD1096" t="s">
        <v>20367</v>
      </c>
      <c r="AE1096" t="s">
        <v>20368</v>
      </c>
      <c r="AF1096" t="s">
        <v>20369</v>
      </c>
      <c r="AG1096" t="s">
        <v>20370</v>
      </c>
      <c r="AH1096" t="s">
        <v>20371</v>
      </c>
      <c r="BA1096" t="str">
        <f>"2199"</f>
        <v>2199</v>
      </c>
      <c r="BB1096" t="str">
        <f>"925"</f>
        <v>925</v>
      </c>
      <c r="BC1096" t="s">
        <v>1149</v>
      </c>
      <c r="BD1096" t="str">
        <f t="shared" si="199"/>
        <v>1</v>
      </c>
      <c r="BE1096" t="s">
        <v>389</v>
      </c>
      <c r="BF1096" t="str">
        <f>"94"</f>
        <v>94</v>
      </c>
      <c r="BG1096" t="str">
        <f>"41"</f>
        <v>41</v>
      </c>
      <c r="BH1096" t="str">
        <f>"27"</f>
        <v>27</v>
      </c>
      <c r="BI1096" t="str">
        <f>"148.57"</f>
        <v>148.57</v>
      </c>
      <c r="BY1096" t="str">
        <f>"60.21"</f>
        <v>60.21</v>
      </c>
      <c r="BZ1096" t="str">
        <f>"1.705"</f>
        <v>1.705</v>
      </c>
      <c r="CA1096" t="s">
        <v>495</v>
      </c>
      <c r="CH1096" t="s">
        <v>822</v>
      </c>
      <c r="CI1096" t="s">
        <v>448</v>
      </c>
      <c r="CJ1096" t="s">
        <v>17865</v>
      </c>
      <c r="CK1096" t="s">
        <v>609</v>
      </c>
      <c r="CL1096" t="s">
        <v>449</v>
      </c>
      <c r="CM1096" t="s">
        <v>17865</v>
      </c>
      <c r="CN1096">
        <v>2</v>
      </c>
      <c r="CO1096">
        <v>2</v>
      </c>
      <c r="CP1096" t="s">
        <v>437</v>
      </c>
      <c r="CQ1096" t="s">
        <v>399</v>
      </c>
      <c r="CU1096" t="s">
        <v>2143</v>
      </c>
      <c r="CX1096" t="s">
        <v>403</v>
      </c>
      <c r="CY1096" t="s">
        <v>400</v>
      </c>
      <c r="CZ1096">
        <v>0</v>
      </c>
      <c r="DD1096">
        <v>100000</v>
      </c>
      <c r="DE1096" t="s">
        <v>439</v>
      </c>
      <c r="DF1096" t="s">
        <v>406</v>
      </c>
      <c r="DG1096" t="s">
        <v>407</v>
      </c>
      <c r="DH1096">
        <v>1</v>
      </c>
      <c r="DI1096">
        <v>3</v>
      </c>
      <c r="DK1096" t="s">
        <v>20372</v>
      </c>
      <c r="DL1096">
        <v>0</v>
      </c>
      <c r="DM1096" t="s">
        <v>410</v>
      </c>
      <c r="DN1096" t="s">
        <v>600</v>
      </c>
      <c r="DO1096" t="s">
        <v>450</v>
      </c>
      <c r="DP1096" t="s">
        <v>826</v>
      </c>
      <c r="DQ1096" t="s">
        <v>3018</v>
      </c>
      <c r="DR1096" t="s">
        <v>396</v>
      </c>
      <c r="DS1096" t="s">
        <v>1037</v>
      </c>
      <c r="DT1096" t="s">
        <v>446</v>
      </c>
      <c r="DU1096" t="s">
        <v>610</v>
      </c>
      <c r="DV1096" t="s">
        <v>2696</v>
      </c>
      <c r="DW1096" t="s">
        <v>3018</v>
      </c>
      <c r="DX1096" t="s">
        <v>2510</v>
      </c>
      <c r="DY1096" t="s">
        <v>859</v>
      </c>
      <c r="DZ1096" t="s">
        <v>2147</v>
      </c>
      <c r="EA1096" t="s">
        <v>450</v>
      </c>
      <c r="EB1096" t="s">
        <v>407</v>
      </c>
      <c r="EC1096" t="s">
        <v>402</v>
      </c>
      <c r="ED1096" t="s">
        <v>406</v>
      </c>
      <c r="EE1096" t="s">
        <v>407</v>
      </c>
      <c r="EF1096" t="s">
        <v>831</v>
      </c>
      <c r="EG1096" t="s">
        <v>1710</v>
      </c>
    </row>
    <row r="1097" spans="1:303" x14ac:dyDescent="0.25">
      <c r="A1097" t="s">
        <v>20373</v>
      </c>
      <c r="B1097" t="str">
        <f>"801542228217"</f>
        <v>801542228217</v>
      </c>
      <c r="C1097" t="s">
        <v>20374</v>
      </c>
      <c r="D1097" t="s">
        <v>1139</v>
      </c>
      <c r="E1097" t="s">
        <v>413</v>
      </c>
      <c r="G1097" t="str">
        <f>"92"</f>
        <v>92</v>
      </c>
      <c r="H1097" t="str">
        <f>"39.5"</f>
        <v>39.5</v>
      </c>
      <c r="I1097" t="str">
        <f>"30"</f>
        <v>30</v>
      </c>
      <c r="J1097" t="str">
        <f>"126.1"</f>
        <v>126.1</v>
      </c>
      <c r="K1097" t="s">
        <v>2999</v>
      </c>
      <c r="L1097" t="s">
        <v>20358</v>
      </c>
      <c r="N1097" t="s">
        <v>371</v>
      </c>
      <c r="O1097" t="s">
        <v>555</v>
      </c>
      <c r="T1097" t="s">
        <v>373</v>
      </c>
      <c r="U1097" t="s">
        <v>373</v>
      </c>
      <c r="V1097" t="s">
        <v>20359</v>
      </c>
      <c r="W1097" t="s">
        <v>20375</v>
      </c>
      <c r="X1097" t="s">
        <v>20376</v>
      </c>
      <c r="Y1097" t="s">
        <v>20377</v>
      </c>
      <c r="Z1097" t="s">
        <v>20378</v>
      </c>
      <c r="AA1097" t="s">
        <v>20379</v>
      </c>
      <c r="AB1097" t="s">
        <v>20380</v>
      </c>
      <c r="AC1097" t="s">
        <v>20381</v>
      </c>
      <c r="AD1097" t="s">
        <v>20382</v>
      </c>
      <c r="AE1097" t="s">
        <v>20383</v>
      </c>
      <c r="AF1097" t="s">
        <v>20384</v>
      </c>
      <c r="AG1097" t="s">
        <v>20385</v>
      </c>
      <c r="AH1097" t="s">
        <v>20386</v>
      </c>
      <c r="BA1097" t="str">
        <f>"2199"</f>
        <v>2199</v>
      </c>
      <c r="BB1097" t="str">
        <f>"925"</f>
        <v>925</v>
      </c>
      <c r="BC1097" t="s">
        <v>1149</v>
      </c>
      <c r="BD1097" t="str">
        <f t="shared" si="199"/>
        <v>1</v>
      </c>
      <c r="BE1097" t="s">
        <v>389</v>
      </c>
      <c r="BF1097" t="str">
        <f>"94"</f>
        <v>94</v>
      </c>
      <c r="BG1097" t="str">
        <f>"41"</f>
        <v>41</v>
      </c>
      <c r="BH1097" t="str">
        <f>"27"</f>
        <v>27</v>
      </c>
      <c r="BI1097" t="str">
        <f>"148.57"</f>
        <v>148.57</v>
      </c>
      <c r="BY1097" t="str">
        <f>"60.21"</f>
        <v>60.21</v>
      </c>
      <c r="BZ1097" t="str">
        <f>"1.705"</f>
        <v>1.705</v>
      </c>
      <c r="CA1097" t="s">
        <v>390</v>
      </c>
      <c r="CH1097" t="s">
        <v>822</v>
      </c>
      <c r="CI1097" t="s">
        <v>448</v>
      </c>
      <c r="CJ1097" t="s">
        <v>17865</v>
      </c>
      <c r="CK1097" t="s">
        <v>609</v>
      </c>
      <c r="CL1097" t="s">
        <v>449</v>
      </c>
      <c r="CM1097" t="s">
        <v>17865</v>
      </c>
      <c r="CN1097">
        <v>2</v>
      </c>
      <c r="CO1097">
        <v>2</v>
      </c>
      <c r="CP1097" t="s">
        <v>437</v>
      </c>
      <c r="CQ1097" t="s">
        <v>399</v>
      </c>
      <c r="CU1097" t="s">
        <v>2143</v>
      </c>
      <c r="CX1097" t="s">
        <v>403</v>
      </c>
      <c r="CY1097" t="s">
        <v>400</v>
      </c>
      <c r="CZ1097">
        <v>0</v>
      </c>
      <c r="DD1097">
        <v>100000</v>
      </c>
      <c r="DE1097" t="s">
        <v>439</v>
      </c>
      <c r="DF1097" t="s">
        <v>406</v>
      </c>
      <c r="DG1097" t="s">
        <v>407</v>
      </c>
      <c r="DH1097">
        <v>1</v>
      </c>
      <c r="DI1097">
        <v>3</v>
      </c>
      <c r="DK1097" t="s">
        <v>20372</v>
      </c>
      <c r="DL1097">
        <v>0</v>
      </c>
      <c r="DM1097" t="s">
        <v>410</v>
      </c>
      <c r="DN1097" t="s">
        <v>600</v>
      </c>
      <c r="DO1097" t="s">
        <v>450</v>
      </c>
      <c r="DP1097" t="s">
        <v>826</v>
      </c>
      <c r="DQ1097" t="s">
        <v>3018</v>
      </c>
      <c r="DR1097" t="s">
        <v>396</v>
      </c>
      <c r="DS1097" t="s">
        <v>1037</v>
      </c>
      <c r="DT1097" t="s">
        <v>446</v>
      </c>
      <c r="DU1097" t="s">
        <v>610</v>
      </c>
      <c r="DV1097" t="s">
        <v>2696</v>
      </c>
      <c r="DW1097" t="s">
        <v>3018</v>
      </c>
      <c r="DX1097" t="s">
        <v>2510</v>
      </c>
      <c r="DY1097" t="s">
        <v>859</v>
      </c>
      <c r="DZ1097" t="s">
        <v>2147</v>
      </c>
      <c r="EA1097" t="s">
        <v>450</v>
      </c>
      <c r="EB1097" t="s">
        <v>407</v>
      </c>
      <c r="EC1097" t="s">
        <v>402</v>
      </c>
      <c r="ED1097" t="s">
        <v>406</v>
      </c>
      <c r="EE1097" t="s">
        <v>407</v>
      </c>
      <c r="EF1097" t="s">
        <v>831</v>
      </c>
      <c r="EG1097" t="s">
        <v>1710</v>
      </c>
    </row>
    <row r="1098" spans="1:303" x14ac:dyDescent="0.25">
      <c r="A1098" t="s">
        <v>20387</v>
      </c>
      <c r="B1098" t="str">
        <f>"801542358921"</f>
        <v>801542358921</v>
      </c>
      <c r="C1098" t="s">
        <v>20388</v>
      </c>
      <c r="D1098" t="s">
        <v>1139</v>
      </c>
      <c r="E1098" t="s">
        <v>2244</v>
      </c>
      <c r="G1098" t="str">
        <f>"88"</f>
        <v>88</v>
      </c>
      <c r="H1098" t="str">
        <f>"40"</f>
        <v>40</v>
      </c>
      <c r="I1098" t="str">
        <f>"31"</f>
        <v>31</v>
      </c>
      <c r="J1098" t="str">
        <f>"139.2"</f>
        <v>139.2</v>
      </c>
      <c r="K1098" t="s">
        <v>12672</v>
      </c>
      <c r="L1098" t="s">
        <v>3000</v>
      </c>
      <c r="N1098" t="s">
        <v>10433</v>
      </c>
      <c r="O1098" t="s">
        <v>12673</v>
      </c>
      <c r="P1098" t="s">
        <v>621</v>
      </c>
      <c r="Q1098" t="s">
        <v>3001</v>
      </c>
      <c r="T1098" t="s">
        <v>373</v>
      </c>
      <c r="U1098" t="s">
        <v>402</v>
      </c>
      <c r="V1098" t="s">
        <v>20389</v>
      </c>
      <c r="W1098" t="s">
        <v>20390</v>
      </c>
      <c r="X1098" t="s">
        <v>20391</v>
      </c>
      <c r="Y1098" t="s">
        <v>20392</v>
      </c>
      <c r="Z1098" t="s">
        <v>20393</v>
      </c>
      <c r="AA1098" t="s">
        <v>20394</v>
      </c>
      <c r="AB1098" t="s">
        <v>20395</v>
      </c>
      <c r="AC1098" t="s">
        <v>20396</v>
      </c>
      <c r="AD1098" t="s">
        <v>20397</v>
      </c>
      <c r="AE1098" t="s">
        <v>20398</v>
      </c>
      <c r="AF1098" t="s">
        <v>20399</v>
      </c>
      <c r="BA1098" t="str">
        <f>"3099"</f>
        <v>3099</v>
      </c>
      <c r="BB1098" t="str">
        <f>"1305"</f>
        <v>1305</v>
      </c>
      <c r="BC1098" t="s">
        <v>1149</v>
      </c>
      <c r="BD1098" t="str">
        <f t="shared" si="199"/>
        <v>1</v>
      </c>
      <c r="BE1098" t="s">
        <v>389</v>
      </c>
      <c r="BF1098" t="str">
        <f>"92.5"</f>
        <v>92.5</v>
      </c>
      <c r="BG1098" t="str">
        <f>"41"</f>
        <v>41</v>
      </c>
      <c r="BH1098" t="str">
        <f>"31"</f>
        <v>31</v>
      </c>
      <c r="BI1098" t="str">
        <f>"146.61"</f>
        <v>146.61</v>
      </c>
      <c r="BY1098" t="str">
        <f>"68.05"</f>
        <v>68.05</v>
      </c>
      <c r="BZ1098" t="str">
        <f>"1.927"</f>
        <v>1.927</v>
      </c>
      <c r="CA1098" t="s">
        <v>390</v>
      </c>
      <c r="CH1098" t="s">
        <v>3633</v>
      </c>
      <c r="CI1098" t="s">
        <v>830</v>
      </c>
      <c r="CJ1098" t="s">
        <v>3634</v>
      </c>
      <c r="CK1098" t="s">
        <v>578</v>
      </c>
      <c r="CL1098" t="s">
        <v>791</v>
      </c>
      <c r="CM1098" t="s">
        <v>3634</v>
      </c>
      <c r="CN1098">
        <v>2</v>
      </c>
      <c r="CO1098">
        <v>2</v>
      </c>
      <c r="CP1098" t="s">
        <v>437</v>
      </c>
      <c r="CQ1098" t="s">
        <v>399</v>
      </c>
      <c r="CU1098" t="s">
        <v>3635</v>
      </c>
      <c r="CX1098" t="s">
        <v>403</v>
      </c>
      <c r="CY1098" t="s">
        <v>400</v>
      </c>
      <c r="CZ1098">
        <v>0</v>
      </c>
      <c r="DD1098">
        <v>15000</v>
      </c>
      <c r="DE1098" t="s">
        <v>439</v>
      </c>
      <c r="DF1098" t="s">
        <v>406</v>
      </c>
      <c r="DG1098" t="s">
        <v>454</v>
      </c>
      <c r="DH1098">
        <v>1</v>
      </c>
      <c r="DI1098">
        <v>1</v>
      </c>
      <c r="DK1098" t="s">
        <v>3636</v>
      </c>
      <c r="DL1098">
        <v>0</v>
      </c>
      <c r="DM1098" t="s">
        <v>538</v>
      </c>
      <c r="DN1098" t="s">
        <v>2083</v>
      </c>
      <c r="DO1098" t="s">
        <v>3637</v>
      </c>
      <c r="DP1098" t="s">
        <v>3023</v>
      </c>
      <c r="DQ1098" t="s">
        <v>609</v>
      </c>
      <c r="DR1098" t="s">
        <v>797</v>
      </c>
      <c r="DS1098" t="s">
        <v>510</v>
      </c>
      <c r="DT1098" t="s">
        <v>3638</v>
      </c>
      <c r="DU1098" t="s">
        <v>830</v>
      </c>
      <c r="DV1098" t="s">
        <v>1491</v>
      </c>
      <c r="DW1098" t="s">
        <v>2141</v>
      </c>
      <c r="DX1098" t="s">
        <v>1358</v>
      </c>
      <c r="DY1098" t="s">
        <v>1342</v>
      </c>
      <c r="DZ1098" t="s">
        <v>3639</v>
      </c>
      <c r="EA1098" t="s">
        <v>2083</v>
      </c>
      <c r="EB1098" t="s">
        <v>454</v>
      </c>
      <c r="EC1098" t="s">
        <v>402</v>
      </c>
      <c r="ED1098" t="s">
        <v>406</v>
      </c>
      <c r="EE1098" t="s">
        <v>454</v>
      </c>
      <c r="EF1098" t="s">
        <v>831</v>
      </c>
      <c r="EG1098" t="s">
        <v>1710</v>
      </c>
      <c r="ET1098" t="s">
        <v>3196</v>
      </c>
      <c r="JC1098" t="s">
        <v>402</v>
      </c>
    </row>
    <row r="1099" spans="1:303" x14ac:dyDescent="0.25">
      <c r="A1099" t="s">
        <v>20400</v>
      </c>
      <c r="B1099" t="str">
        <f>"801542450427"</f>
        <v>801542450427</v>
      </c>
      <c r="C1099" t="s">
        <v>20401</v>
      </c>
      <c r="D1099" t="s">
        <v>1139</v>
      </c>
      <c r="E1099" t="s">
        <v>413</v>
      </c>
      <c r="G1099" t="str">
        <f>"98"</f>
        <v>98</v>
      </c>
      <c r="H1099" t="str">
        <f>"46"</f>
        <v>46</v>
      </c>
      <c r="I1099" t="str">
        <f>"31"</f>
        <v>31</v>
      </c>
      <c r="J1099" t="str">
        <f>"154.32"</f>
        <v>154.32</v>
      </c>
      <c r="K1099" t="s">
        <v>5368</v>
      </c>
      <c r="N1099" t="s">
        <v>5369</v>
      </c>
      <c r="O1099" t="s">
        <v>5370</v>
      </c>
      <c r="P1099" t="s">
        <v>5371</v>
      </c>
      <c r="Q1099" t="s">
        <v>5372</v>
      </c>
      <c r="T1099" t="s">
        <v>373</v>
      </c>
      <c r="U1099" t="s">
        <v>373</v>
      </c>
      <c r="V1099" t="s">
        <v>20402</v>
      </c>
      <c r="W1099" t="s">
        <v>20403</v>
      </c>
      <c r="X1099" t="s">
        <v>20404</v>
      </c>
      <c r="Y1099" t="s">
        <v>20405</v>
      </c>
      <c r="Z1099" t="s">
        <v>20406</v>
      </c>
      <c r="AA1099" t="s">
        <v>20407</v>
      </c>
      <c r="AB1099" t="s">
        <v>20408</v>
      </c>
      <c r="AC1099" t="s">
        <v>20409</v>
      </c>
      <c r="AD1099" t="s">
        <v>20410</v>
      </c>
      <c r="AE1099" t="s">
        <v>20411</v>
      </c>
      <c r="AF1099" t="s">
        <v>20412</v>
      </c>
      <c r="AG1099" t="s">
        <v>20413</v>
      </c>
      <c r="BA1099" t="str">
        <f>"2499"</f>
        <v>2499</v>
      </c>
      <c r="BB1099" t="str">
        <f>"1050"</f>
        <v>1050</v>
      </c>
      <c r="BC1099" t="s">
        <v>1149</v>
      </c>
      <c r="BD1099" t="str">
        <f t="shared" si="199"/>
        <v>1</v>
      </c>
      <c r="BE1099" t="s">
        <v>389</v>
      </c>
      <c r="BF1099" t="str">
        <f>"101"</f>
        <v>101</v>
      </c>
      <c r="BG1099" t="str">
        <f>"49"</f>
        <v>49</v>
      </c>
      <c r="BH1099" t="str">
        <f>"25.5"</f>
        <v>25.5</v>
      </c>
      <c r="BI1099" t="str">
        <f>"165.35"</f>
        <v>165.35</v>
      </c>
      <c r="BY1099" t="str">
        <f>"73.03"</f>
        <v>73.03</v>
      </c>
      <c r="BZ1099" t="str">
        <f>"2.068"</f>
        <v>2.068</v>
      </c>
      <c r="CA1099" t="s">
        <v>431</v>
      </c>
      <c r="CH1099" t="s">
        <v>790</v>
      </c>
      <c r="CI1099" t="s">
        <v>797</v>
      </c>
      <c r="CJ1099" t="s">
        <v>2141</v>
      </c>
      <c r="CK1099" t="s">
        <v>1510</v>
      </c>
      <c r="CL1099" t="s">
        <v>474</v>
      </c>
      <c r="CM1099" t="s">
        <v>2142</v>
      </c>
      <c r="CN1099">
        <v>0</v>
      </c>
      <c r="CO1099">
        <v>2</v>
      </c>
      <c r="CP1099" t="s">
        <v>437</v>
      </c>
      <c r="CQ1099" t="s">
        <v>399</v>
      </c>
      <c r="CU1099" t="s">
        <v>2143</v>
      </c>
      <c r="CX1099" t="s">
        <v>403</v>
      </c>
      <c r="CY1099" t="s">
        <v>400</v>
      </c>
      <c r="CZ1099">
        <v>2</v>
      </c>
      <c r="DD1099">
        <v>27000</v>
      </c>
      <c r="DE1099" t="s">
        <v>439</v>
      </c>
      <c r="DF1099" t="s">
        <v>406</v>
      </c>
      <c r="DG1099" t="s">
        <v>407</v>
      </c>
      <c r="DH1099">
        <v>2</v>
      </c>
      <c r="DI1099">
        <v>3</v>
      </c>
      <c r="DK1099" t="s">
        <v>2144</v>
      </c>
      <c r="DL1099">
        <v>0</v>
      </c>
      <c r="DM1099" t="s">
        <v>410</v>
      </c>
      <c r="DN1099" t="s">
        <v>602</v>
      </c>
      <c r="DO1099" t="s">
        <v>446</v>
      </c>
      <c r="DP1099" t="s">
        <v>2145</v>
      </c>
      <c r="DT1099" t="s">
        <v>448</v>
      </c>
      <c r="DU1099" t="s">
        <v>830</v>
      </c>
      <c r="DV1099" t="s">
        <v>511</v>
      </c>
      <c r="DW1099" t="s">
        <v>2141</v>
      </c>
      <c r="DX1099" t="s">
        <v>956</v>
      </c>
      <c r="DY1099" t="s">
        <v>2146</v>
      </c>
      <c r="DZ1099" t="s">
        <v>2147</v>
      </c>
      <c r="EA1099" t="s">
        <v>446</v>
      </c>
      <c r="ED1099" t="s">
        <v>406</v>
      </c>
      <c r="EE1099" t="s">
        <v>407</v>
      </c>
      <c r="EF1099" t="s">
        <v>831</v>
      </c>
      <c r="EG1099" t="s">
        <v>1710</v>
      </c>
      <c r="EP1099" t="s">
        <v>2142</v>
      </c>
      <c r="EQ1099" t="s">
        <v>2142</v>
      </c>
      <c r="IH1099" t="s">
        <v>450</v>
      </c>
      <c r="II1099" t="s">
        <v>979</v>
      </c>
      <c r="IJ1099" t="s">
        <v>789</v>
      </c>
      <c r="IK1099" t="s">
        <v>407</v>
      </c>
      <c r="IL1099" t="s">
        <v>402</v>
      </c>
    </row>
    <row r="1100" spans="1:303" x14ac:dyDescent="0.25">
      <c r="A1100" t="s">
        <v>20414</v>
      </c>
      <c r="B1100" t="str">
        <f>"801542437282"</f>
        <v>801542437282</v>
      </c>
      <c r="C1100" t="s">
        <v>20415</v>
      </c>
      <c r="D1100" t="s">
        <v>1165</v>
      </c>
      <c r="E1100" t="s">
        <v>1166</v>
      </c>
      <c r="F1100" t="s">
        <v>3731</v>
      </c>
      <c r="G1100" t="str">
        <f>"120"</f>
        <v>120</v>
      </c>
      <c r="H1100" t="str">
        <f>"39"</f>
        <v>39</v>
      </c>
      <c r="I1100" t="str">
        <f>"32.5"</f>
        <v>32.5</v>
      </c>
      <c r="J1100" t="str">
        <f>"367.9"</f>
        <v>367.9</v>
      </c>
      <c r="K1100" t="s">
        <v>1168</v>
      </c>
      <c r="L1100" t="s">
        <v>1169</v>
      </c>
      <c r="N1100" t="s">
        <v>1170</v>
      </c>
      <c r="O1100" t="s">
        <v>1171</v>
      </c>
      <c r="P1100" t="s">
        <v>1172</v>
      </c>
      <c r="T1100" t="s">
        <v>373</v>
      </c>
      <c r="U1100" t="s">
        <v>373</v>
      </c>
      <c r="V1100" t="s">
        <v>20416</v>
      </c>
      <c r="W1100" t="s">
        <v>20417</v>
      </c>
      <c r="X1100" t="s">
        <v>20418</v>
      </c>
      <c r="Y1100" t="s">
        <v>20419</v>
      </c>
      <c r="Z1100" t="s">
        <v>20420</v>
      </c>
      <c r="AA1100" t="s">
        <v>20421</v>
      </c>
      <c r="AB1100" t="s">
        <v>20422</v>
      </c>
      <c r="AC1100" t="s">
        <v>20423</v>
      </c>
      <c r="AD1100" t="s">
        <v>20424</v>
      </c>
      <c r="AE1100" t="s">
        <v>20425</v>
      </c>
      <c r="AF1100" t="s">
        <v>20426</v>
      </c>
      <c r="AG1100" t="s">
        <v>20427</v>
      </c>
      <c r="BA1100" t="str">
        <f>"5099"</f>
        <v>5099</v>
      </c>
      <c r="BB1100" t="str">
        <f>"2145"</f>
        <v>2145</v>
      </c>
      <c r="BC1100" t="s">
        <v>1149</v>
      </c>
      <c r="BD1100" t="str">
        <f>"3"</f>
        <v>3</v>
      </c>
      <c r="BE1100" t="s">
        <v>389</v>
      </c>
      <c r="BF1100" t="str">
        <f>"44.88"</f>
        <v>44.88</v>
      </c>
      <c r="BG1100" t="str">
        <f>"43.31"</f>
        <v>43.31</v>
      </c>
      <c r="BH1100" t="str">
        <f>"28.35"</f>
        <v>28.35</v>
      </c>
      <c r="BI1100" t="str">
        <f>"87.52"</f>
        <v>87.52</v>
      </c>
      <c r="BJ1100" t="s">
        <v>389</v>
      </c>
      <c r="BK1100" t="str">
        <f>"85.04"</f>
        <v>85.04</v>
      </c>
      <c r="BL1100" t="str">
        <f>"47.24"</f>
        <v>47.24</v>
      </c>
      <c r="BM1100" t="str">
        <f>"28.35"</f>
        <v>28.35</v>
      </c>
      <c r="BN1100" t="str">
        <f>"152.12"</f>
        <v>152.12</v>
      </c>
      <c r="BO1100" t="s">
        <v>389</v>
      </c>
      <c r="BP1100" t="str">
        <f>"85.04"</f>
        <v>85.04</v>
      </c>
      <c r="BQ1100" t="str">
        <f>"47.24"</f>
        <v>47.24</v>
      </c>
      <c r="BR1100" t="str">
        <f>"28.35"</f>
        <v>28.35</v>
      </c>
      <c r="BS1100" t="str">
        <f>"152.12"</f>
        <v>152.12</v>
      </c>
      <c r="BY1100" t="str">
        <f>"163.68"</f>
        <v>163.68</v>
      </c>
      <c r="BZ1100" t="str">
        <f>"4.635"</f>
        <v>4.635</v>
      </c>
      <c r="CA1100" t="s">
        <v>431</v>
      </c>
      <c r="CP1100" t="s">
        <v>437</v>
      </c>
      <c r="CQ1100" t="s">
        <v>1152</v>
      </c>
      <c r="CU1100" t="s">
        <v>1187</v>
      </c>
      <c r="CY1100" t="s">
        <v>400</v>
      </c>
      <c r="DD1100">
        <v>30000</v>
      </c>
      <c r="DE1100" t="s">
        <v>439</v>
      </c>
      <c r="DF1100" t="s">
        <v>406</v>
      </c>
      <c r="DG1100" t="s">
        <v>407</v>
      </c>
      <c r="DI1100">
        <v>5</v>
      </c>
      <c r="DJ1100" t="s">
        <v>3738</v>
      </c>
      <c r="DK1100" t="s">
        <v>1189</v>
      </c>
      <c r="DM1100" t="s">
        <v>3739</v>
      </c>
      <c r="ED1100" t="s">
        <v>406</v>
      </c>
      <c r="EE1100" t="s">
        <v>407</v>
      </c>
      <c r="EF1100" t="s">
        <v>1190</v>
      </c>
      <c r="EG1100" t="s">
        <v>749</v>
      </c>
      <c r="EM1100" t="s">
        <v>402</v>
      </c>
      <c r="GO1100" t="s">
        <v>402</v>
      </c>
      <c r="GP1100" t="s">
        <v>1191</v>
      </c>
      <c r="GQ1100" t="s">
        <v>3740</v>
      </c>
    </row>
    <row r="1101" spans="1:303" x14ac:dyDescent="0.25">
      <c r="A1101" t="s">
        <v>20428</v>
      </c>
      <c r="B1101" t="str">
        <f>"801542535049"</f>
        <v>801542535049</v>
      </c>
      <c r="C1101" t="s">
        <v>1164</v>
      </c>
      <c r="D1101" t="s">
        <v>1165</v>
      </c>
      <c r="E1101" t="s">
        <v>1166</v>
      </c>
      <c r="F1101" t="s">
        <v>3759</v>
      </c>
      <c r="G1101" t="str">
        <f>"129"</f>
        <v>129</v>
      </c>
      <c r="H1101" t="str">
        <f>"68"</f>
        <v>68</v>
      </c>
      <c r="I1101" t="str">
        <f>"32.5"</f>
        <v>32.5</v>
      </c>
      <c r="J1101" t="str">
        <f>"281.53"</f>
        <v>281.53</v>
      </c>
      <c r="K1101" t="s">
        <v>1168</v>
      </c>
      <c r="L1101" t="s">
        <v>1169</v>
      </c>
      <c r="N1101" t="s">
        <v>1170</v>
      </c>
      <c r="O1101" t="s">
        <v>1171</v>
      </c>
      <c r="P1101" t="s">
        <v>1172</v>
      </c>
      <c r="T1101" t="s">
        <v>373</v>
      </c>
      <c r="U1101" t="s">
        <v>373</v>
      </c>
      <c r="V1101" t="s">
        <v>20429</v>
      </c>
      <c r="W1101" t="s">
        <v>20430</v>
      </c>
      <c r="X1101" t="s">
        <v>20431</v>
      </c>
      <c r="Y1101" t="s">
        <v>20432</v>
      </c>
      <c r="Z1101" t="s">
        <v>20433</v>
      </c>
      <c r="AA1101" t="s">
        <v>20434</v>
      </c>
      <c r="AB1101" t="s">
        <v>20435</v>
      </c>
      <c r="AC1101" t="s">
        <v>20436</v>
      </c>
      <c r="AD1101" t="s">
        <v>20437</v>
      </c>
      <c r="AE1101" t="s">
        <v>20438</v>
      </c>
      <c r="AF1101" t="s">
        <v>20439</v>
      </c>
      <c r="AG1101" t="s">
        <v>20440</v>
      </c>
      <c r="AH1101" t="s">
        <v>20441</v>
      </c>
      <c r="BA1101" t="str">
        <f>"3999"</f>
        <v>3999</v>
      </c>
      <c r="BB1101" t="str">
        <f>"1680"</f>
        <v>1680</v>
      </c>
      <c r="BC1101" t="s">
        <v>1149</v>
      </c>
      <c r="BD1101" t="str">
        <f>"2"</f>
        <v>2</v>
      </c>
      <c r="BE1101" t="s">
        <v>389</v>
      </c>
      <c r="BF1101" t="str">
        <f>"85.04"</f>
        <v>85.04</v>
      </c>
      <c r="BG1101" t="str">
        <f>"47.24"</f>
        <v>47.24</v>
      </c>
      <c r="BH1101" t="str">
        <f>"28.35"</f>
        <v>28.35</v>
      </c>
      <c r="BI1101" t="str">
        <f>"152.12"</f>
        <v>152.12</v>
      </c>
      <c r="BJ1101" t="s">
        <v>1186</v>
      </c>
      <c r="BK1101" t="str">
        <f>"56.3"</f>
        <v>56.3</v>
      </c>
      <c r="BL1101" t="str">
        <f>"75.59"</f>
        <v>75.59</v>
      </c>
      <c r="BM1101" t="str">
        <f>"30.31"</f>
        <v>30.31</v>
      </c>
      <c r="BN1101" t="str">
        <f>"149.91"</f>
        <v>149.91</v>
      </c>
      <c r="BY1101" t="str">
        <f>"140.55"</f>
        <v>140.55</v>
      </c>
      <c r="BZ1101" t="str">
        <f>"3.98"</f>
        <v>3.98</v>
      </c>
      <c r="CA1101" t="s">
        <v>431</v>
      </c>
      <c r="CP1101" t="s">
        <v>437</v>
      </c>
      <c r="CQ1101" t="s">
        <v>1152</v>
      </c>
      <c r="CU1101" t="s">
        <v>1187</v>
      </c>
      <c r="CY1101" t="s">
        <v>400</v>
      </c>
      <c r="DD1101">
        <v>30000</v>
      </c>
      <c r="DE1101" t="s">
        <v>439</v>
      </c>
      <c r="DF1101" t="s">
        <v>406</v>
      </c>
      <c r="DG1101" t="s">
        <v>407</v>
      </c>
      <c r="DI1101">
        <v>3</v>
      </c>
      <c r="DJ1101" t="s">
        <v>1188</v>
      </c>
      <c r="DK1101" t="s">
        <v>1189</v>
      </c>
      <c r="DM1101" t="s">
        <v>410</v>
      </c>
      <c r="ED1101" t="s">
        <v>406</v>
      </c>
      <c r="EE1101" t="s">
        <v>407</v>
      </c>
      <c r="EF1101" t="s">
        <v>1190</v>
      </c>
      <c r="EG1101" t="s">
        <v>749</v>
      </c>
      <c r="GO1101" t="s">
        <v>402</v>
      </c>
      <c r="GP1101" t="s">
        <v>1191</v>
      </c>
      <c r="GQ1101" t="s">
        <v>3767</v>
      </c>
    </row>
    <row r="1102" spans="1:303" x14ac:dyDescent="0.25">
      <c r="A1102" t="s">
        <v>20442</v>
      </c>
      <c r="B1102" t="str">
        <f>"801542391751"</f>
        <v>801542391751</v>
      </c>
      <c r="C1102" t="s">
        <v>20443</v>
      </c>
      <c r="D1102" t="s">
        <v>3784</v>
      </c>
      <c r="E1102" t="s">
        <v>1021</v>
      </c>
      <c r="G1102" t="str">
        <f>"69"</f>
        <v>69</v>
      </c>
      <c r="H1102" t="str">
        <f>"18"</f>
        <v>18</v>
      </c>
      <c r="I1102" t="str">
        <f>"29.25"</f>
        <v>29.25</v>
      </c>
      <c r="J1102" t="str">
        <f>"113.54"</f>
        <v>113.54</v>
      </c>
      <c r="K1102" t="s">
        <v>3861</v>
      </c>
      <c r="L1102" t="s">
        <v>3862</v>
      </c>
      <c r="N1102" t="s">
        <v>3787</v>
      </c>
      <c r="O1102" t="s">
        <v>416</v>
      </c>
      <c r="T1102" t="s">
        <v>373</v>
      </c>
      <c r="U1102" t="s">
        <v>373</v>
      </c>
      <c r="V1102" t="s">
        <v>20444</v>
      </c>
      <c r="W1102" t="s">
        <v>20445</v>
      </c>
      <c r="X1102" t="s">
        <v>20446</v>
      </c>
      <c r="Y1102" t="s">
        <v>20447</v>
      </c>
      <c r="Z1102" t="s">
        <v>20448</v>
      </c>
      <c r="AA1102" t="s">
        <v>20449</v>
      </c>
      <c r="AB1102" t="s">
        <v>20450</v>
      </c>
      <c r="AC1102" t="s">
        <v>20451</v>
      </c>
      <c r="AD1102" t="s">
        <v>20452</v>
      </c>
      <c r="AE1102" t="s">
        <v>20453</v>
      </c>
      <c r="AF1102" t="s">
        <v>20454</v>
      </c>
      <c r="AG1102" t="s">
        <v>20455</v>
      </c>
      <c r="AH1102" t="s">
        <v>20456</v>
      </c>
      <c r="AI1102" t="s">
        <v>20457</v>
      </c>
      <c r="BA1102" t="str">
        <f>"1499"</f>
        <v>1499</v>
      </c>
      <c r="BB1102" t="str">
        <f>"630"</f>
        <v>630</v>
      </c>
      <c r="BC1102" t="s">
        <v>1149</v>
      </c>
      <c r="BD1102" t="str">
        <f t="shared" ref="BD1102:BD1113" si="200">"1"</f>
        <v>1</v>
      </c>
      <c r="BE1102" t="s">
        <v>389</v>
      </c>
      <c r="BF1102" t="str">
        <f>"74.02"</f>
        <v>74.02</v>
      </c>
      <c r="BG1102" t="str">
        <f>"22.24"</f>
        <v>22.24</v>
      </c>
      <c r="BH1102" t="str">
        <f>"33.86"</f>
        <v>33.86</v>
      </c>
      <c r="BI1102" t="str">
        <f>"142.2"</f>
        <v>142.2</v>
      </c>
      <c r="BY1102" t="str">
        <f>"32.24"</f>
        <v>32.24</v>
      </c>
      <c r="BZ1102" t="str">
        <f>"0.913"</f>
        <v>0.913</v>
      </c>
      <c r="CA1102" t="s">
        <v>495</v>
      </c>
      <c r="CB1102" t="s">
        <v>3804</v>
      </c>
      <c r="CC1102" t="s">
        <v>1348</v>
      </c>
      <c r="CD1102" t="s">
        <v>3805</v>
      </c>
      <c r="CE1102" t="s">
        <v>3804</v>
      </c>
      <c r="CF1102" t="s">
        <v>3188</v>
      </c>
      <c r="CG1102" t="s">
        <v>3805</v>
      </c>
      <c r="CR1102" t="s">
        <v>3806</v>
      </c>
      <c r="CS1102">
        <v>2</v>
      </c>
      <c r="CT1102" t="s">
        <v>1008</v>
      </c>
      <c r="CV1102">
        <v>1</v>
      </c>
      <c r="CW1102" t="s">
        <v>402</v>
      </c>
      <c r="CX1102" t="s">
        <v>1018</v>
      </c>
      <c r="CY1102" t="s">
        <v>954</v>
      </c>
      <c r="DA1102">
        <v>18.14</v>
      </c>
      <c r="DB1102">
        <v>40</v>
      </c>
      <c r="DC1102">
        <v>2</v>
      </c>
      <c r="DK1102" t="s">
        <v>3807</v>
      </c>
      <c r="DX1102" t="s">
        <v>1354</v>
      </c>
      <c r="EM1102" t="s">
        <v>402</v>
      </c>
      <c r="EN1102">
        <v>4</v>
      </c>
      <c r="EZ1102" t="s">
        <v>3808</v>
      </c>
      <c r="FA1102" t="s">
        <v>1348</v>
      </c>
      <c r="FB1102" t="s">
        <v>3805</v>
      </c>
      <c r="FC1102" t="s">
        <v>3809</v>
      </c>
      <c r="FD1102" t="s">
        <v>1348</v>
      </c>
      <c r="FE1102" t="s">
        <v>1055</v>
      </c>
      <c r="FG1102" t="s">
        <v>402</v>
      </c>
      <c r="FH1102" t="s">
        <v>959</v>
      </c>
      <c r="FI1102">
        <v>2</v>
      </c>
      <c r="FJ1102" t="s">
        <v>960</v>
      </c>
      <c r="FK1102" t="s">
        <v>1246</v>
      </c>
      <c r="FM1102" t="s">
        <v>402</v>
      </c>
      <c r="FO1102" t="s">
        <v>984</v>
      </c>
      <c r="FR1102" t="s">
        <v>1013</v>
      </c>
      <c r="FT1102" t="s">
        <v>2170</v>
      </c>
      <c r="FV1102" t="s">
        <v>3810</v>
      </c>
      <c r="FX1102" t="s">
        <v>1008</v>
      </c>
      <c r="FZ1102" t="s">
        <v>1018</v>
      </c>
      <c r="GA1102" t="s">
        <v>402</v>
      </c>
      <c r="GB1102" t="s">
        <v>391</v>
      </c>
      <c r="GC1102" t="s">
        <v>3808</v>
      </c>
      <c r="GD1102" t="s">
        <v>1055</v>
      </c>
      <c r="GE1102">
        <v>0</v>
      </c>
      <c r="GR1102" t="s">
        <v>391</v>
      </c>
      <c r="GS1102" t="s">
        <v>3804</v>
      </c>
      <c r="GT1102" t="s">
        <v>3808</v>
      </c>
      <c r="GU1102" t="s">
        <v>3188</v>
      </c>
      <c r="GV1102" t="s">
        <v>1055</v>
      </c>
      <c r="GW1102" t="s">
        <v>3805</v>
      </c>
      <c r="GX1102" t="s">
        <v>2081</v>
      </c>
      <c r="HI1102" t="s">
        <v>402</v>
      </c>
    </row>
    <row r="1103" spans="1:303" x14ac:dyDescent="0.25">
      <c r="A1103" t="s">
        <v>20458</v>
      </c>
      <c r="B1103" t="str">
        <f>"801542507367"</f>
        <v>801542507367</v>
      </c>
      <c r="C1103" t="s">
        <v>20459</v>
      </c>
      <c r="D1103" t="s">
        <v>3784</v>
      </c>
      <c r="E1103" t="s">
        <v>1021</v>
      </c>
      <c r="G1103" t="str">
        <f>"69"</f>
        <v>69</v>
      </c>
      <c r="H1103" t="str">
        <f>"18"</f>
        <v>18</v>
      </c>
      <c r="I1103" t="str">
        <f>"29.25"</f>
        <v>29.25</v>
      </c>
      <c r="J1103" t="str">
        <f>"113.54"</f>
        <v>113.54</v>
      </c>
      <c r="K1103" t="s">
        <v>3886</v>
      </c>
      <c r="L1103" t="s">
        <v>3786</v>
      </c>
      <c r="N1103" t="s">
        <v>3787</v>
      </c>
      <c r="O1103" t="s">
        <v>416</v>
      </c>
      <c r="T1103" t="s">
        <v>373</v>
      </c>
      <c r="U1103" t="s">
        <v>373</v>
      </c>
      <c r="V1103" t="s">
        <v>20460</v>
      </c>
      <c r="W1103" t="s">
        <v>20461</v>
      </c>
      <c r="X1103" t="s">
        <v>20462</v>
      </c>
      <c r="Y1103" t="s">
        <v>20463</v>
      </c>
      <c r="Z1103" t="s">
        <v>20464</v>
      </c>
      <c r="AA1103" t="s">
        <v>20465</v>
      </c>
      <c r="AB1103" t="s">
        <v>20466</v>
      </c>
      <c r="AC1103" t="s">
        <v>20467</v>
      </c>
      <c r="AD1103" t="s">
        <v>20468</v>
      </c>
      <c r="AE1103" t="s">
        <v>20469</v>
      </c>
      <c r="AF1103" t="s">
        <v>20470</v>
      </c>
      <c r="AG1103" t="s">
        <v>20471</v>
      </c>
      <c r="AH1103" t="s">
        <v>20472</v>
      </c>
      <c r="AI1103" t="s">
        <v>20473</v>
      </c>
      <c r="BA1103" t="str">
        <f>"1499"</f>
        <v>1499</v>
      </c>
      <c r="BB1103" t="str">
        <f>"630"</f>
        <v>630</v>
      </c>
      <c r="BC1103" t="s">
        <v>1149</v>
      </c>
      <c r="BD1103" t="str">
        <f t="shared" si="200"/>
        <v>1</v>
      </c>
      <c r="BE1103" t="s">
        <v>389</v>
      </c>
      <c r="BF1103" t="str">
        <f>"74.02"</f>
        <v>74.02</v>
      </c>
      <c r="BG1103" t="str">
        <f>"22.24"</f>
        <v>22.24</v>
      </c>
      <c r="BH1103" t="str">
        <f>"33.86"</f>
        <v>33.86</v>
      </c>
      <c r="BI1103" t="str">
        <f>"142.2"</f>
        <v>142.2</v>
      </c>
      <c r="BY1103" t="str">
        <f>"32.24"</f>
        <v>32.24</v>
      </c>
      <c r="BZ1103" t="str">
        <f>"0.913"</f>
        <v>0.913</v>
      </c>
      <c r="CA1103" t="s">
        <v>495</v>
      </c>
      <c r="CB1103" t="s">
        <v>3804</v>
      </c>
      <c r="CC1103" t="s">
        <v>1348</v>
      </c>
      <c r="CD1103" t="s">
        <v>3805</v>
      </c>
      <c r="CE1103" t="s">
        <v>3804</v>
      </c>
      <c r="CF1103" t="s">
        <v>3188</v>
      </c>
      <c r="CG1103" t="s">
        <v>3805</v>
      </c>
      <c r="CR1103" t="s">
        <v>3806</v>
      </c>
      <c r="CS1103">
        <v>2</v>
      </c>
      <c r="CT1103" t="s">
        <v>1008</v>
      </c>
      <c r="CV1103">
        <v>1</v>
      </c>
      <c r="CW1103" t="s">
        <v>402</v>
      </c>
      <c r="CX1103" t="s">
        <v>1018</v>
      </c>
      <c r="CY1103" t="s">
        <v>954</v>
      </c>
      <c r="DA1103">
        <v>18.14</v>
      </c>
      <c r="DB1103">
        <v>40</v>
      </c>
      <c r="DC1103">
        <v>2</v>
      </c>
      <c r="DK1103" t="s">
        <v>3807</v>
      </c>
      <c r="DX1103" t="s">
        <v>1354</v>
      </c>
      <c r="EM1103" t="s">
        <v>402</v>
      </c>
      <c r="EN1103">
        <v>4</v>
      </c>
      <c r="EZ1103" t="s">
        <v>3808</v>
      </c>
      <c r="FA1103" t="s">
        <v>1348</v>
      </c>
      <c r="FB1103" t="s">
        <v>3805</v>
      </c>
      <c r="FC1103" t="s">
        <v>3809</v>
      </c>
      <c r="FD1103" t="s">
        <v>1348</v>
      </c>
      <c r="FE1103" t="s">
        <v>1055</v>
      </c>
      <c r="FG1103" t="s">
        <v>402</v>
      </c>
      <c r="FH1103" t="s">
        <v>959</v>
      </c>
      <c r="FI1103">
        <v>2</v>
      </c>
      <c r="FJ1103" t="s">
        <v>960</v>
      </c>
      <c r="FK1103" t="s">
        <v>1246</v>
      </c>
      <c r="FM1103" t="s">
        <v>402</v>
      </c>
      <c r="FO1103" t="s">
        <v>984</v>
      </c>
      <c r="FR1103" t="s">
        <v>1013</v>
      </c>
      <c r="FT1103" t="s">
        <v>2170</v>
      </c>
      <c r="FV1103" t="s">
        <v>3810</v>
      </c>
      <c r="FX1103" t="s">
        <v>1008</v>
      </c>
      <c r="FZ1103" t="s">
        <v>1018</v>
      </c>
      <c r="GA1103" t="s">
        <v>402</v>
      </c>
      <c r="GB1103" t="s">
        <v>391</v>
      </c>
      <c r="GC1103" t="s">
        <v>3808</v>
      </c>
      <c r="GD1103" t="s">
        <v>1055</v>
      </c>
      <c r="GE1103">
        <v>0</v>
      </c>
      <c r="GR1103" t="s">
        <v>391</v>
      </c>
      <c r="GS1103" t="s">
        <v>3804</v>
      </c>
      <c r="GT1103" t="s">
        <v>3808</v>
      </c>
      <c r="GU1103" t="s">
        <v>3188</v>
      </c>
      <c r="GV1103" t="s">
        <v>1055</v>
      </c>
      <c r="GW1103" t="s">
        <v>3805</v>
      </c>
      <c r="GX1103" t="s">
        <v>2081</v>
      </c>
      <c r="HI1103" t="s">
        <v>402</v>
      </c>
    </row>
    <row r="1104" spans="1:303" x14ac:dyDescent="0.25">
      <c r="A1104" t="s">
        <v>20474</v>
      </c>
      <c r="B1104" t="str">
        <f>"801542391768"</f>
        <v>801542391768</v>
      </c>
      <c r="C1104" t="s">
        <v>3812</v>
      </c>
      <c r="D1104" t="s">
        <v>3784</v>
      </c>
      <c r="E1104" t="s">
        <v>3813</v>
      </c>
      <c r="G1104" t="str">
        <f>"24"</f>
        <v>24</v>
      </c>
      <c r="H1104" t="str">
        <f>"18"</f>
        <v>18</v>
      </c>
      <c r="I1104" t="str">
        <f>"78"</f>
        <v>78</v>
      </c>
      <c r="J1104" t="str">
        <f>"76.06"</f>
        <v>76.06</v>
      </c>
      <c r="K1104" t="s">
        <v>3814</v>
      </c>
      <c r="L1104" t="s">
        <v>3862</v>
      </c>
      <c r="M1104" t="s">
        <v>3861</v>
      </c>
      <c r="N1104" t="s">
        <v>555</v>
      </c>
      <c r="O1104" t="s">
        <v>416</v>
      </c>
      <c r="P1104" t="s">
        <v>3787</v>
      </c>
      <c r="T1104" t="s">
        <v>373</v>
      </c>
      <c r="U1104" t="s">
        <v>373</v>
      </c>
      <c r="V1104" t="s">
        <v>20475</v>
      </c>
      <c r="W1104" t="s">
        <v>20476</v>
      </c>
      <c r="X1104" t="s">
        <v>20477</v>
      </c>
      <c r="Y1104" t="s">
        <v>20478</v>
      </c>
      <c r="Z1104" t="s">
        <v>20479</v>
      </c>
      <c r="AA1104" t="s">
        <v>20480</v>
      </c>
      <c r="AB1104" t="s">
        <v>20481</v>
      </c>
      <c r="AC1104" t="s">
        <v>20482</v>
      </c>
      <c r="AD1104" t="s">
        <v>20483</v>
      </c>
      <c r="AE1104" t="s">
        <v>20484</v>
      </c>
      <c r="AF1104" t="s">
        <v>20485</v>
      </c>
      <c r="AG1104" t="s">
        <v>20486</v>
      </c>
      <c r="AH1104" t="s">
        <v>20487</v>
      </c>
      <c r="AI1104" t="s">
        <v>20488</v>
      </c>
      <c r="AJ1104" t="s">
        <v>20489</v>
      </c>
      <c r="AK1104" t="s">
        <v>20490</v>
      </c>
      <c r="AL1104" t="s">
        <v>20491</v>
      </c>
      <c r="BA1104" t="str">
        <f>"1199"</f>
        <v>1199</v>
      </c>
      <c r="BB1104" t="str">
        <f>"505"</f>
        <v>505</v>
      </c>
      <c r="BC1104" t="s">
        <v>1149</v>
      </c>
      <c r="BD1104" t="str">
        <f t="shared" si="200"/>
        <v>1</v>
      </c>
      <c r="BE1104" t="s">
        <v>389</v>
      </c>
      <c r="BF1104" t="str">
        <f>"27.56"</f>
        <v>27.56</v>
      </c>
      <c r="BG1104" t="str">
        <f>"20.08"</f>
        <v>20.08</v>
      </c>
      <c r="BH1104" t="str">
        <f>"82.68"</f>
        <v>82.68</v>
      </c>
      <c r="BI1104" t="str">
        <f>"99.21"</f>
        <v>99.21</v>
      </c>
      <c r="BY1104" t="str">
        <f>"26.49"</f>
        <v>26.49</v>
      </c>
      <c r="BZ1104" t="str">
        <f>"0.75"</f>
        <v>0.75</v>
      </c>
      <c r="CA1104" t="s">
        <v>495</v>
      </c>
      <c r="CB1104" t="s">
        <v>2595</v>
      </c>
      <c r="CC1104" t="s">
        <v>1348</v>
      </c>
      <c r="CD1104" t="s">
        <v>2071</v>
      </c>
      <c r="CE1104" t="s">
        <v>3830</v>
      </c>
      <c r="CF1104" t="s">
        <v>3831</v>
      </c>
      <c r="CG1104" t="s">
        <v>3832</v>
      </c>
      <c r="CR1104" t="s">
        <v>3806</v>
      </c>
      <c r="CS1104">
        <v>2</v>
      </c>
      <c r="CT1104" t="s">
        <v>1008</v>
      </c>
      <c r="CV1104">
        <v>3</v>
      </c>
      <c r="CW1104" t="s">
        <v>402</v>
      </c>
      <c r="CX1104" t="s">
        <v>1018</v>
      </c>
      <c r="CY1104" t="s">
        <v>1009</v>
      </c>
      <c r="DA1104">
        <v>18.14</v>
      </c>
      <c r="DB1104">
        <v>40</v>
      </c>
      <c r="DC1104">
        <v>0</v>
      </c>
      <c r="DJ1104" t="s">
        <v>982</v>
      </c>
      <c r="DK1104" t="s">
        <v>3807</v>
      </c>
      <c r="DX1104" t="s">
        <v>1290</v>
      </c>
      <c r="EM1104" t="s">
        <v>402</v>
      </c>
      <c r="EN1104">
        <v>4</v>
      </c>
      <c r="FI1104">
        <v>0</v>
      </c>
      <c r="FJ1104" t="s">
        <v>1012</v>
      </c>
      <c r="FR1104" t="s">
        <v>2073</v>
      </c>
      <c r="FT1104" t="s">
        <v>3079</v>
      </c>
      <c r="FV1104" t="s">
        <v>1636</v>
      </c>
      <c r="FX1104" t="s">
        <v>1008</v>
      </c>
      <c r="FZ1104" t="s">
        <v>1018</v>
      </c>
      <c r="GA1104" t="s">
        <v>402</v>
      </c>
      <c r="GB1104" t="s">
        <v>3830</v>
      </c>
      <c r="GC1104" t="s">
        <v>3833</v>
      </c>
      <c r="GD1104" t="s">
        <v>3832</v>
      </c>
      <c r="GR1104" t="s">
        <v>3830</v>
      </c>
      <c r="GT1104" t="s">
        <v>2034</v>
      </c>
      <c r="GV1104" t="s">
        <v>3832</v>
      </c>
    </row>
    <row r="1105" spans="1:217" x14ac:dyDescent="0.25">
      <c r="A1105" t="s">
        <v>20492</v>
      </c>
      <c r="B1105" t="str">
        <f>"801542507329"</f>
        <v>801542507329</v>
      </c>
      <c r="C1105" t="s">
        <v>3812</v>
      </c>
      <c r="D1105" t="s">
        <v>3784</v>
      </c>
      <c r="E1105" t="s">
        <v>3813</v>
      </c>
      <c r="G1105" t="str">
        <f>"24"</f>
        <v>24</v>
      </c>
      <c r="H1105" t="str">
        <f>"18"</f>
        <v>18</v>
      </c>
      <c r="I1105" t="str">
        <f>"78"</f>
        <v>78</v>
      </c>
      <c r="J1105" t="str">
        <f>"76.06"</f>
        <v>76.06</v>
      </c>
      <c r="K1105" t="s">
        <v>3814</v>
      </c>
      <c r="L1105" t="s">
        <v>3786</v>
      </c>
      <c r="M1105" t="s">
        <v>3886</v>
      </c>
      <c r="N1105" t="s">
        <v>555</v>
      </c>
      <c r="O1105" t="s">
        <v>416</v>
      </c>
      <c r="P1105" t="s">
        <v>3787</v>
      </c>
      <c r="T1105" t="s">
        <v>373</v>
      </c>
      <c r="U1105" t="s">
        <v>373</v>
      </c>
      <c r="V1105" t="s">
        <v>20493</v>
      </c>
      <c r="W1105" t="s">
        <v>20494</v>
      </c>
      <c r="X1105" t="s">
        <v>20495</v>
      </c>
      <c r="Y1105" t="s">
        <v>20496</v>
      </c>
      <c r="Z1105" t="s">
        <v>20497</v>
      </c>
      <c r="AA1105" t="s">
        <v>20498</v>
      </c>
      <c r="AB1105" t="s">
        <v>20499</v>
      </c>
      <c r="AC1105" t="s">
        <v>20500</v>
      </c>
      <c r="AD1105" t="s">
        <v>20501</v>
      </c>
      <c r="AE1105" t="s">
        <v>20502</v>
      </c>
      <c r="AF1105" t="s">
        <v>20503</v>
      </c>
      <c r="AG1105" t="s">
        <v>20504</v>
      </c>
      <c r="AH1105" t="s">
        <v>20505</v>
      </c>
      <c r="BA1105" t="str">
        <f>"1199"</f>
        <v>1199</v>
      </c>
      <c r="BB1105" t="str">
        <f>"505"</f>
        <v>505</v>
      </c>
      <c r="BC1105" t="s">
        <v>1149</v>
      </c>
      <c r="BD1105" t="str">
        <f t="shared" si="200"/>
        <v>1</v>
      </c>
      <c r="BE1105" t="s">
        <v>389</v>
      </c>
      <c r="BF1105" t="str">
        <f>"27.56"</f>
        <v>27.56</v>
      </c>
      <c r="BG1105" t="str">
        <f>"20.08"</f>
        <v>20.08</v>
      </c>
      <c r="BH1105" t="str">
        <f>"82.68"</f>
        <v>82.68</v>
      </c>
      <c r="BI1105" t="str">
        <f>"99.21"</f>
        <v>99.21</v>
      </c>
      <c r="BY1105" t="str">
        <f>"26.49"</f>
        <v>26.49</v>
      </c>
      <c r="BZ1105" t="str">
        <f>"0.75"</f>
        <v>0.75</v>
      </c>
      <c r="CA1105" t="s">
        <v>431</v>
      </c>
      <c r="CB1105" t="s">
        <v>2595</v>
      </c>
      <c r="CC1105" t="s">
        <v>1348</v>
      </c>
      <c r="CD1105" t="s">
        <v>2071</v>
      </c>
      <c r="CE1105" t="s">
        <v>3830</v>
      </c>
      <c r="CF1105" t="s">
        <v>3831</v>
      </c>
      <c r="CG1105" t="s">
        <v>3832</v>
      </c>
      <c r="CR1105" t="s">
        <v>3806</v>
      </c>
      <c r="CS1105">
        <v>2</v>
      </c>
      <c r="CT1105" t="s">
        <v>1008</v>
      </c>
      <c r="CV1105">
        <v>3</v>
      </c>
      <c r="CW1105" t="s">
        <v>402</v>
      </c>
      <c r="CX1105" t="s">
        <v>1018</v>
      </c>
      <c r="CY1105" t="s">
        <v>1009</v>
      </c>
      <c r="DA1105">
        <v>18.14</v>
      </c>
      <c r="DB1105">
        <v>40</v>
      </c>
      <c r="DC1105">
        <v>0</v>
      </c>
      <c r="DJ1105" t="s">
        <v>982</v>
      </c>
      <c r="DK1105" t="s">
        <v>3807</v>
      </c>
      <c r="DX1105" t="s">
        <v>1290</v>
      </c>
      <c r="EM1105" t="s">
        <v>402</v>
      </c>
      <c r="EN1105">
        <v>4</v>
      </c>
      <c r="FI1105">
        <v>0</v>
      </c>
      <c r="FJ1105" t="s">
        <v>1012</v>
      </c>
      <c r="FR1105" t="s">
        <v>2073</v>
      </c>
      <c r="FT1105" t="s">
        <v>3079</v>
      </c>
      <c r="FV1105" t="s">
        <v>1636</v>
      </c>
      <c r="FX1105" t="s">
        <v>1008</v>
      </c>
      <c r="FZ1105" t="s">
        <v>1018</v>
      </c>
      <c r="GA1105" t="s">
        <v>402</v>
      </c>
      <c r="GB1105" t="s">
        <v>3830</v>
      </c>
      <c r="GC1105" t="s">
        <v>3833</v>
      </c>
      <c r="GD1105" t="s">
        <v>3832</v>
      </c>
      <c r="GR1105" t="s">
        <v>3830</v>
      </c>
      <c r="GT1105" t="s">
        <v>2034</v>
      </c>
      <c r="GV1105" t="s">
        <v>3832</v>
      </c>
    </row>
    <row r="1106" spans="1:217" x14ac:dyDescent="0.25">
      <c r="A1106" t="s">
        <v>20506</v>
      </c>
      <c r="B1106" t="str">
        <f>"801542391775"</f>
        <v>801542391775</v>
      </c>
      <c r="C1106" t="s">
        <v>20507</v>
      </c>
      <c r="D1106" t="s">
        <v>3784</v>
      </c>
      <c r="E1106" t="s">
        <v>1319</v>
      </c>
      <c r="F1106" t="s">
        <v>3836</v>
      </c>
      <c r="G1106" t="str">
        <f>"59.75"</f>
        <v>59.75</v>
      </c>
      <c r="H1106" t="str">
        <f>"22"</f>
        <v>22</v>
      </c>
      <c r="I1106" t="str">
        <f>"31"</f>
        <v>31</v>
      </c>
      <c r="J1106" t="str">
        <f>"80.47"</f>
        <v>80.47</v>
      </c>
      <c r="K1106" t="s">
        <v>3861</v>
      </c>
      <c r="L1106" t="s">
        <v>3862</v>
      </c>
      <c r="N1106" t="s">
        <v>3787</v>
      </c>
      <c r="O1106" t="s">
        <v>416</v>
      </c>
      <c r="T1106" t="s">
        <v>373</v>
      </c>
      <c r="U1106" t="s">
        <v>373</v>
      </c>
      <c r="V1106" t="s">
        <v>20508</v>
      </c>
      <c r="W1106" t="s">
        <v>20509</v>
      </c>
      <c r="X1106" t="s">
        <v>20510</v>
      </c>
      <c r="Y1106" t="s">
        <v>20511</v>
      </c>
      <c r="Z1106" t="s">
        <v>20512</v>
      </c>
      <c r="AA1106" t="s">
        <v>20513</v>
      </c>
      <c r="AB1106" t="s">
        <v>20514</v>
      </c>
      <c r="AC1106" t="s">
        <v>20515</v>
      </c>
      <c r="AD1106" t="s">
        <v>20516</v>
      </c>
      <c r="AE1106" t="s">
        <v>20517</v>
      </c>
      <c r="AF1106" t="s">
        <v>20518</v>
      </c>
      <c r="AG1106" t="s">
        <v>20519</v>
      </c>
      <c r="AH1106" t="s">
        <v>20520</v>
      </c>
      <c r="AI1106" t="s">
        <v>20521</v>
      </c>
      <c r="BA1106" t="str">
        <f>"1249"</f>
        <v>1249</v>
      </c>
      <c r="BB1106" t="str">
        <f>"525"</f>
        <v>525</v>
      </c>
      <c r="BC1106" t="s">
        <v>1149</v>
      </c>
      <c r="BD1106" t="str">
        <f t="shared" si="200"/>
        <v>1</v>
      </c>
      <c r="BE1106" t="s">
        <v>389</v>
      </c>
      <c r="BF1106" t="str">
        <f>"64.49"</f>
        <v>64.49</v>
      </c>
      <c r="BG1106" t="str">
        <f>"25.98"</f>
        <v>25.98</v>
      </c>
      <c r="BH1106" t="str">
        <f>"34.49"</f>
        <v>34.49</v>
      </c>
      <c r="BI1106" t="str">
        <f>"105.82"</f>
        <v>105.82</v>
      </c>
      <c r="BY1106" t="str">
        <f>"33.44"</f>
        <v>33.44</v>
      </c>
      <c r="BZ1106" t="str">
        <f>"0.947"</f>
        <v>0.947</v>
      </c>
      <c r="CA1106" t="s">
        <v>431</v>
      </c>
      <c r="CR1106" t="s">
        <v>3806</v>
      </c>
      <c r="CS1106">
        <v>3</v>
      </c>
      <c r="CT1106" t="s">
        <v>1008</v>
      </c>
      <c r="CV1106">
        <v>0</v>
      </c>
      <c r="CX1106" t="s">
        <v>1018</v>
      </c>
      <c r="CY1106" t="s">
        <v>1009</v>
      </c>
      <c r="DC1106">
        <v>0</v>
      </c>
      <c r="DJ1106" t="s">
        <v>3853</v>
      </c>
      <c r="DK1106" t="s">
        <v>3807</v>
      </c>
      <c r="DM1106" t="s">
        <v>473</v>
      </c>
      <c r="DX1106" t="s">
        <v>1290</v>
      </c>
      <c r="DY1106" t="s">
        <v>2286</v>
      </c>
      <c r="DZ1106" t="s">
        <v>3854</v>
      </c>
      <c r="EI1106" t="s">
        <v>1291</v>
      </c>
      <c r="EJ1106" t="s">
        <v>1342</v>
      </c>
      <c r="EK1106" t="s">
        <v>3855</v>
      </c>
      <c r="EL1106" t="s">
        <v>1348</v>
      </c>
      <c r="EM1106" t="s">
        <v>402</v>
      </c>
      <c r="EN1106">
        <v>0</v>
      </c>
      <c r="EW1106" t="s">
        <v>796</v>
      </c>
      <c r="FI1106">
        <v>0</v>
      </c>
      <c r="FJ1106" t="s">
        <v>1012</v>
      </c>
      <c r="FR1106" t="s">
        <v>396</v>
      </c>
      <c r="FT1106" t="s">
        <v>3856</v>
      </c>
      <c r="FV1106" t="s">
        <v>3857</v>
      </c>
      <c r="FX1106" t="s">
        <v>1008</v>
      </c>
      <c r="FZ1106" t="s">
        <v>1018</v>
      </c>
      <c r="GA1106" t="s">
        <v>402</v>
      </c>
      <c r="GE1106">
        <v>0</v>
      </c>
      <c r="HH1106" t="s">
        <v>402</v>
      </c>
    </row>
    <row r="1107" spans="1:217" x14ac:dyDescent="0.25">
      <c r="A1107" t="s">
        <v>20522</v>
      </c>
      <c r="B1107" t="str">
        <f>"801542391799"</f>
        <v>801542391799</v>
      </c>
      <c r="C1107" t="s">
        <v>20523</v>
      </c>
      <c r="D1107" t="s">
        <v>3784</v>
      </c>
      <c r="E1107" t="s">
        <v>3860</v>
      </c>
      <c r="G1107" t="str">
        <f>"59.75"</f>
        <v>59.75</v>
      </c>
      <c r="H1107" t="str">
        <f>"22"</f>
        <v>22</v>
      </c>
      <c r="I1107" t="str">
        <f>"31"</f>
        <v>31</v>
      </c>
      <c r="J1107" t="str">
        <f>"130.07"</f>
        <v>130.07</v>
      </c>
      <c r="K1107" t="s">
        <v>3861</v>
      </c>
      <c r="L1107" t="s">
        <v>3862</v>
      </c>
      <c r="N1107" t="s">
        <v>3787</v>
      </c>
      <c r="O1107" t="s">
        <v>416</v>
      </c>
      <c r="T1107" t="s">
        <v>373</v>
      </c>
      <c r="U1107" t="s">
        <v>373</v>
      </c>
      <c r="V1107" t="s">
        <v>20524</v>
      </c>
      <c r="W1107" t="s">
        <v>20525</v>
      </c>
      <c r="X1107" t="s">
        <v>20526</v>
      </c>
      <c r="Y1107" t="s">
        <v>20527</v>
      </c>
      <c r="Z1107" t="s">
        <v>20528</v>
      </c>
      <c r="AA1107" t="s">
        <v>20529</v>
      </c>
      <c r="AB1107" t="s">
        <v>20530</v>
      </c>
      <c r="AC1107" t="s">
        <v>20531</v>
      </c>
      <c r="AD1107" t="s">
        <v>20532</v>
      </c>
      <c r="AE1107" t="s">
        <v>20533</v>
      </c>
      <c r="AF1107" t="s">
        <v>20534</v>
      </c>
      <c r="AG1107" t="s">
        <v>20535</v>
      </c>
      <c r="BA1107" t="str">
        <f>"1499"</f>
        <v>1499</v>
      </c>
      <c r="BB1107" t="str">
        <f>"630"</f>
        <v>630</v>
      </c>
      <c r="BC1107" t="s">
        <v>1149</v>
      </c>
      <c r="BD1107" t="str">
        <f t="shared" si="200"/>
        <v>1</v>
      </c>
      <c r="BE1107" t="s">
        <v>389</v>
      </c>
      <c r="BF1107" t="str">
        <f>"64.57"</f>
        <v>64.57</v>
      </c>
      <c r="BG1107" t="str">
        <f>"26.57"</f>
        <v>26.57</v>
      </c>
      <c r="BH1107" t="str">
        <f>"35.83"</f>
        <v>35.83</v>
      </c>
      <c r="BI1107" t="str">
        <f>"156.53"</f>
        <v>156.53</v>
      </c>
      <c r="BY1107" t="str">
        <f>"35.56"</f>
        <v>35.56</v>
      </c>
      <c r="BZ1107" t="str">
        <f>"1.007"</f>
        <v>1.007</v>
      </c>
      <c r="CA1107" t="s">
        <v>390</v>
      </c>
      <c r="CB1107" t="s">
        <v>3944</v>
      </c>
      <c r="CC1107" t="s">
        <v>1348</v>
      </c>
      <c r="CD1107" t="s">
        <v>396</v>
      </c>
      <c r="CE1107" t="s">
        <v>3944</v>
      </c>
      <c r="CF1107" t="s">
        <v>3945</v>
      </c>
      <c r="CG1107" t="s">
        <v>396</v>
      </c>
      <c r="CR1107" t="s">
        <v>3806</v>
      </c>
      <c r="CS1107">
        <v>4</v>
      </c>
      <c r="CT1107" t="s">
        <v>1008</v>
      </c>
      <c r="CV1107">
        <v>1</v>
      </c>
      <c r="CW1107" t="s">
        <v>402</v>
      </c>
      <c r="CX1107" t="s">
        <v>1018</v>
      </c>
      <c r="CY1107" t="s">
        <v>1009</v>
      </c>
      <c r="DC1107">
        <v>0</v>
      </c>
      <c r="DJ1107" t="s">
        <v>3946</v>
      </c>
      <c r="DK1107" t="s">
        <v>3807</v>
      </c>
      <c r="DM1107" t="s">
        <v>473</v>
      </c>
      <c r="DX1107" t="s">
        <v>3947</v>
      </c>
      <c r="DY1107" t="s">
        <v>2124</v>
      </c>
      <c r="DZ1107" t="s">
        <v>3854</v>
      </c>
      <c r="EI1107" t="s">
        <v>1291</v>
      </c>
      <c r="EJ1107" t="s">
        <v>1354</v>
      </c>
      <c r="EK1107" t="s">
        <v>3855</v>
      </c>
      <c r="EL1107" t="s">
        <v>1348</v>
      </c>
      <c r="EM1107" t="s">
        <v>402</v>
      </c>
      <c r="EN1107">
        <v>2</v>
      </c>
      <c r="FG1107" t="s">
        <v>402</v>
      </c>
      <c r="FI1107">
        <v>0</v>
      </c>
      <c r="FJ1107" t="s">
        <v>1012</v>
      </c>
      <c r="FR1107" t="s">
        <v>3833</v>
      </c>
      <c r="FS1107" t="s">
        <v>3833</v>
      </c>
      <c r="FT1107" t="s">
        <v>3948</v>
      </c>
      <c r="FU1107" t="s">
        <v>3949</v>
      </c>
      <c r="FV1107" t="s">
        <v>3313</v>
      </c>
      <c r="FW1107" t="s">
        <v>3313</v>
      </c>
      <c r="FX1107" t="s">
        <v>1008</v>
      </c>
      <c r="FZ1107" t="s">
        <v>1018</v>
      </c>
      <c r="GA1107" t="s">
        <v>402</v>
      </c>
      <c r="GE1107">
        <v>2</v>
      </c>
    </row>
    <row r="1108" spans="1:217" x14ac:dyDescent="0.25">
      <c r="A1108" t="s">
        <v>20536</v>
      </c>
      <c r="B1108" t="str">
        <f>"801542507350"</f>
        <v>801542507350</v>
      </c>
      <c r="C1108" t="s">
        <v>20537</v>
      </c>
      <c r="D1108" t="s">
        <v>3784</v>
      </c>
      <c r="E1108" t="s">
        <v>3860</v>
      </c>
      <c r="G1108" t="str">
        <f>"59.75"</f>
        <v>59.75</v>
      </c>
      <c r="H1108" t="str">
        <f>"22"</f>
        <v>22</v>
      </c>
      <c r="I1108" t="str">
        <f>"31"</f>
        <v>31</v>
      </c>
      <c r="J1108" t="str">
        <f>"130.07"</f>
        <v>130.07</v>
      </c>
      <c r="K1108" t="s">
        <v>3886</v>
      </c>
      <c r="L1108" t="s">
        <v>3786</v>
      </c>
      <c r="N1108" t="s">
        <v>3787</v>
      </c>
      <c r="O1108" t="s">
        <v>416</v>
      </c>
      <c r="T1108" t="s">
        <v>373</v>
      </c>
      <c r="U1108" t="s">
        <v>373</v>
      </c>
      <c r="V1108" t="s">
        <v>20538</v>
      </c>
      <c r="W1108" t="s">
        <v>20539</v>
      </c>
      <c r="X1108" t="s">
        <v>20540</v>
      </c>
      <c r="Y1108" t="s">
        <v>20541</v>
      </c>
      <c r="Z1108" t="s">
        <v>20542</v>
      </c>
      <c r="AA1108" t="s">
        <v>20543</v>
      </c>
      <c r="AB1108" t="s">
        <v>20544</v>
      </c>
      <c r="AC1108" t="s">
        <v>20545</v>
      </c>
      <c r="AD1108" t="s">
        <v>20546</v>
      </c>
      <c r="AE1108" t="s">
        <v>20547</v>
      </c>
      <c r="AF1108" t="s">
        <v>20548</v>
      </c>
      <c r="AG1108" t="s">
        <v>20549</v>
      </c>
      <c r="AH1108" t="s">
        <v>20550</v>
      </c>
      <c r="AI1108" t="s">
        <v>20551</v>
      </c>
      <c r="AJ1108" t="s">
        <v>20552</v>
      </c>
      <c r="BA1108" t="str">
        <f>"1499"</f>
        <v>1499</v>
      </c>
      <c r="BB1108" t="str">
        <f>"630"</f>
        <v>630</v>
      </c>
      <c r="BC1108" t="s">
        <v>1149</v>
      </c>
      <c r="BD1108" t="str">
        <f t="shared" si="200"/>
        <v>1</v>
      </c>
      <c r="BE1108" t="s">
        <v>389</v>
      </c>
      <c r="BF1108" t="str">
        <f>"64.57"</f>
        <v>64.57</v>
      </c>
      <c r="BG1108" t="str">
        <f>"26.57"</f>
        <v>26.57</v>
      </c>
      <c r="BH1108" t="str">
        <f>"35.83"</f>
        <v>35.83</v>
      </c>
      <c r="BI1108" t="str">
        <f>"156.53"</f>
        <v>156.53</v>
      </c>
      <c r="BY1108" t="str">
        <f>"35.56"</f>
        <v>35.56</v>
      </c>
      <c r="BZ1108" t="str">
        <f>"1.007"</f>
        <v>1.007</v>
      </c>
      <c r="CA1108" t="s">
        <v>431</v>
      </c>
      <c r="CB1108" t="s">
        <v>3944</v>
      </c>
      <c r="CC1108" t="s">
        <v>1348</v>
      </c>
      <c r="CD1108" t="s">
        <v>396</v>
      </c>
      <c r="CE1108" t="s">
        <v>3944</v>
      </c>
      <c r="CF1108" t="s">
        <v>3945</v>
      </c>
      <c r="CG1108" t="s">
        <v>396</v>
      </c>
      <c r="CR1108" t="s">
        <v>3806</v>
      </c>
      <c r="CS1108">
        <v>4</v>
      </c>
      <c r="CT1108" t="s">
        <v>1008</v>
      </c>
      <c r="CV1108">
        <v>1</v>
      </c>
      <c r="CW1108" t="s">
        <v>402</v>
      </c>
      <c r="CX1108" t="s">
        <v>1018</v>
      </c>
      <c r="CY1108" t="s">
        <v>1009</v>
      </c>
      <c r="DC1108">
        <v>0</v>
      </c>
      <c r="DJ1108" t="s">
        <v>3946</v>
      </c>
      <c r="DK1108" t="s">
        <v>3807</v>
      </c>
      <c r="DM1108" t="s">
        <v>473</v>
      </c>
      <c r="DX1108" t="s">
        <v>3947</v>
      </c>
      <c r="DY1108" t="s">
        <v>2124</v>
      </c>
      <c r="DZ1108" t="s">
        <v>3854</v>
      </c>
      <c r="EI1108" t="s">
        <v>1291</v>
      </c>
      <c r="EJ1108" t="s">
        <v>1354</v>
      </c>
      <c r="EK1108" t="s">
        <v>3855</v>
      </c>
      <c r="EL1108" t="s">
        <v>1348</v>
      </c>
      <c r="EM1108" t="s">
        <v>402</v>
      </c>
      <c r="EN1108">
        <v>2</v>
      </c>
      <c r="FG1108" t="s">
        <v>402</v>
      </c>
      <c r="FI1108">
        <v>0</v>
      </c>
      <c r="FJ1108" t="s">
        <v>1012</v>
      </c>
      <c r="FR1108" t="s">
        <v>3833</v>
      </c>
      <c r="FS1108" t="s">
        <v>3833</v>
      </c>
      <c r="FT1108" t="s">
        <v>3948</v>
      </c>
      <c r="FU1108" t="s">
        <v>3949</v>
      </c>
      <c r="FV1108" t="s">
        <v>3313</v>
      </c>
      <c r="FW1108" t="s">
        <v>3313</v>
      </c>
      <c r="FX1108" t="s">
        <v>1008</v>
      </c>
      <c r="FZ1108" t="s">
        <v>1018</v>
      </c>
      <c r="GA1108" t="s">
        <v>402</v>
      </c>
      <c r="GE1108">
        <v>2</v>
      </c>
    </row>
    <row r="1109" spans="1:217" x14ac:dyDescent="0.25">
      <c r="A1109" t="s">
        <v>20553</v>
      </c>
      <c r="B1109" t="str">
        <f>"801542507374"</f>
        <v>801542507374</v>
      </c>
      <c r="C1109" t="s">
        <v>20554</v>
      </c>
      <c r="D1109" t="s">
        <v>3784</v>
      </c>
      <c r="E1109" t="s">
        <v>930</v>
      </c>
      <c r="G1109" t="str">
        <f>"72"</f>
        <v>72</v>
      </c>
      <c r="H1109" t="str">
        <f>"18"</f>
        <v>18</v>
      </c>
      <c r="I1109" t="str">
        <f>"31"</f>
        <v>31</v>
      </c>
      <c r="J1109" t="str">
        <f>"124.56"</f>
        <v>124.56</v>
      </c>
      <c r="K1109" t="s">
        <v>3886</v>
      </c>
      <c r="L1109" t="s">
        <v>3786</v>
      </c>
      <c r="N1109" t="s">
        <v>3787</v>
      </c>
      <c r="O1109" t="s">
        <v>416</v>
      </c>
      <c r="T1109" t="s">
        <v>373</v>
      </c>
      <c r="U1109" t="s">
        <v>373</v>
      </c>
      <c r="V1109" t="s">
        <v>20555</v>
      </c>
      <c r="W1109" t="s">
        <v>20556</v>
      </c>
      <c r="X1109" t="s">
        <v>20557</v>
      </c>
      <c r="Y1109" t="s">
        <v>20558</v>
      </c>
      <c r="Z1109" t="s">
        <v>20559</v>
      </c>
      <c r="AA1109" t="s">
        <v>20560</v>
      </c>
      <c r="AB1109" t="s">
        <v>20561</v>
      </c>
      <c r="AC1109" t="s">
        <v>20562</v>
      </c>
      <c r="AD1109" t="s">
        <v>20563</v>
      </c>
      <c r="AE1109" t="s">
        <v>20564</v>
      </c>
      <c r="AF1109" t="s">
        <v>20565</v>
      </c>
      <c r="AG1109" t="s">
        <v>20566</v>
      </c>
      <c r="AH1109" t="s">
        <v>20567</v>
      </c>
      <c r="AI1109" t="s">
        <v>20568</v>
      </c>
      <c r="AJ1109" t="s">
        <v>20569</v>
      </c>
      <c r="AK1109" t="s">
        <v>20570</v>
      </c>
      <c r="AL1109" t="s">
        <v>20571</v>
      </c>
      <c r="AM1109" t="s">
        <v>20572</v>
      </c>
      <c r="BA1109" t="str">
        <f>"1599"</f>
        <v>1599</v>
      </c>
      <c r="BB1109" t="str">
        <f>"675"</f>
        <v>675</v>
      </c>
      <c r="BC1109" t="s">
        <v>1149</v>
      </c>
      <c r="BD1109" t="str">
        <f t="shared" si="200"/>
        <v>1</v>
      </c>
      <c r="BE1109" t="s">
        <v>389</v>
      </c>
      <c r="BF1109" t="str">
        <f>"76.77"</f>
        <v>76.77</v>
      </c>
      <c r="BG1109" t="str">
        <f>"21.46"</f>
        <v>21.46</v>
      </c>
      <c r="BH1109" t="str">
        <f>"34.84"</f>
        <v>34.84</v>
      </c>
      <c r="BI1109" t="str">
        <f>"147.71"</f>
        <v>147.71</v>
      </c>
      <c r="BY1109" t="str">
        <f>"33.23"</f>
        <v>33.23</v>
      </c>
      <c r="BZ1109" t="str">
        <f>"0.941"</f>
        <v>0.941</v>
      </c>
      <c r="CA1109" t="s">
        <v>431</v>
      </c>
      <c r="CE1109" t="s">
        <v>1999</v>
      </c>
      <c r="CF1109" t="s">
        <v>4673</v>
      </c>
      <c r="CG1109" t="s">
        <v>20573</v>
      </c>
      <c r="CR1109" t="s">
        <v>3806</v>
      </c>
      <c r="CS1109">
        <v>2</v>
      </c>
      <c r="CT1109" t="s">
        <v>1008</v>
      </c>
      <c r="CV1109">
        <v>0</v>
      </c>
      <c r="CX1109" t="s">
        <v>1018</v>
      </c>
      <c r="CY1109" t="s">
        <v>954</v>
      </c>
      <c r="DA1109">
        <v>18.14</v>
      </c>
      <c r="DB1109">
        <v>40</v>
      </c>
      <c r="DC1109">
        <v>2</v>
      </c>
      <c r="DK1109" t="s">
        <v>3807</v>
      </c>
      <c r="DM1109" t="s">
        <v>669</v>
      </c>
      <c r="DX1109" t="s">
        <v>1290</v>
      </c>
      <c r="EM1109" t="s">
        <v>402</v>
      </c>
      <c r="EN1109">
        <v>2</v>
      </c>
      <c r="EZ1109" t="s">
        <v>396</v>
      </c>
      <c r="FA1109" t="s">
        <v>20574</v>
      </c>
      <c r="FB1109" t="s">
        <v>20575</v>
      </c>
      <c r="FC1109" t="s">
        <v>1999</v>
      </c>
      <c r="FD1109" t="s">
        <v>20574</v>
      </c>
      <c r="FE1109" t="s">
        <v>20573</v>
      </c>
      <c r="FF1109">
        <v>0</v>
      </c>
      <c r="FG1109" t="s">
        <v>402</v>
      </c>
      <c r="FH1109" t="s">
        <v>959</v>
      </c>
      <c r="FI1109">
        <v>3</v>
      </c>
      <c r="FJ1109" t="s">
        <v>960</v>
      </c>
      <c r="FK1109" t="s">
        <v>1246</v>
      </c>
      <c r="FL1109">
        <v>0</v>
      </c>
      <c r="FM1109" t="s">
        <v>402</v>
      </c>
      <c r="FO1109" t="s">
        <v>984</v>
      </c>
      <c r="FR1109" t="s">
        <v>3319</v>
      </c>
      <c r="FT1109" t="s">
        <v>566</v>
      </c>
      <c r="FV1109" t="s">
        <v>3833</v>
      </c>
      <c r="FX1109" t="s">
        <v>1008</v>
      </c>
      <c r="FZ1109" t="s">
        <v>1018</v>
      </c>
      <c r="GA1109" t="s">
        <v>402</v>
      </c>
      <c r="GB1109" t="s">
        <v>1999</v>
      </c>
      <c r="GC1109" t="s">
        <v>4673</v>
      </c>
      <c r="GD1109" t="s">
        <v>5526</v>
      </c>
      <c r="GX1109" t="s">
        <v>576</v>
      </c>
      <c r="HE1109" t="s">
        <v>1999</v>
      </c>
      <c r="HF1109" t="s">
        <v>20574</v>
      </c>
      <c r="HG1109" t="s">
        <v>5526</v>
      </c>
      <c r="HI1109" t="s">
        <v>402</v>
      </c>
    </row>
    <row r="1110" spans="1:217" x14ac:dyDescent="0.25">
      <c r="A1110" t="s">
        <v>20576</v>
      </c>
      <c r="B1110" t="str">
        <f>"801542258061"</f>
        <v>801542258061</v>
      </c>
      <c r="C1110" t="s">
        <v>20577</v>
      </c>
      <c r="D1110" t="s">
        <v>1224</v>
      </c>
      <c r="E1110" t="s">
        <v>1077</v>
      </c>
      <c r="G1110" t="str">
        <f>"40"</f>
        <v>40</v>
      </c>
      <c r="H1110" t="str">
        <f>"40"</f>
        <v>40</v>
      </c>
      <c r="I1110" t="str">
        <f>"15"</f>
        <v>15</v>
      </c>
      <c r="J1110" t="str">
        <f>"57.32"</f>
        <v>57.32</v>
      </c>
      <c r="K1110" t="s">
        <v>13449</v>
      </c>
      <c r="L1110" t="s">
        <v>460</v>
      </c>
      <c r="N1110" t="s">
        <v>13450</v>
      </c>
      <c r="O1110" t="s">
        <v>461</v>
      </c>
      <c r="T1110" t="s">
        <v>373</v>
      </c>
      <c r="U1110" t="s">
        <v>373</v>
      </c>
      <c r="V1110" t="s">
        <v>13451</v>
      </c>
      <c r="W1110" t="s">
        <v>20578</v>
      </c>
      <c r="X1110" t="s">
        <v>20579</v>
      </c>
      <c r="Y1110" t="s">
        <v>20580</v>
      </c>
      <c r="Z1110" t="s">
        <v>20581</v>
      </c>
      <c r="AA1110" t="s">
        <v>20582</v>
      </c>
      <c r="AB1110" t="s">
        <v>20583</v>
      </c>
      <c r="AC1110" t="s">
        <v>20584</v>
      </c>
      <c r="AD1110" t="s">
        <v>20585</v>
      </c>
      <c r="AE1110" t="s">
        <v>20586</v>
      </c>
      <c r="AF1110" t="s">
        <v>20587</v>
      </c>
      <c r="AG1110" t="s">
        <v>20588</v>
      </c>
      <c r="AH1110" t="s">
        <v>20589</v>
      </c>
      <c r="BA1110" t="str">
        <f>"2099"</f>
        <v>2099</v>
      </c>
      <c r="BB1110" t="str">
        <f>"885"</f>
        <v>885</v>
      </c>
      <c r="BC1110" t="s">
        <v>1149</v>
      </c>
      <c r="BD1110" t="str">
        <f t="shared" si="200"/>
        <v>1</v>
      </c>
      <c r="BE1110" t="s">
        <v>389</v>
      </c>
      <c r="BF1110" t="str">
        <f>"44.88"</f>
        <v>44.88</v>
      </c>
      <c r="BG1110" t="str">
        <f>"45.28"</f>
        <v>45.28</v>
      </c>
      <c r="BH1110" t="str">
        <f>"22.83"</f>
        <v>22.83</v>
      </c>
      <c r="BI1110" t="str">
        <f>"98.99"</f>
        <v>98.99</v>
      </c>
      <c r="BY1110" t="str">
        <f>"26.84"</f>
        <v>26.84</v>
      </c>
      <c r="BZ1110" t="str">
        <f>"0.76"</f>
        <v>0.76</v>
      </c>
      <c r="CA1110" t="s">
        <v>431</v>
      </c>
      <c r="CR1110" t="s">
        <v>400</v>
      </c>
      <c r="CS1110">
        <v>0</v>
      </c>
      <c r="CT1110" t="s">
        <v>400</v>
      </c>
      <c r="CV1110">
        <v>0</v>
      </c>
      <c r="CX1110" t="s">
        <v>1241</v>
      </c>
      <c r="CY1110" t="s">
        <v>400</v>
      </c>
      <c r="DC1110">
        <v>0</v>
      </c>
      <c r="DJ1110" t="s">
        <v>471</v>
      </c>
      <c r="DK1110" t="s">
        <v>3965</v>
      </c>
      <c r="DM1110" t="s">
        <v>473</v>
      </c>
      <c r="DX1110" t="s">
        <v>3638</v>
      </c>
      <c r="DY1110" t="s">
        <v>600</v>
      </c>
      <c r="DZ1110" t="s">
        <v>600</v>
      </c>
      <c r="EI1110" t="s">
        <v>3966</v>
      </c>
      <c r="EJ1110" t="s">
        <v>3638</v>
      </c>
      <c r="EK1110" t="s">
        <v>3966</v>
      </c>
      <c r="EL1110" t="s">
        <v>3967</v>
      </c>
      <c r="EM1110" t="s">
        <v>402</v>
      </c>
      <c r="EN1110">
        <v>0</v>
      </c>
      <c r="EO1110">
        <v>0</v>
      </c>
    </row>
    <row r="1111" spans="1:217" x14ac:dyDescent="0.25">
      <c r="A1111" t="s">
        <v>20590</v>
      </c>
      <c r="B1111" t="str">
        <f>"801542307639"</f>
        <v>801542307639</v>
      </c>
      <c r="C1111" t="s">
        <v>20591</v>
      </c>
      <c r="D1111" t="s">
        <v>1224</v>
      </c>
      <c r="E1111" t="s">
        <v>1077</v>
      </c>
      <c r="G1111" t="str">
        <f>"40"</f>
        <v>40</v>
      </c>
      <c r="H1111" t="str">
        <f>"40"</f>
        <v>40</v>
      </c>
      <c r="I1111" t="str">
        <f>"15"</f>
        <v>15</v>
      </c>
      <c r="J1111" t="str">
        <f>"57.32"</f>
        <v>57.32</v>
      </c>
      <c r="K1111" t="s">
        <v>20592</v>
      </c>
      <c r="L1111" t="s">
        <v>460</v>
      </c>
      <c r="N1111" t="s">
        <v>5648</v>
      </c>
      <c r="O1111" t="s">
        <v>461</v>
      </c>
      <c r="T1111" t="s">
        <v>373</v>
      </c>
      <c r="U1111" t="s">
        <v>373</v>
      </c>
      <c r="V1111" t="s">
        <v>20593</v>
      </c>
      <c r="W1111" t="s">
        <v>20594</v>
      </c>
      <c r="X1111" t="s">
        <v>20595</v>
      </c>
      <c r="Y1111" t="s">
        <v>20596</v>
      </c>
      <c r="Z1111" t="s">
        <v>20597</v>
      </c>
      <c r="AA1111" t="s">
        <v>20598</v>
      </c>
      <c r="AB1111" t="s">
        <v>20599</v>
      </c>
      <c r="AC1111" t="s">
        <v>20600</v>
      </c>
      <c r="AD1111" t="s">
        <v>20601</v>
      </c>
      <c r="AE1111" t="s">
        <v>20602</v>
      </c>
      <c r="AF1111" t="s">
        <v>20603</v>
      </c>
      <c r="BA1111" t="str">
        <f>"2099"</f>
        <v>2099</v>
      </c>
      <c r="BB1111" t="str">
        <f>"885"</f>
        <v>885</v>
      </c>
      <c r="BC1111" t="s">
        <v>1149</v>
      </c>
      <c r="BD1111" t="str">
        <f t="shared" si="200"/>
        <v>1</v>
      </c>
      <c r="BE1111" t="s">
        <v>389</v>
      </c>
      <c r="BF1111" t="str">
        <f>"44.88"</f>
        <v>44.88</v>
      </c>
      <c r="BG1111" t="str">
        <f>"45.28"</f>
        <v>45.28</v>
      </c>
      <c r="BH1111" t="str">
        <f>"22.83"</f>
        <v>22.83</v>
      </c>
      <c r="BI1111" t="str">
        <f>"98.99"</f>
        <v>98.99</v>
      </c>
      <c r="BY1111" t="str">
        <f>"26.84"</f>
        <v>26.84</v>
      </c>
      <c r="BZ1111" t="str">
        <f>"0.76"</f>
        <v>0.76</v>
      </c>
      <c r="CA1111" t="s">
        <v>431</v>
      </c>
      <c r="CR1111" t="s">
        <v>400</v>
      </c>
      <c r="CS1111">
        <v>0</v>
      </c>
      <c r="CT1111" t="s">
        <v>400</v>
      </c>
      <c r="CV1111">
        <v>0</v>
      </c>
      <c r="CX1111" t="s">
        <v>1241</v>
      </c>
      <c r="CY1111" t="s">
        <v>400</v>
      </c>
      <c r="DC1111">
        <v>0</v>
      </c>
      <c r="DJ1111" t="s">
        <v>471</v>
      </c>
      <c r="DK1111" t="s">
        <v>3965</v>
      </c>
      <c r="DM1111" t="s">
        <v>473</v>
      </c>
      <c r="DX1111" t="s">
        <v>3638</v>
      </c>
      <c r="DY1111" t="s">
        <v>600</v>
      </c>
      <c r="DZ1111" t="s">
        <v>600</v>
      </c>
      <c r="EI1111" t="s">
        <v>3966</v>
      </c>
      <c r="EJ1111" t="s">
        <v>3638</v>
      </c>
      <c r="EK1111" t="s">
        <v>3966</v>
      </c>
      <c r="EL1111" t="s">
        <v>3967</v>
      </c>
      <c r="EM1111" t="s">
        <v>402</v>
      </c>
      <c r="EN1111">
        <v>0</v>
      </c>
      <c r="EO1111">
        <v>0</v>
      </c>
    </row>
    <row r="1112" spans="1:217" x14ac:dyDescent="0.25">
      <c r="A1112" t="s">
        <v>20604</v>
      </c>
      <c r="B1112" t="str">
        <f>"801542287467"</f>
        <v>801542287467</v>
      </c>
      <c r="C1112" t="s">
        <v>20605</v>
      </c>
      <c r="D1112" t="s">
        <v>1224</v>
      </c>
      <c r="E1112" t="s">
        <v>459</v>
      </c>
      <c r="G1112" t="str">
        <f>"17.5"</f>
        <v>17.5</v>
      </c>
      <c r="H1112" t="str">
        <f>"14"</f>
        <v>14</v>
      </c>
      <c r="I1112" t="str">
        <f>"22"</f>
        <v>22</v>
      </c>
      <c r="J1112" t="str">
        <f>"48.72"</f>
        <v>48.72</v>
      </c>
      <c r="K1112" t="s">
        <v>13449</v>
      </c>
      <c r="L1112" t="s">
        <v>1226</v>
      </c>
      <c r="N1112" t="s">
        <v>13450</v>
      </c>
      <c r="O1112" t="s">
        <v>555</v>
      </c>
      <c r="T1112" t="s">
        <v>373</v>
      </c>
      <c r="U1112" t="s">
        <v>373</v>
      </c>
      <c r="V1112" t="s">
        <v>20606</v>
      </c>
      <c r="W1112" t="s">
        <v>20607</v>
      </c>
      <c r="X1112" t="s">
        <v>20608</v>
      </c>
      <c r="Y1112" t="s">
        <v>20609</v>
      </c>
      <c r="Z1112" t="s">
        <v>20610</v>
      </c>
      <c r="AA1112" t="s">
        <v>20611</v>
      </c>
      <c r="AB1112" t="s">
        <v>20612</v>
      </c>
      <c r="AC1112" t="s">
        <v>20613</v>
      </c>
      <c r="AD1112" t="s">
        <v>20614</v>
      </c>
      <c r="AE1112" t="s">
        <v>20615</v>
      </c>
      <c r="AF1112" t="s">
        <v>20616</v>
      </c>
      <c r="AG1112" t="s">
        <v>20617</v>
      </c>
      <c r="BA1112" t="str">
        <f>"1349"</f>
        <v>1349</v>
      </c>
      <c r="BB1112" t="str">
        <f>"570"</f>
        <v>570</v>
      </c>
      <c r="BC1112" t="s">
        <v>1149</v>
      </c>
      <c r="BD1112" t="str">
        <f t="shared" si="200"/>
        <v>1</v>
      </c>
      <c r="BE1112" t="s">
        <v>389</v>
      </c>
      <c r="BF1112" t="str">
        <f>"23.43"</f>
        <v>23.43</v>
      </c>
      <c r="BG1112" t="str">
        <f>"19.69"</f>
        <v>19.69</v>
      </c>
      <c r="BH1112" t="str">
        <f>"28.74"</f>
        <v>28.74</v>
      </c>
      <c r="BI1112" t="str">
        <f>"66.14"</f>
        <v>66.14</v>
      </c>
      <c r="BY1112" t="str">
        <f>"7.66"</f>
        <v>7.66</v>
      </c>
      <c r="BZ1112" t="str">
        <f>"0.217"</f>
        <v>0.217</v>
      </c>
      <c r="CA1112" t="s">
        <v>390</v>
      </c>
      <c r="CE1112" t="s">
        <v>1039</v>
      </c>
      <c r="CF1112" t="s">
        <v>3982</v>
      </c>
      <c r="CG1112" t="s">
        <v>979</v>
      </c>
      <c r="CR1112" t="s">
        <v>400</v>
      </c>
      <c r="CS1112">
        <v>0</v>
      </c>
      <c r="CT1112" t="s">
        <v>400</v>
      </c>
      <c r="CV1112">
        <v>0</v>
      </c>
      <c r="CX1112" t="s">
        <v>1241</v>
      </c>
      <c r="CY1112" t="s">
        <v>400</v>
      </c>
      <c r="DC1112">
        <v>0</v>
      </c>
      <c r="DJ1112" t="s">
        <v>408</v>
      </c>
      <c r="DK1112" t="s">
        <v>3965</v>
      </c>
      <c r="DM1112" t="s">
        <v>473</v>
      </c>
      <c r="DX1112" t="s">
        <v>3483</v>
      </c>
      <c r="EI1112" t="s">
        <v>3983</v>
      </c>
      <c r="EJ1112" t="s">
        <v>3984</v>
      </c>
      <c r="EK1112" t="s">
        <v>511</v>
      </c>
      <c r="EL1112" t="s">
        <v>674</v>
      </c>
      <c r="EM1112" t="s">
        <v>402</v>
      </c>
      <c r="EN1112">
        <v>1</v>
      </c>
      <c r="EO1112">
        <v>0</v>
      </c>
      <c r="EX1112" t="s">
        <v>3483</v>
      </c>
    </row>
    <row r="1113" spans="1:217" x14ac:dyDescent="0.25">
      <c r="A1113" t="s">
        <v>20618</v>
      </c>
      <c r="B1113" t="str">
        <f>"801542359492"</f>
        <v>801542359492</v>
      </c>
      <c r="C1113" t="s">
        <v>20619</v>
      </c>
      <c r="D1113" t="s">
        <v>1224</v>
      </c>
      <c r="E1113" t="s">
        <v>459</v>
      </c>
      <c r="G1113" t="str">
        <f>"17.5"</f>
        <v>17.5</v>
      </c>
      <c r="H1113" t="str">
        <f>"14"</f>
        <v>14</v>
      </c>
      <c r="I1113" t="str">
        <f>"22"</f>
        <v>22</v>
      </c>
      <c r="J1113" t="str">
        <f>"28.97"</f>
        <v>28.97</v>
      </c>
      <c r="K1113" t="s">
        <v>5646</v>
      </c>
      <c r="L1113" t="s">
        <v>1226</v>
      </c>
      <c r="N1113" t="s">
        <v>5648</v>
      </c>
      <c r="O1113" t="s">
        <v>555</v>
      </c>
      <c r="T1113" t="s">
        <v>373</v>
      </c>
      <c r="U1113" t="s">
        <v>373</v>
      </c>
      <c r="V1113" t="s">
        <v>20620</v>
      </c>
      <c r="W1113" t="s">
        <v>20621</v>
      </c>
      <c r="X1113" t="s">
        <v>20622</v>
      </c>
      <c r="Y1113" t="s">
        <v>20623</v>
      </c>
      <c r="Z1113" t="s">
        <v>20624</v>
      </c>
      <c r="AA1113" t="s">
        <v>20625</v>
      </c>
      <c r="AB1113" t="s">
        <v>20626</v>
      </c>
      <c r="AC1113" t="s">
        <v>20627</v>
      </c>
      <c r="AD1113" t="s">
        <v>20628</v>
      </c>
      <c r="AE1113" t="s">
        <v>20629</v>
      </c>
      <c r="AF1113" t="s">
        <v>20630</v>
      </c>
      <c r="BA1113" t="str">
        <f>"1349"</f>
        <v>1349</v>
      </c>
      <c r="BB1113" t="str">
        <f>"570"</f>
        <v>570</v>
      </c>
      <c r="BC1113" t="s">
        <v>1149</v>
      </c>
      <c r="BD1113" t="str">
        <f t="shared" si="200"/>
        <v>1</v>
      </c>
      <c r="BE1113" t="s">
        <v>389</v>
      </c>
      <c r="BF1113" t="str">
        <f>"23.23"</f>
        <v>23.23</v>
      </c>
      <c r="BG1113" t="str">
        <f>"20.08"</f>
        <v>20.08</v>
      </c>
      <c r="BH1113" t="str">
        <f>"28.74"</f>
        <v>28.74</v>
      </c>
      <c r="BI1113" t="str">
        <f>"45.72"</f>
        <v>45.72</v>
      </c>
      <c r="BY1113" t="str">
        <f>"7.77"</f>
        <v>7.77</v>
      </c>
      <c r="BZ1113" t="str">
        <f>"0.22"</f>
        <v>0.22</v>
      </c>
      <c r="CA1113" t="s">
        <v>495</v>
      </c>
      <c r="CE1113" t="s">
        <v>1039</v>
      </c>
      <c r="CF1113" t="s">
        <v>3982</v>
      </c>
      <c r="CG1113" t="s">
        <v>979</v>
      </c>
      <c r="CR1113" t="s">
        <v>400</v>
      </c>
      <c r="CS1113">
        <v>0</v>
      </c>
      <c r="CT1113" t="s">
        <v>400</v>
      </c>
      <c r="CV1113">
        <v>0</v>
      </c>
      <c r="CX1113" t="s">
        <v>1241</v>
      </c>
      <c r="CY1113" t="s">
        <v>400</v>
      </c>
      <c r="DC1113">
        <v>0</v>
      </c>
      <c r="DJ1113" t="s">
        <v>408</v>
      </c>
      <c r="DK1113" t="s">
        <v>3965</v>
      </c>
      <c r="DM1113" t="s">
        <v>473</v>
      </c>
      <c r="DX1113" t="s">
        <v>3483</v>
      </c>
      <c r="EI1113" t="s">
        <v>3983</v>
      </c>
      <c r="EJ1113" t="s">
        <v>3984</v>
      </c>
      <c r="EK1113" t="s">
        <v>511</v>
      </c>
      <c r="EL1113" t="s">
        <v>674</v>
      </c>
      <c r="EM1113" t="s">
        <v>402</v>
      </c>
      <c r="EN1113">
        <v>1</v>
      </c>
      <c r="EO1113">
        <v>0</v>
      </c>
      <c r="EX1113" t="s">
        <v>3483</v>
      </c>
    </row>
    <row r="1114" spans="1:217" x14ac:dyDescent="0.25">
      <c r="A1114" t="s">
        <v>20631</v>
      </c>
      <c r="B1114" t="str">
        <f>"801542287801"</f>
        <v>801542287801</v>
      </c>
      <c r="C1114" t="s">
        <v>20632</v>
      </c>
      <c r="D1114" t="s">
        <v>1224</v>
      </c>
      <c r="E1114" t="s">
        <v>647</v>
      </c>
      <c r="F1114" t="s">
        <v>648</v>
      </c>
      <c r="G1114" t="str">
        <f>"94"</f>
        <v>94</v>
      </c>
      <c r="H1114" t="str">
        <f>"42"</f>
        <v>42</v>
      </c>
      <c r="I1114" t="str">
        <f>"30"</f>
        <v>30</v>
      </c>
      <c r="J1114" t="str">
        <f>"182.98"</f>
        <v>182.98</v>
      </c>
      <c r="K1114" t="s">
        <v>20633</v>
      </c>
      <c r="L1114" t="s">
        <v>20634</v>
      </c>
      <c r="N1114" t="s">
        <v>13450</v>
      </c>
      <c r="O1114" t="s">
        <v>555</v>
      </c>
      <c r="T1114" t="s">
        <v>373</v>
      </c>
      <c r="U1114" t="s">
        <v>373</v>
      </c>
      <c r="V1114" t="s">
        <v>20635</v>
      </c>
      <c r="W1114" t="s">
        <v>20636</v>
      </c>
      <c r="X1114" t="s">
        <v>20637</v>
      </c>
      <c r="Y1114" t="s">
        <v>20638</v>
      </c>
      <c r="Z1114" t="s">
        <v>20639</v>
      </c>
      <c r="AA1114" t="s">
        <v>20640</v>
      </c>
      <c r="AB1114" t="s">
        <v>20641</v>
      </c>
      <c r="AC1114" t="s">
        <v>20642</v>
      </c>
      <c r="AD1114" t="s">
        <v>20643</v>
      </c>
      <c r="AE1114" t="s">
        <v>20644</v>
      </c>
      <c r="AF1114" t="s">
        <v>20645</v>
      </c>
      <c r="AG1114" t="s">
        <v>20646</v>
      </c>
      <c r="AH1114" t="s">
        <v>20647</v>
      </c>
      <c r="BA1114" t="str">
        <f>"3699"</f>
        <v>3699</v>
      </c>
      <c r="BB1114" t="str">
        <f>"1555"</f>
        <v>1555</v>
      </c>
      <c r="BC1114" t="s">
        <v>1149</v>
      </c>
      <c r="BD1114" t="str">
        <f>"2"</f>
        <v>2</v>
      </c>
      <c r="BE1114" t="s">
        <v>4000</v>
      </c>
      <c r="BF1114" t="str">
        <f>"31.1"</f>
        <v>31.1</v>
      </c>
      <c r="BG1114" t="str">
        <f>"22.44"</f>
        <v>22.44</v>
      </c>
      <c r="BH1114" t="str">
        <f>"35.04"</f>
        <v>35.04</v>
      </c>
      <c r="BI1114" t="str">
        <f>"72.53"</f>
        <v>72.53</v>
      </c>
      <c r="BJ1114" t="s">
        <v>1089</v>
      </c>
      <c r="BK1114" t="str">
        <f>"100.79"</f>
        <v>100.79</v>
      </c>
      <c r="BL1114" t="str">
        <f>"48.82"</f>
        <v>48.82</v>
      </c>
      <c r="BM1114" t="str">
        <f>"7.87"</f>
        <v>7.87</v>
      </c>
      <c r="BN1114" t="str">
        <f>"191.8"</f>
        <v>191.8</v>
      </c>
      <c r="BY1114" t="str">
        <f>"36.59"</f>
        <v>36.59</v>
      </c>
      <c r="BZ1114" t="str">
        <f>"1.036"</f>
        <v>1.036</v>
      </c>
      <c r="CA1114" t="s">
        <v>390</v>
      </c>
      <c r="CR1114" t="s">
        <v>400</v>
      </c>
      <c r="CS1114">
        <v>0</v>
      </c>
      <c r="CT1114" t="s">
        <v>400</v>
      </c>
      <c r="CV1114">
        <v>0</v>
      </c>
      <c r="CX1114" t="s">
        <v>953</v>
      </c>
      <c r="CY1114" t="s">
        <v>400</v>
      </c>
      <c r="DA1114">
        <v>0</v>
      </c>
      <c r="DB1114">
        <v>0</v>
      </c>
      <c r="DC1114">
        <v>0</v>
      </c>
      <c r="DI1114">
        <v>10</v>
      </c>
      <c r="DJ1114" t="s">
        <v>408</v>
      </c>
      <c r="DK1114" t="s">
        <v>20648</v>
      </c>
      <c r="DM1114" t="s">
        <v>669</v>
      </c>
      <c r="DX1114" t="s">
        <v>7855</v>
      </c>
      <c r="DZ1114" t="s">
        <v>18718</v>
      </c>
      <c r="EI1114" t="s">
        <v>601</v>
      </c>
      <c r="EJ1114" t="s">
        <v>20649</v>
      </c>
      <c r="EK1114" t="s">
        <v>3252</v>
      </c>
      <c r="EL1114" t="s">
        <v>2400</v>
      </c>
      <c r="EN1114">
        <v>0</v>
      </c>
      <c r="EO1114">
        <v>0</v>
      </c>
      <c r="EW1114" t="s">
        <v>5510</v>
      </c>
      <c r="EX1114" t="s">
        <v>958</v>
      </c>
      <c r="EY1114" t="s">
        <v>1443</v>
      </c>
    </row>
    <row r="1115" spans="1:217" x14ac:dyDescent="0.25">
      <c r="A1115" t="s">
        <v>20650</v>
      </c>
      <c r="B1115" t="str">
        <f>"801542308865"</f>
        <v>801542308865</v>
      </c>
      <c r="C1115" t="s">
        <v>20651</v>
      </c>
      <c r="D1115" t="s">
        <v>1224</v>
      </c>
      <c r="E1115" t="s">
        <v>930</v>
      </c>
      <c r="G1115" t="str">
        <f>"70"</f>
        <v>70</v>
      </c>
      <c r="H1115" t="str">
        <f>"17.75"</f>
        <v>17.75</v>
      </c>
      <c r="I1115" t="str">
        <f>"31.5"</f>
        <v>31.5</v>
      </c>
      <c r="J1115" t="str">
        <f>"146.61"</f>
        <v>146.61</v>
      </c>
      <c r="K1115" t="s">
        <v>20652</v>
      </c>
      <c r="L1115" t="s">
        <v>1226</v>
      </c>
      <c r="N1115" t="s">
        <v>20653</v>
      </c>
      <c r="O1115" t="s">
        <v>555</v>
      </c>
      <c r="T1115" t="s">
        <v>373</v>
      </c>
      <c r="U1115" t="s">
        <v>373</v>
      </c>
      <c r="V1115" t="s">
        <v>20654</v>
      </c>
      <c r="W1115" t="s">
        <v>20655</v>
      </c>
      <c r="X1115" t="s">
        <v>20656</v>
      </c>
      <c r="Y1115" t="s">
        <v>20657</v>
      </c>
      <c r="Z1115" t="s">
        <v>20658</v>
      </c>
      <c r="AA1115" t="s">
        <v>20659</v>
      </c>
      <c r="AB1115" t="s">
        <v>20660</v>
      </c>
      <c r="AC1115" t="s">
        <v>20661</v>
      </c>
      <c r="AD1115" t="s">
        <v>20662</v>
      </c>
      <c r="AE1115" t="s">
        <v>20663</v>
      </c>
      <c r="AF1115" t="s">
        <v>20664</v>
      </c>
      <c r="AG1115" t="s">
        <v>20665</v>
      </c>
      <c r="AH1115" t="s">
        <v>20666</v>
      </c>
      <c r="BA1115" t="str">
        <f>"3499"</f>
        <v>3499</v>
      </c>
      <c r="BB1115" t="str">
        <f>"1470"</f>
        <v>1470</v>
      </c>
      <c r="BC1115" t="s">
        <v>1149</v>
      </c>
      <c r="BD1115" t="str">
        <f>"1"</f>
        <v>1</v>
      </c>
      <c r="BE1115" t="s">
        <v>389</v>
      </c>
      <c r="BF1115" t="str">
        <f>"77.56"</f>
        <v>77.56</v>
      </c>
      <c r="BG1115" t="str">
        <f>"24.8"</f>
        <v>24.8</v>
      </c>
      <c r="BH1115" t="str">
        <f>"38.58"</f>
        <v>38.58</v>
      </c>
      <c r="BI1115" t="str">
        <f>"212.3"</f>
        <v>212.3</v>
      </c>
      <c r="BY1115" t="str">
        <f>"42.94"</f>
        <v>42.94</v>
      </c>
      <c r="BZ1115" t="str">
        <f>"1.216"</f>
        <v>1.216</v>
      </c>
      <c r="CA1115" t="s">
        <v>390</v>
      </c>
      <c r="CE1115" t="s">
        <v>1055</v>
      </c>
      <c r="CF1115" t="s">
        <v>4019</v>
      </c>
      <c r="CG1115" t="s">
        <v>636</v>
      </c>
      <c r="CR1115" t="s">
        <v>400</v>
      </c>
      <c r="CS1115">
        <v>0</v>
      </c>
      <c r="CT1115" t="s">
        <v>400</v>
      </c>
      <c r="CV1115">
        <v>0</v>
      </c>
      <c r="CX1115" t="s">
        <v>1241</v>
      </c>
      <c r="CY1115" t="s">
        <v>954</v>
      </c>
      <c r="DA1115">
        <v>18.14</v>
      </c>
      <c r="DB1115">
        <v>40</v>
      </c>
      <c r="DC1115">
        <v>2</v>
      </c>
      <c r="DK1115" t="s">
        <v>20667</v>
      </c>
      <c r="DM1115" t="s">
        <v>473</v>
      </c>
      <c r="DX1115" t="s">
        <v>446</v>
      </c>
      <c r="EN1115">
        <v>2</v>
      </c>
      <c r="EZ1115" t="s">
        <v>15099</v>
      </c>
      <c r="FA1115" t="s">
        <v>1348</v>
      </c>
      <c r="FB1115" t="s">
        <v>981</v>
      </c>
      <c r="FC1115" t="s">
        <v>546</v>
      </c>
      <c r="FD1115" t="s">
        <v>5144</v>
      </c>
      <c r="FE1115" t="s">
        <v>20668</v>
      </c>
      <c r="FF1115">
        <v>0</v>
      </c>
      <c r="FG1115" t="s">
        <v>402</v>
      </c>
      <c r="FI1115">
        <v>4</v>
      </c>
      <c r="FJ1115" t="s">
        <v>960</v>
      </c>
      <c r="FK1115" t="s">
        <v>1246</v>
      </c>
      <c r="FL1115">
        <v>0</v>
      </c>
      <c r="FM1115" t="s">
        <v>402</v>
      </c>
      <c r="FO1115" t="s">
        <v>984</v>
      </c>
    </row>
    <row r="1116" spans="1:217" x14ac:dyDescent="0.25">
      <c r="A1116" t="s">
        <v>20669</v>
      </c>
      <c r="B1116" t="str">
        <f>"801542335014"</f>
        <v>801542335014</v>
      </c>
      <c r="C1116" t="s">
        <v>20670</v>
      </c>
      <c r="D1116" t="s">
        <v>1224</v>
      </c>
      <c r="E1116" t="s">
        <v>1077</v>
      </c>
      <c r="G1116" t="str">
        <f>"53.25"</f>
        <v>53.25</v>
      </c>
      <c r="H1116" t="str">
        <f>"50.75"</f>
        <v>50.75</v>
      </c>
      <c r="I1116" t="str">
        <f>"16.5"</f>
        <v>16.5</v>
      </c>
      <c r="J1116" t="str">
        <f>"101.41"</f>
        <v>101.41</v>
      </c>
      <c r="K1116" t="s">
        <v>20671</v>
      </c>
      <c r="N1116" t="s">
        <v>5648</v>
      </c>
      <c r="T1116" t="s">
        <v>373</v>
      </c>
      <c r="U1116" t="s">
        <v>373</v>
      </c>
      <c r="V1116" t="s">
        <v>20672</v>
      </c>
      <c r="W1116" t="s">
        <v>20673</v>
      </c>
      <c r="X1116" t="s">
        <v>20674</v>
      </c>
      <c r="Y1116" t="s">
        <v>20675</v>
      </c>
      <c r="Z1116" t="s">
        <v>20676</v>
      </c>
      <c r="AA1116" t="s">
        <v>20677</v>
      </c>
      <c r="AB1116" t="s">
        <v>20678</v>
      </c>
      <c r="AC1116" t="s">
        <v>20679</v>
      </c>
      <c r="AD1116" t="s">
        <v>20680</v>
      </c>
      <c r="AE1116" t="s">
        <v>20681</v>
      </c>
      <c r="AF1116" t="s">
        <v>20682</v>
      </c>
      <c r="BA1116" t="str">
        <f>"2099"</f>
        <v>2099</v>
      </c>
      <c r="BB1116" t="str">
        <f>"885"</f>
        <v>885</v>
      </c>
      <c r="BC1116" t="s">
        <v>1149</v>
      </c>
      <c r="BD1116" t="str">
        <f>"2"</f>
        <v>2</v>
      </c>
      <c r="BE1116" t="s">
        <v>1089</v>
      </c>
      <c r="BF1116" t="str">
        <f>"59.45"</f>
        <v>59.45</v>
      </c>
      <c r="BG1116" t="str">
        <f>"57.87"</f>
        <v>57.87</v>
      </c>
      <c r="BH1116" t="str">
        <f>"9.06"</f>
        <v>9.06</v>
      </c>
      <c r="BI1116" t="str">
        <f>"101.85"</f>
        <v>101.85</v>
      </c>
      <c r="BJ1116" t="s">
        <v>4000</v>
      </c>
      <c r="BK1116" t="str">
        <f>"33.46"</f>
        <v>33.46</v>
      </c>
      <c r="BL1116" t="str">
        <f>"37.8"</f>
        <v>37.8</v>
      </c>
      <c r="BM1116" t="str">
        <f>"20.87"</f>
        <v>20.87</v>
      </c>
      <c r="BN1116" t="str">
        <f>"43.47"</f>
        <v>43.47</v>
      </c>
      <c r="BY1116" t="str">
        <f>"33.3"</f>
        <v>33.3</v>
      </c>
      <c r="BZ1116" t="str">
        <f>"0.943"</f>
        <v>0.943</v>
      </c>
      <c r="CA1116" t="s">
        <v>431</v>
      </c>
      <c r="CR1116" t="s">
        <v>400</v>
      </c>
      <c r="CS1116">
        <v>0</v>
      </c>
      <c r="CT1116" t="s">
        <v>400</v>
      </c>
      <c r="CV1116">
        <v>0</v>
      </c>
      <c r="CX1116" t="s">
        <v>953</v>
      </c>
      <c r="CY1116" t="s">
        <v>400</v>
      </c>
      <c r="DC1116">
        <v>0</v>
      </c>
      <c r="DJ1116" t="s">
        <v>4001</v>
      </c>
      <c r="DK1116" t="s">
        <v>4002</v>
      </c>
      <c r="DM1116" t="s">
        <v>473</v>
      </c>
      <c r="DX1116" t="s">
        <v>1039</v>
      </c>
      <c r="EI1116" t="s">
        <v>578</v>
      </c>
      <c r="EJ1116" t="s">
        <v>1039</v>
      </c>
      <c r="EK1116" t="s">
        <v>441</v>
      </c>
      <c r="EL1116" t="s">
        <v>4003</v>
      </c>
      <c r="EM1116" t="s">
        <v>402</v>
      </c>
      <c r="EN1116">
        <v>0</v>
      </c>
      <c r="EO1116">
        <v>0</v>
      </c>
      <c r="EX1116" t="s">
        <v>4004</v>
      </c>
    </row>
    <row r="1117" spans="1:217" x14ac:dyDescent="0.25">
      <c r="A1117" t="s">
        <v>20683</v>
      </c>
      <c r="B1117" t="str">
        <f>"801542382384"</f>
        <v>801542382384</v>
      </c>
      <c r="C1117" t="s">
        <v>20684</v>
      </c>
      <c r="D1117" t="s">
        <v>1224</v>
      </c>
      <c r="E1117" t="s">
        <v>459</v>
      </c>
      <c r="G1117" t="str">
        <f>"20"</f>
        <v>20</v>
      </c>
      <c r="H1117" t="str">
        <f>"20"</f>
        <v>20</v>
      </c>
      <c r="I1117" t="str">
        <f>"21"</f>
        <v>21</v>
      </c>
      <c r="J1117" t="str">
        <f>"24.25"</f>
        <v>24.25</v>
      </c>
      <c r="K1117" t="s">
        <v>13449</v>
      </c>
      <c r="L1117" t="s">
        <v>460</v>
      </c>
      <c r="N1117" t="s">
        <v>13450</v>
      </c>
      <c r="O1117" t="s">
        <v>461</v>
      </c>
      <c r="T1117" t="s">
        <v>373</v>
      </c>
      <c r="U1117" t="s">
        <v>373</v>
      </c>
      <c r="W1117" t="s">
        <v>20685</v>
      </c>
      <c r="X1117" t="s">
        <v>20686</v>
      </c>
      <c r="Y1117" t="s">
        <v>20687</v>
      </c>
      <c r="Z1117" t="s">
        <v>20688</v>
      </c>
      <c r="AA1117" t="s">
        <v>20689</v>
      </c>
      <c r="AB1117" t="s">
        <v>20690</v>
      </c>
      <c r="AC1117" t="s">
        <v>20691</v>
      </c>
      <c r="AD1117" t="s">
        <v>20692</v>
      </c>
      <c r="AE1117" t="s">
        <v>20693</v>
      </c>
      <c r="AF1117" t="s">
        <v>20694</v>
      </c>
      <c r="BA1117" t="str">
        <f>"1099"</f>
        <v>1099</v>
      </c>
      <c r="BB1117" t="str">
        <f>"465"</f>
        <v>465</v>
      </c>
      <c r="BC1117" t="s">
        <v>1149</v>
      </c>
      <c r="BD1117" t="str">
        <f t="shared" ref="BD1117:BD1128" si="201">"1"</f>
        <v>1</v>
      </c>
      <c r="BE1117" t="s">
        <v>389</v>
      </c>
      <c r="BF1117" t="str">
        <f>"25.98"</f>
        <v>25.98</v>
      </c>
      <c r="BG1117" t="str">
        <f>"25.59"</f>
        <v>25.59</v>
      </c>
      <c r="BH1117" t="str">
        <f>"27.56"</f>
        <v>27.56</v>
      </c>
      <c r="BI1117" t="str">
        <f>"41.01"</f>
        <v>41.01</v>
      </c>
      <c r="BY1117" t="str">
        <f>"10.59"</f>
        <v>10.59</v>
      </c>
      <c r="BZ1117" t="str">
        <f>"0.3"</f>
        <v>0.3</v>
      </c>
      <c r="CA1117" t="s">
        <v>390</v>
      </c>
      <c r="CR1117" t="s">
        <v>400</v>
      </c>
      <c r="CS1117">
        <v>0</v>
      </c>
      <c r="CT1117" t="s">
        <v>400</v>
      </c>
      <c r="CV1117">
        <v>0</v>
      </c>
      <c r="CX1117" t="s">
        <v>1241</v>
      </c>
      <c r="CY1117" t="s">
        <v>400</v>
      </c>
      <c r="DC1117">
        <v>0</v>
      </c>
      <c r="DJ1117" t="s">
        <v>471</v>
      </c>
      <c r="DK1117" t="s">
        <v>3965</v>
      </c>
      <c r="DM1117" t="s">
        <v>473</v>
      </c>
      <c r="DX1117" t="s">
        <v>4018</v>
      </c>
      <c r="DY1117" t="s">
        <v>442</v>
      </c>
      <c r="DZ1117" t="s">
        <v>442</v>
      </c>
      <c r="EI1117" t="s">
        <v>4019</v>
      </c>
      <c r="EJ1117" t="s">
        <v>4018</v>
      </c>
      <c r="EK1117" t="s">
        <v>4019</v>
      </c>
      <c r="EL1117" t="s">
        <v>3383</v>
      </c>
      <c r="EM1117" t="s">
        <v>402</v>
      </c>
      <c r="EN1117">
        <v>0</v>
      </c>
      <c r="EO1117">
        <v>0</v>
      </c>
    </row>
    <row r="1118" spans="1:217" x14ac:dyDescent="0.25">
      <c r="A1118" t="s">
        <v>20695</v>
      </c>
      <c r="B1118" t="str">
        <f>"801542402556"</f>
        <v>801542402556</v>
      </c>
      <c r="C1118" t="s">
        <v>20696</v>
      </c>
      <c r="D1118" t="s">
        <v>1224</v>
      </c>
      <c r="E1118" t="s">
        <v>459</v>
      </c>
      <c r="G1118" t="str">
        <f>"20"</f>
        <v>20</v>
      </c>
      <c r="H1118" t="str">
        <f>"20"</f>
        <v>20</v>
      </c>
      <c r="I1118" t="str">
        <f>"21"</f>
        <v>21</v>
      </c>
      <c r="J1118" t="str">
        <f>"24.25"</f>
        <v>24.25</v>
      </c>
      <c r="K1118" t="s">
        <v>20592</v>
      </c>
      <c r="L1118" t="s">
        <v>460</v>
      </c>
      <c r="N1118" t="s">
        <v>5648</v>
      </c>
      <c r="O1118" t="s">
        <v>461</v>
      </c>
      <c r="T1118" t="s">
        <v>373</v>
      </c>
      <c r="U1118" t="s">
        <v>373</v>
      </c>
      <c r="W1118" t="s">
        <v>20697</v>
      </c>
      <c r="X1118" t="s">
        <v>20698</v>
      </c>
      <c r="Y1118" t="s">
        <v>20699</v>
      </c>
      <c r="Z1118" t="s">
        <v>20700</v>
      </c>
      <c r="AA1118" t="s">
        <v>20701</v>
      </c>
      <c r="AB1118" t="s">
        <v>20702</v>
      </c>
      <c r="BA1118" t="str">
        <f>"1099"</f>
        <v>1099</v>
      </c>
      <c r="BB1118" t="str">
        <f>"465"</f>
        <v>465</v>
      </c>
      <c r="BC1118" t="s">
        <v>1149</v>
      </c>
      <c r="BD1118" t="str">
        <f t="shared" si="201"/>
        <v>1</v>
      </c>
      <c r="BE1118" t="s">
        <v>389</v>
      </c>
      <c r="BF1118" t="str">
        <f>"25.98"</f>
        <v>25.98</v>
      </c>
      <c r="BG1118" t="str">
        <f>"25.59"</f>
        <v>25.59</v>
      </c>
      <c r="BH1118" t="str">
        <f>"27.56"</f>
        <v>27.56</v>
      </c>
      <c r="BI1118" t="str">
        <f>"41.01"</f>
        <v>41.01</v>
      </c>
      <c r="BY1118" t="str">
        <f>"10.59"</f>
        <v>10.59</v>
      </c>
      <c r="BZ1118" t="str">
        <f>"0.3"</f>
        <v>0.3</v>
      </c>
      <c r="CA1118" t="s">
        <v>495</v>
      </c>
      <c r="CR1118" t="s">
        <v>400</v>
      </c>
      <c r="CS1118">
        <v>0</v>
      </c>
      <c r="CT1118" t="s">
        <v>400</v>
      </c>
      <c r="CV1118">
        <v>0</v>
      </c>
      <c r="CX1118" t="s">
        <v>1241</v>
      </c>
      <c r="CY1118" t="s">
        <v>400</v>
      </c>
      <c r="DC1118">
        <v>0</v>
      </c>
      <c r="DJ1118" t="s">
        <v>471</v>
      </c>
      <c r="DK1118" t="s">
        <v>3965</v>
      </c>
      <c r="DM1118" t="s">
        <v>473</v>
      </c>
      <c r="DX1118" t="s">
        <v>4018</v>
      </c>
      <c r="DY1118" t="s">
        <v>442</v>
      </c>
      <c r="DZ1118" t="s">
        <v>442</v>
      </c>
      <c r="EI1118" t="s">
        <v>4019</v>
      </c>
      <c r="EJ1118" t="s">
        <v>4018</v>
      </c>
      <c r="EK1118" t="s">
        <v>4019</v>
      </c>
      <c r="EL1118" t="s">
        <v>3383</v>
      </c>
      <c r="EM1118" t="s">
        <v>402</v>
      </c>
      <c r="EN1118">
        <v>0</v>
      </c>
      <c r="EO1118">
        <v>0</v>
      </c>
    </row>
    <row r="1119" spans="1:217" x14ac:dyDescent="0.25">
      <c r="A1119" t="s">
        <v>20703</v>
      </c>
      <c r="B1119" t="str">
        <f>"801542390815"</f>
        <v>801542390815</v>
      </c>
      <c r="C1119" t="s">
        <v>20704</v>
      </c>
      <c r="D1119" t="s">
        <v>1224</v>
      </c>
      <c r="E1119" t="s">
        <v>1077</v>
      </c>
      <c r="G1119" t="str">
        <f>"40"</f>
        <v>40</v>
      </c>
      <c r="H1119" t="str">
        <f>"40"</f>
        <v>40</v>
      </c>
      <c r="I1119" t="str">
        <f>"15"</f>
        <v>15</v>
      </c>
      <c r="J1119" t="str">
        <f>"88.18"</f>
        <v>88.18</v>
      </c>
      <c r="K1119" t="s">
        <v>13449</v>
      </c>
      <c r="L1119" t="s">
        <v>460</v>
      </c>
      <c r="N1119" t="s">
        <v>13450</v>
      </c>
      <c r="O1119" t="s">
        <v>461</v>
      </c>
      <c r="T1119" t="s">
        <v>373</v>
      </c>
      <c r="U1119" t="s">
        <v>373</v>
      </c>
      <c r="V1119" t="s">
        <v>20705</v>
      </c>
      <c r="W1119" t="s">
        <v>20706</v>
      </c>
      <c r="X1119" t="s">
        <v>20707</v>
      </c>
      <c r="Y1119" t="s">
        <v>20708</v>
      </c>
      <c r="Z1119" t="s">
        <v>20709</v>
      </c>
      <c r="AA1119" t="s">
        <v>20710</v>
      </c>
      <c r="AB1119" t="s">
        <v>20711</v>
      </c>
      <c r="AC1119" t="s">
        <v>20712</v>
      </c>
      <c r="AD1119" t="s">
        <v>20713</v>
      </c>
      <c r="AE1119" t="s">
        <v>20714</v>
      </c>
      <c r="AF1119" t="s">
        <v>20715</v>
      </c>
      <c r="AG1119" t="s">
        <v>20716</v>
      </c>
      <c r="BA1119" t="str">
        <f>"2099"</f>
        <v>2099</v>
      </c>
      <c r="BB1119" t="str">
        <f>"885"</f>
        <v>885</v>
      </c>
      <c r="BC1119" t="s">
        <v>1149</v>
      </c>
      <c r="BD1119" t="str">
        <f t="shared" si="201"/>
        <v>1</v>
      </c>
      <c r="BE1119" t="s">
        <v>389</v>
      </c>
      <c r="BF1119" t="str">
        <f>"46.46"</f>
        <v>46.46</v>
      </c>
      <c r="BG1119" t="str">
        <f>"46.85"</f>
        <v>46.85</v>
      </c>
      <c r="BH1119" t="str">
        <f>"21.26"</f>
        <v>21.26</v>
      </c>
      <c r="BI1119" t="str">
        <f>"142.64"</f>
        <v>142.64</v>
      </c>
      <c r="BY1119" t="str">
        <f>"26.77"</f>
        <v>26.77</v>
      </c>
      <c r="BZ1119" t="str">
        <f>"0.758"</f>
        <v>0.758</v>
      </c>
      <c r="CA1119" t="s">
        <v>495</v>
      </c>
      <c r="CR1119" t="s">
        <v>400</v>
      </c>
      <c r="CS1119">
        <v>0</v>
      </c>
      <c r="CT1119" t="s">
        <v>400</v>
      </c>
      <c r="CV1119">
        <v>0</v>
      </c>
      <c r="CX1119" t="s">
        <v>1241</v>
      </c>
      <c r="CY1119" t="s">
        <v>400</v>
      </c>
      <c r="DC1119">
        <v>0</v>
      </c>
      <c r="DJ1119" t="s">
        <v>1132</v>
      </c>
      <c r="DK1119" t="s">
        <v>3965</v>
      </c>
      <c r="DM1119" t="s">
        <v>473</v>
      </c>
      <c r="DX1119" t="s">
        <v>475</v>
      </c>
      <c r="DY1119" t="s">
        <v>859</v>
      </c>
      <c r="DZ1119" t="s">
        <v>859</v>
      </c>
      <c r="EI1119" t="s">
        <v>4033</v>
      </c>
      <c r="EJ1119" t="s">
        <v>475</v>
      </c>
      <c r="EK1119" t="s">
        <v>4033</v>
      </c>
      <c r="EL1119" t="s">
        <v>4034</v>
      </c>
      <c r="EM1119" t="s">
        <v>402</v>
      </c>
      <c r="EN1119">
        <v>0</v>
      </c>
      <c r="EO1119">
        <v>0</v>
      </c>
      <c r="EX1119" t="s">
        <v>827</v>
      </c>
    </row>
    <row r="1120" spans="1:217" x14ac:dyDescent="0.25">
      <c r="A1120" t="s">
        <v>20717</v>
      </c>
      <c r="B1120" t="str">
        <f>"801542437497"</f>
        <v>801542437497</v>
      </c>
      <c r="C1120" t="s">
        <v>20718</v>
      </c>
      <c r="D1120" t="s">
        <v>1224</v>
      </c>
      <c r="E1120" t="s">
        <v>1077</v>
      </c>
      <c r="G1120" t="str">
        <f>"40"</f>
        <v>40</v>
      </c>
      <c r="H1120" t="str">
        <f>"40"</f>
        <v>40</v>
      </c>
      <c r="I1120" t="str">
        <f>"15"</f>
        <v>15</v>
      </c>
      <c r="J1120" t="str">
        <f>"88.18"</f>
        <v>88.18</v>
      </c>
      <c r="K1120" t="s">
        <v>20592</v>
      </c>
      <c r="L1120" t="s">
        <v>460</v>
      </c>
      <c r="N1120" t="s">
        <v>5648</v>
      </c>
      <c r="O1120" t="s">
        <v>461</v>
      </c>
      <c r="T1120" t="s">
        <v>373</v>
      </c>
      <c r="U1120" t="s">
        <v>373</v>
      </c>
      <c r="W1120" t="s">
        <v>20719</v>
      </c>
      <c r="X1120" t="s">
        <v>20720</v>
      </c>
      <c r="Y1120" t="s">
        <v>20721</v>
      </c>
      <c r="Z1120" t="s">
        <v>20722</v>
      </c>
      <c r="AA1120" t="s">
        <v>20723</v>
      </c>
      <c r="AB1120" t="s">
        <v>20724</v>
      </c>
      <c r="AC1120" t="s">
        <v>20725</v>
      </c>
      <c r="AD1120" t="s">
        <v>20726</v>
      </c>
      <c r="AE1120" t="s">
        <v>20727</v>
      </c>
      <c r="BA1120" t="str">
        <f>"2099"</f>
        <v>2099</v>
      </c>
      <c r="BB1120" t="str">
        <f>"885"</f>
        <v>885</v>
      </c>
      <c r="BC1120" t="s">
        <v>1149</v>
      </c>
      <c r="BD1120" t="str">
        <f t="shared" si="201"/>
        <v>1</v>
      </c>
      <c r="BE1120" t="s">
        <v>389</v>
      </c>
      <c r="BF1120" t="str">
        <f>"46.46"</f>
        <v>46.46</v>
      </c>
      <c r="BG1120" t="str">
        <f>"46.85"</f>
        <v>46.85</v>
      </c>
      <c r="BH1120" t="str">
        <f>"21.26"</f>
        <v>21.26</v>
      </c>
      <c r="BI1120" t="str">
        <f>"142.64"</f>
        <v>142.64</v>
      </c>
      <c r="BY1120" t="str">
        <f>"26.77"</f>
        <v>26.77</v>
      </c>
      <c r="BZ1120" t="str">
        <f>"0.758"</f>
        <v>0.758</v>
      </c>
      <c r="CA1120" t="s">
        <v>390</v>
      </c>
      <c r="CR1120" t="s">
        <v>400</v>
      </c>
      <c r="CS1120">
        <v>0</v>
      </c>
      <c r="CT1120" t="s">
        <v>400</v>
      </c>
      <c r="CV1120">
        <v>0</v>
      </c>
      <c r="CX1120" t="s">
        <v>1241</v>
      </c>
      <c r="CY1120" t="s">
        <v>400</v>
      </c>
      <c r="DC1120">
        <v>0</v>
      </c>
      <c r="DJ1120" t="s">
        <v>1132</v>
      </c>
      <c r="DK1120" t="s">
        <v>3965</v>
      </c>
      <c r="DM1120" t="s">
        <v>473</v>
      </c>
      <c r="DX1120" t="s">
        <v>475</v>
      </c>
      <c r="DY1120" t="s">
        <v>859</v>
      </c>
      <c r="DZ1120" t="s">
        <v>859</v>
      </c>
      <c r="EI1120" t="s">
        <v>4033</v>
      </c>
      <c r="EJ1120" t="s">
        <v>475</v>
      </c>
      <c r="EK1120" t="s">
        <v>4033</v>
      </c>
      <c r="EL1120" t="s">
        <v>4034</v>
      </c>
      <c r="EM1120" t="s">
        <v>402</v>
      </c>
      <c r="EN1120">
        <v>0</v>
      </c>
      <c r="EO1120">
        <v>0</v>
      </c>
      <c r="EX1120" t="s">
        <v>827</v>
      </c>
    </row>
    <row r="1121" spans="1:366" x14ac:dyDescent="0.25">
      <c r="A1121" t="s">
        <v>20728</v>
      </c>
      <c r="B1121" t="str">
        <f>"801542075903"</f>
        <v>801542075903</v>
      </c>
      <c r="C1121" t="s">
        <v>20729</v>
      </c>
      <c r="D1121" t="s">
        <v>1249</v>
      </c>
      <c r="E1121" t="s">
        <v>1021</v>
      </c>
      <c r="G1121" t="str">
        <f>"69"</f>
        <v>69</v>
      </c>
      <c r="H1121" t="str">
        <f>"18"</f>
        <v>18</v>
      </c>
      <c r="I1121" t="str">
        <f>"29.25"</f>
        <v>29.25</v>
      </c>
      <c r="J1121" t="str">
        <f>"206.13"</f>
        <v>206.13</v>
      </c>
      <c r="K1121" t="s">
        <v>1017</v>
      </c>
      <c r="N1121" t="s">
        <v>555</v>
      </c>
      <c r="T1121" t="s">
        <v>373</v>
      </c>
      <c r="U1121" t="s">
        <v>373</v>
      </c>
      <c r="V1121" t="s">
        <v>20730</v>
      </c>
      <c r="W1121" t="s">
        <v>20731</v>
      </c>
      <c r="X1121" t="s">
        <v>20732</v>
      </c>
      <c r="Y1121" t="s">
        <v>20733</v>
      </c>
      <c r="Z1121" t="s">
        <v>20734</v>
      </c>
      <c r="AA1121" t="s">
        <v>20735</v>
      </c>
      <c r="AB1121" t="s">
        <v>20736</v>
      </c>
      <c r="AC1121" t="s">
        <v>20737</v>
      </c>
      <c r="AD1121" t="s">
        <v>20738</v>
      </c>
      <c r="AE1121" t="s">
        <v>20739</v>
      </c>
      <c r="AF1121" t="s">
        <v>20740</v>
      </c>
      <c r="AG1121" t="s">
        <v>20741</v>
      </c>
      <c r="AH1121" t="s">
        <v>20742</v>
      </c>
      <c r="AI1121" t="s">
        <v>20743</v>
      </c>
      <c r="AJ1121" t="s">
        <v>20744</v>
      </c>
      <c r="BA1121" t="str">
        <f>"1799"</f>
        <v>1799</v>
      </c>
      <c r="BB1121" t="str">
        <f>"760"</f>
        <v>760</v>
      </c>
      <c r="BC1121" t="s">
        <v>665</v>
      </c>
      <c r="BD1121" t="str">
        <f t="shared" si="201"/>
        <v>1</v>
      </c>
      <c r="BE1121" t="s">
        <v>389</v>
      </c>
      <c r="BF1121" t="str">
        <f>"72.44"</f>
        <v>72.44</v>
      </c>
      <c r="BG1121" t="str">
        <f>"21.65"</f>
        <v>21.65</v>
      </c>
      <c r="BH1121" t="str">
        <f>"35.04"</f>
        <v>35.04</v>
      </c>
      <c r="BI1121" t="str">
        <f>"233.69"</f>
        <v>233.69</v>
      </c>
      <c r="BY1121" t="str">
        <f>"31.82"</f>
        <v>31.82</v>
      </c>
      <c r="BZ1121" t="str">
        <f>"0.901"</f>
        <v>0.901</v>
      </c>
      <c r="CA1121" t="s">
        <v>431</v>
      </c>
      <c r="CB1121" t="s">
        <v>511</v>
      </c>
      <c r="CC1121" t="s">
        <v>1040</v>
      </c>
      <c r="CD1121" t="s">
        <v>636</v>
      </c>
      <c r="CE1121" t="s">
        <v>511</v>
      </c>
      <c r="CF1121" t="s">
        <v>6816</v>
      </c>
      <c r="CG1121" t="s">
        <v>636</v>
      </c>
      <c r="CR1121" t="s">
        <v>1007</v>
      </c>
      <c r="CS1121">
        <v>4</v>
      </c>
      <c r="CT1121" t="s">
        <v>400</v>
      </c>
      <c r="CV1121">
        <v>2</v>
      </c>
      <c r="CW1121" t="s">
        <v>402</v>
      </c>
      <c r="CY1121" t="s">
        <v>954</v>
      </c>
      <c r="DA1121">
        <v>18.14</v>
      </c>
      <c r="DB1121">
        <v>40</v>
      </c>
      <c r="DC1121">
        <v>0</v>
      </c>
      <c r="DK1121" t="s">
        <v>6561</v>
      </c>
      <c r="DX1121" t="s">
        <v>1290</v>
      </c>
      <c r="EM1121" t="s">
        <v>402</v>
      </c>
      <c r="EN1121">
        <v>4</v>
      </c>
      <c r="EZ1121" t="s">
        <v>5804</v>
      </c>
      <c r="FA1121" t="s">
        <v>1348</v>
      </c>
      <c r="FB1121" t="s">
        <v>1055</v>
      </c>
      <c r="FG1121" t="s">
        <v>402</v>
      </c>
      <c r="FH1121" t="s">
        <v>959</v>
      </c>
      <c r="FI1121">
        <v>4</v>
      </c>
      <c r="FJ1121" t="s">
        <v>7818</v>
      </c>
      <c r="FK1121" t="s">
        <v>1246</v>
      </c>
      <c r="FO1121" t="s">
        <v>5044</v>
      </c>
      <c r="FR1121" t="s">
        <v>1055</v>
      </c>
      <c r="FT1121" t="s">
        <v>1292</v>
      </c>
      <c r="FV1121" t="s">
        <v>1999</v>
      </c>
      <c r="FX1121" t="s">
        <v>1017</v>
      </c>
      <c r="GE1121">
        <v>0</v>
      </c>
    </row>
    <row r="1122" spans="1:366" x14ac:dyDescent="0.25">
      <c r="A1122" t="s">
        <v>20745</v>
      </c>
      <c r="B1122" t="str">
        <f>"801542075897"</f>
        <v>801542075897</v>
      </c>
      <c r="C1122" t="s">
        <v>20746</v>
      </c>
      <c r="D1122" t="s">
        <v>1249</v>
      </c>
      <c r="E1122" t="s">
        <v>459</v>
      </c>
      <c r="G1122" t="str">
        <f>"24"</f>
        <v>24</v>
      </c>
      <c r="H1122" t="str">
        <f>"24"</f>
        <v>24</v>
      </c>
      <c r="I1122" t="str">
        <f>"24"</f>
        <v>24</v>
      </c>
      <c r="J1122" t="str">
        <f>"68.78"</f>
        <v>68.78</v>
      </c>
      <c r="K1122" t="s">
        <v>18575</v>
      </c>
      <c r="L1122" t="s">
        <v>1017</v>
      </c>
      <c r="N1122" t="s">
        <v>18575</v>
      </c>
      <c r="O1122" t="s">
        <v>555</v>
      </c>
      <c r="T1122" t="s">
        <v>373</v>
      </c>
      <c r="U1122" t="s">
        <v>373</v>
      </c>
      <c r="V1122" t="s">
        <v>20747</v>
      </c>
      <c r="W1122" t="s">
        <v>20748</v>
      </c>
      <c r="X1122" t="s">
        <v>20749</v>
      </c>
      <c r="Y1122" t="s">
        <v>20750</v>
      </c>
      <c r="Z1122" t="s">
        <v>20751</v>
      </c>
      <c r="AA1122" t="s">
        <v>20752</v>
      </c>
      <c r="AB1122" t="s">
        <v>20753</v>
      </c>
      <c r="AC1122" t="s">
        <v>20754</v>
      </c>
      <c r="AD1122" t="s">
        <v>20755</v>
      </c>
      <c r="AE1122" t="s">
        <v>20756</v>
      </c>
      <c r="AF1122" t="s">
        <v>20757</v>
      </c>
      <c r="AG1122" t="s">
        <v>20758</v>
      </c>
      <c r="AH1122" t="s">
        <v>20759</v>
      </c>
      <c r="BA1122" t="str">
        <f>"749"</f>
        <v>749</v>
      </c>
      <c r="BB1122" t="str">
        <f>"315"</f>
        <v>315</v>
      </c>
      <c r="BC1122" t="s">
        <v>665</v>
      </c>
      <c r="BD1122" t="str">
        <f t="shared" si="201"/>
        <v>1</v>
      </c>
      <c r="BE1122" t="s">
        <v>389</v>
      </c>
      <c r="BF1122" t="str">
        <f>"33.07"</f>
        <v>33.07</v>
      </c>
      <c r="BG1122" t="str">
        <f>"27.56"</f>
        <v>27.56</v>
      </c>
      <c r="BH1122" t="str">
        <f>"27.56"</f>
        <v>27.56</v>
      </c>
      <c r="BI1122" t="str">
        <f>"92.81"</f>
        <v>92.81</v>
      </c>
      <c r="BY1122" t="str">
        <f>"14.55"</f>
        <v>14.55</v>
      </c>
      <c r="BZ1122" t="str">
        <f>"0.412"</f>
        <v>0.412</v>
      </c>
      <c r="CA1122" t="s">
        <v>431</v>
      </c>
      <c r="CE1122" t="s">
        <v>2071</v>
      </c>
      <c r="CF1122" t="s">
        <v>742</v>
      </c>
      <c r="CG1122" t="s">
        <v>2071</v>
      </c>
      <c r="CR1122" t="s">
        <v>1007</v>
      </c>
      <c r="CS1122">
        <v>1</v>
      </c>
      <c r="CT1122" t="s">
        <v>400</v>
      </c>
      <c r="CV1122">
        <v>0</v>
      </c>
      <c r="CY1122" t="s">
        <v>1009</v>
      </c>
      <c r="DC1122">
        <v>0</v>
      </c>
      <c r="DJ1122" t="s">
        <v>1132</v>
      </c>
      <c r="DK1122" t="s">
        <v>6561</v>
      </c>
      <c r="DM1122" t="s">
        <v>473</v>
      </c>
      <c r="DX1122" t="s">
        <v>3983</v>
      </c>
      <c r="DY1122" t="s">
        <v>3832</v>
      </c>
      <c r="DZ1122" t="s">
        <v>3832</v>
      </c>
      <c r="EI1122" t="s">
        <v>2071</v>
      </c>
      <c r="EJ1122" t="s">
        <v>2071</v>
      </c>
      <c r="EK1122" t="s">
        <v>2071</v>
      </c>
      <c r="EL1122" t="s">
        <v>20191</v>
      </c>
      <c r="EM1122" t="s">
        <v>402</v>
      </c>
      <c r="EN1122">
        <v>1</v>
      </c>
      <c r="EO1122">
        <v>0</v>
      </c>
      <c r="EZ1122" t="s">
        <v>2072</v>
      </c>
      <c r="FA1122" t="s">
        <v>7363</v>
      </c>
      <c r="FB1122" t="s">
        <v>2289</v>
      </c>
      <c r="FR1122" t="s">
        <v>6929</v>
      </c>
      <c r="FT1122" t="s">
        <v>1712</v>
      </c>
      <c r="FV1122" t="s">
        <v>750</v>
      </c>
      <c r="FX1122" t="s">
        <v>1017</v>
      </c>
    </row>
    <row r="1123" spans="1:366" x14ac:dyDescent="0.25">
      <c r="A1123" t="s">
        <v>20760</v>
      </c>
      <c r="B1123" t="str">
        <f>"801542376949"</f>
        <v>801542376949</v>
      </c>
      <c r="C1123" t="s">
        <v>20761</v>
      </c>
      <c r="D1123" t="s">
        <v>2106</v>
      </c>
      <c r="E1123" t="s">
        <v>367</v>
      </c>
      <c r="F1123" t="s">
        <v>368</v>
      </c>
      <c r="G1123" t="str">
        <f>"53.25"</f>
        <v>53.25</v>
      </c>
      <c r="H1123" t="str">
        <f>"21.25"</f>
        <v>21.25</v>
      </c>
      <c r="I1123" t="str">
        <f>"35.75"</f>
        <v>35.75</v>
      </c>
      <c r="J1123" t="str">
        <f>"39.68"</f>
        <v>39.68</v>
      </c>
      <c r="K1123" t="s">
        <v>19475</v>
      </c>
      <c r="L1123" t="s">
        <v>13562</v>
      </c>
      <c r="N1123" t="s">
        <v>372</v>
      </c>
      <c r="O1123" t="s">
        <v>1970</v>
      </c>
      <c r="T1123" t="s">
        <v>373</v>
      </c>
      <c r="U1123" t="s">
        <v>373</v>
      </c>
      <c r="V1123" t="s">
        <v>20762</v>
      </c>
      <c r="W1123" t="s">
        <v>20763</v>
      </c>
      <c r="X1123" t="s">
        <v>20764</v>
      </c>
      <c r="Y1123" t="s">
        <v>20765</v>
      </c>
      <c r="Z1123" t="s">
        <v>20766</v>
      </c>
      <c r="AA1123" t="s">
        <v>20767</v>
      </c>
      <c r="AB1123" t="s">
        <v>20768</v>
      </c>
      <c r="AC1123" t="s">
        <v>20769</v>
      </c>
      <c r="AD1123" t="s">
        <v>20770</v>
      </c>
      <c r="AE1123" t="s">
        <v>20771</v>
      </c>
      <c r="AF1123" t="s">
        <v>20772</v>
      </c>
      <c r="AG1123" t="s">
        <v>20773</v>
      </c>
      <c r="AH1123" t="s">
        <v>20774</v>
      </c>
      <c r="BA1123" t="str">
        <f>"999"</f>
        <v>999</v>
      </c>
      <c r="BB1123" t="str">
        <f>"420"</f>
        <v>420</v>
      </c>
      <c r="BC1123" t="s">
        <v>665</v>
      </c>
      <c r="BD1123" t="str">
        <f t="shared" si="201"/>
        <v>1</v>
      </c>
      <c r="BE1123" t="s">
        <v>389</v>
      </c>
      <c r="BF1123" t="str">
        <f>"58.07"</f>
        <v>58.07</v>
      </c>
      <c r="BG1123" t="str">
        <f>"24.02"</f>
        <v>24.02</v>
      </c>
      <c r="BH1123" t="str">
        <f>"22.83"</f>
        <v>22.83</v>
      </c>
      <c r="BI1123" t="str">
        <f>"59.52"</f>
        <v>59.52</v>
      </c>
      <c r="BY1123" t="str">
        <f>"18.43"</f>
        <v>18.43</v>
      </c>
      <c r="BZ1123" t="str">
        <f>"0.522"</f>
        <v>0.522</v>
      </c>
      <c r="CA1123" t="s">
        <v>390</v>
      </c>
      <c r="CK1123" t="s">
        <v>568</v>
      </c>
      <c r="CL1123" t="s">
        <v>568</v>
      </c>
      <c r="CN1123">
        <v>0</v>
      </c>
      <c r="CO1123">
        <v>0</v>
      </c>
      <c r="CP1123" t="s">
        <v>437</v>
      </c>
      <c r="CR1123" t="s">
        <v>400</v>
      </c>
      <c r="CS1123">
        <v>0</v>
      </c>
      <c r="CT1123" t="s">
        <v>400</v>
      </c>
      <c r="CV1123">
        <v>0</v>
      </c>
      <c r="CX1123" t="s">
        <v>403</v>
      </c>
      <c r="CY1123" t="s">
        <v>400</v>
      </c>
      <c r="CZ1123">
        <v>0</v>
      </c>
      <c r="DA1123">
        <v>0</v>
      </c>
      <c r="DB1123">
        <v>0</v>
      </c>
      <c r="DC1123">
        <v>0</v>
      </c>
      <c r="DE1123" t="s">
        <v>405</v>
      </c>
      <c r="DH1123">
        <v>0</v>
      </c>
      <c r="DI1123">
        <v>2</v>
      </c>
      <c r="DJ1123" t="s">
        <v>408</v>
      </c>
      <c r="DK1123" t="s">
        <v>20775</v>
      </c>
      <c r="DL1123">
        <v>0</v>
      </c>
      <c r="DM1123" t="s">
        <v>1736</v>
      </c>
      <c r="DN1123" t="s">
        <v>9061</v>
      </c>
      <c r="DO1123" t="s">
        <v>16400</v>
      </c>
      <c r="DP1123" t="s">
        <v>5833</v>
      </c>
      <c r="DT1123" t="s">
        <v>3518</v>
      </c>
      <c r="DX1123" t="s">
        <v>17353</v>
      </c>
      <c r="DY1123" t="s">
        <v>1352</v>
      </c>
      <c r="DZ1123" t="s">
        <v>20776</v>
      </c>
      <c r="EA1123" t="s">
        <v>5804</v>
      </c>
      <c r="EP1123" t="s">
        <v>7068</v>
      </c>
      <c r="EQ1123" t="s">
        <v>11172</v>
      </c>
    </row>
    <row r="1124" spans="1:366" x14ac:dyDescent="0.25">
      <c r="A1124" t="s">
        <v>20777</v>
      </c>
      <c r="B1124" t="str">
        <f>"801542075484"</f>
        <v>801542075484</v>
      </c>
      <c r="C1124" t="s">
        <v>20778</v>
      </c>
      <c r="D1124" t="s">
        <v>1318</v>
      </c>
      <c r="E1124" t="s">
        <v>4074</v>
      </c>
      <c r="G1124" t="str">
        <f>"78.75"</f>
        <v>78.75</v>
      </c>
      <c r="H1124" t="str">
        <f>"14"</f>
        <v>14</v>
      </c>
      <c r="I1124" t="str">
        <f>"26.25"</f>
        <v>26.25</v>
      </c>
      <c r="J1124" t="str">
        <f>"68"</f>
        <v>68</v>
      </c>
      <c r="K1124" t="s">
        <v>20779</v>
      </c>
      <c r="N1124" t="s">
        <v>9043</v>
      </c>
      <c r="T1124" t="s">
        <v>373</v>
      </c>
      <c r="U1124" t="s">
        <v>373</v>
      </c>
      <c r="V1124" t="s">
        <v>20780</v>
      </c>
      <c r="W1124" t="s">
        <v>20781</v>
      </c>
      <c r="X1124" t="s">
        <v>20782</v>
      </c>
      <c r="Y1124" t="s">
        <v>20783</v>
      </c>
      <c r="Z1124" t="s">
        <v>20784</v>
      </c>
      <c r="AA1124" t="s">
        <v>20785</v>
      </c>
      <c r="AB1124" t="s">
        <v>20786</v>
      </c>
      <c r="AC1124" t="s">
        <v>20787</v>
      </c>
      <c r="AD1124" t="s">
        <v>20788</v>
      </c>
      <c r="AE1124" t="s">
        <v>20789</v>
      </c>
      <c r="AF1124" t="s">
        <v>20790</v>
      </c>
      <c r="AG1124" t="s">
        <v>20791</v>
      </c>
      <c r="BA1124" t="str">
        <f>"2199"</f>
        <v>2199</v>
      </c>
      <c r="BB1124" t="str">
        <f>"925"</f>
        <v>925</v>
      </c>
      <c r="BC1124" t="s">
        <v>665</v>
      </c>
      <c r="BD1124" t="str">
        <f t="shared" si="201"/>
        <v>1</v>
      </c>
      <c r="BE1124" t="s">
        <v>389</v>
      </c>
      <c r="BF1124" t="str">
        <f>"83.07"</f>
        <v>83.07</v>
      </c>
      <c r="BG1124" t="str">
        <f>"18.7"</f>
        <v>18.7</v>
      </c>
      <c r="BH1124" t="str">
        <f>"30.79"</f>
        <v>30.79</v>
      </c>
      <c r="BI1124" t="str">
        <f>"175.49"</f>
        <v>175.49</v>
      </c>
      <c r="BY1124" t="str">
        <f>"27.69"</f>
        <v>27.69</v>
      </c>
      <c r="BZ1124" t="str">
        <f>"0.784"</f>
        <v>0.784</v>
      </c>
      <c r="CA1124" t="s">
        <v>431</v>
      </c>
      <c r="CB1124" t="s">
        <v>3983</v>
      </c>
      <c r="CC1124" t="s">
        <v>3518</v>
      </c>
      <c r="CD1124" t="s">
        <v>1999</v>
      </c>
      <c r="CE1124" t="s">
        <v>3983</v>
      </c>
      <c r="CF1124" t="s">
        <v>20792</v>
      </c>
      <c r="CG1124" t="s">
        <v>5877</v>
      </c>
      <c r="CR1124" t="s">
        <v>400</v>
      </c>
      <c r="CS1124">
        <v>0</v>
      </c>
      <c r="CT1124" t="s">
        <v>400</v>
      </c>
      <c r="CV1124">
        <v>6</v>
      </c>
      <c r="CW1124" t="s">
        <v>402</v>
      </c>
      <c r="CX1124" t="s">
        <v>1241</v>
      </c>
      <c r="CY1124" t="s">
        <v>404</v>
      </c>
      <c r="DC1124">
        <v>0</v>
      </c>
      <c r="DJ1124" t="s">
        <v>408</v>
      </c>
      <c r="DK1124" t="s">
        <v>20793</v>
      </c>
      <c r="DM1124" t="s">
        <v>669</v>
      </c>
      <c r="DX1124" t="s">
        <v>392</v>
      </c>
      <c r="DZ1124" t="s">
        <v>3832</v>
      </c>
      <c r="EL1124" t="s">
        <v>3518</v>
      </c>
      <c r="EN1124">
        <v>6</v>
      </c>
      <c r="EO1124">
        <v>0</v>
      </c>
      <c r="EX1124" t="s">
        <v>6253</v>
      </c>
      <c r="FI1124">
        <v>0</v>
      </c>
      <c r="FJ1124" t="s">
        <v>1012</v>
      </c>
      <c r="GB1124" t="s">
        <v>3983</v>
      </c>
      <c r="GC1124" t="s">
        <v>20792</v>
      </c>
      <c r="GD1124" t="s">
        <v>539</v>
      </c>
      <c r="GR1124" t="s">
        <v>3983</v>
      </c>
      <c r="GS1124" t="s">
        <v>3983</v>
      </c>
      <c r="GT1124" t="s">
        <v>20792</v>
      </c>
      <c r="GU1124" t="s">
        <v>20792</v>
      </c>
      <c r="GV1124" t="s">
        <v>1711</v>
      </c>
      <c r="GW1124" t="s">
        <v>5830</v>
      </c>
      <c r="JM1124" t="s">
        <v>3983</v>
      </c>
      <c r="JN1124" t="s">
        <v>3518</v>
      </c>
      <c r="JO1124" t="s">
        <v>5877</v>
      </c>
      <c r="JY1124" t="s">
        <v>3983</v>
      </c>
      <c r="JZ1124" t="s">
        <v>20792</v>
      </c>
      <c r="KA1124" t="s">
        <v>3832</v>
      </c>
      <c r="KL1124" t="s">
        <v>3983</v>
      </c>
      <c r="KN1124" t="s">
        <v>20792</v>
      </c>
      <c r="KP1124" t="s">
        <v>1999</v>
      </c>
      <c r="MQ1124" t="s">
        <v>3983</v>
      </c>
      <c r="MR1124" t="s">
        <v>3983</v>
      </c>
      <c r="MS1124" t="s">
        <v>3983</v>
      </c>
      <c r="MT1124" t="s">
        <v>3983</v>
      </c>
      <c r="MU1124" t="s">
        <v>3518</v>
      </c>
      <c r="MV1124" t="s">
        <v>3518</v>
      </c>
      <c r="MW1124" t="s">
        <v>3518</v>
      </c>
      <c r="MX1124" t="s">
        <v>3518</v>
      </c>
      <c r="MY1124" t="s">
        <v>539</v>
      </c>
      <c r="MZ1124" t="s">
        <v>1711</v>
      </c>
      <c r="NA1124" t="s">
        <v>5830</v>
      </c>
      <c r="NB1124" t="s">
        <v>3832</v>
      </c>
    </row>
    <row r="1125" spans="1:366" x14ac:dyDescent="0.25">
      <c r="A1125" t="s">
        <v>20794</v>
      </c>
      <c r="B1125" t="str">
        <f>"801542090654"</f>
        <v>801542090654</v>
      </c>
      <c r="C1125" t="s">
        <v>20795</v>
      </c>
      <c r="D1125" t="s">
        <v>1318</v>
      </c>
      <c r="E1125" t="s">
        <v>1077</v>
      </c>
      <c r="G1125" t="str">
        <f>"38"</f>
        <v>38</v>
      </c>
      <c r="H1125" t="str">
        <f>"38"</f>
        <v>38</v>
      </c>
      <c r="I1125" t="str">
        <f>"17.75"</f>
        <v>17.75</v>
      </c>
      <c r="J1125" t="str">
        <f>"110.23"</f>
        <v>110.23</v>
      </c>
      <c r="K1125" t="s">
        <v>20796</v>
      </c>
      <c r="L1125" t="s">
        <v>20797</v>
      </c>
      <c r="M1125" t="s">
        <v>20798</v>
      </c>
      <c r="N1125" t="s">
        <v>20799</v>
      </c>
      <c r="O1125" t="s">
        <v>1424</v>
      </c>
      <c r="P1125" t="s">
        <v>1384</v>
      </c>
      <c r="T1125" t="s">
        <v>373</v>
      </c>
      <c r="U1125" t="s">
        <v>373</v>
      </c>
      <c r="V1125" t="s">
        <v>20800</v>
      </c>
      <c r="W1125" t="s">
        <v>20801</v>
      </c>
      <c r="X1125" t="s">
        <v>20802</v>
      </c>
      <c r="Y1125" t="s">
        <v>20803</v>
      </c>
      <c r="Z1125" t="s">
        <v>20804</v>
      </c>
      <c r="AA1125" t="s">
        <v>20805</v>
      </c>
      <c r="AB1125" t="s">
        <v>20806</v>
      </c>
      <c r="AC1125" t="s">
        <v>20807</v>
      </c>
      <c r="AD1125" t="s">
        <v>20808</v>
      </c>
      <c r="AE1125" t="s">
        <v>20809</v>
      </c>
      <c r="BA1125" t="str">
        <f>"1799"</f>
        <v>1799</v>
      </c>
      <c r="BB1125" t="str">
        <f>"760"</f>
        <v>760</v>
      </c>
      <c r="BC1125" t="s">
        <v>665</v>
      </c>
      <c r="BD1125" t="str">
        <f t="shared" si="201"/>
        <v>1</v>
      </c>
      <c r="BE1125" t="s">
        <v>389</v>
      </c>
      <c r="BF1125" t="str">
        <f>"41.5"</f>
        <v>41.5</v>
      </c>
      <c r="BG1125" t="str">
        <f>"41.5"</f>
        <v>41.5</v>
      </c>
      <c r="BH1125" t="str">
        <f>"22.99"</f>
        <v>22.99</v>
      </c>
      <c r="BI1125" t="str">
        <f>"132.28"</f>
        <v>132.28</v>
      </c>
      <c r="BY1125" t="str">
        <f>"22.92"</f>
        <v>22.92</v>
      </c>
      <c r="BZ1125" t="str">
        <f>"0.649"</f>
        <v>0.649</v>
      </c>
      <c r="CA1125" t="s">
        <v>495</v>
      </c>
      <c r="CR1125" t="s">
        <v>400</v>
      </c>
      <c r="CS1125">
        <v>0</v>
      </c>
      <c r="CT1125" t="s">
        <v>400</v>
      </c>
      <c r="CV1125">
        <v>0</v>
      </c>
      <c r="CX1125" t="s">
        <v>953</v>
      </c>
      <c r="CY1125" t="s">
        <v>400</v>
      </c>
      <c r="DC1125">
        <v>0</v>
      </c>
      <c r="DJ1125" t="s">
        <v>471</v>
      </c>
      <c r="DK1125" t="s">
        <v>1392</v>
      </c>
      <c r="DM1125" t="s">
        <v>473</v>
      </c>
      <c r="DX1125" t="s">
        <v>1393</v>
      </c>
      <c r="EI1125" t="s">
        <v>10580</v>
      </c>
      <c r="EJ1125" t="s">
        <v>1393</v>
      </c>
      <c r="EK1125" t="s">
        <v>10580</v>
      </c>
      <c r="EL1125" t="s">
        <v>20810</v>
      </c>
      <c r="EN1125">
        <v>0</v>
      </c>
      <c r="EO1125">
        <v>0</v>
      </c>
      <c r="EX1125" t="s">
        <v>742</v>
      </c>
    </row>
    <row r="1126" spans="1:366" x14ac:dyDescent="0.25">
      <c r="A1126" t="s">
        <v>20811</v>
      </c>
      <c r="B1126" t="str">
        <f>"801542081232"</f>
        <v>801542081232</v>
      </c>
      <c r="C1126" t="s">
        <v>20812</v>
      </c>
      <c r="D1126" t="s">
        <v>1318</v>
      </c>
      <c r="E1126" t="s">
        <v>1319</v>
      </c>
      <c r="F1126" t="s">
        <v>1320</v>
      </c>
      <c r="G1126" t="str">
        <f>"70.75"</f>
        <v>70.75</v>
      </c>
      <c r="H1126" t="str">
        <f>"27.5"</f>
        <v>27.5</v>
      </c>
      <c r="I1126" t="str">
        <f>"30.75"</f>
        <v>30.75</v>
      </c>
      <c r="J1126" t="str">
        <f>"252.43"</f>
        <v>252.43</v>
      </c>
      <c r="K1126" t="s">
        <v>20796</v>
      </c>
      <c r="L1126" t="s">
        <v>1363</v>
      </c>
      <c r="M1126" t="s">
        <v>20813</v>
      </c>
      <c r="N1126" t="s">
        <v>20799</v>
      </c>
      <c r="O1126" t="s">
        <v>555</v>
      </c>
      <c r="P1126" t="s">
        <v>20814</v>
      </c>
      <c r="T1126" t="s">
        <v>373</v>
      </c>
      <c r="U1126" t="s">
        <v>373</v>
      </c>
      <c r="V1126" t="s">
        <v>20815</v>
      </c>
      <c r="W1126" t="s">
        <v>20816</v>
      </c>
      <c r="X1126" t="s">
        <v>20817</v>
      </c>
      <c r="Y1126" t="s">
        <v>20818</v>
      </c>
      <c r="Z1126" t="s">
        <v>20819</v>
      </c>
      <c r="AA1126" t="s">
        <v>20820</v>
      </c>
      <c r="AB1126" t="s">
        <v>20821</v>
      </c>
      <c r="AC1126" t="s">
        <v>20822</v>
      </c>
      <c r="AD1126" t="s">
        <v>20823</v>
      </c>
      <c r="AE1126" t="s">
        <v>20824</v>
      </c>
      <c r="AF1126" t="s">
        <v>20825</v>
      </c>
      <c r="AG1126" t="s">
        <v>20826</v>
      </c>
      <c r="AH1126" t="s">
        <v>20827</v>
      </c>
      <c r="AI1126" t="s">
        <v>20828</v>
      </c>
      <c r="AJ1126" t="s">
        <v>20829</v>
      </c>
      <c r="AK1126" t="s">
        <v>20830</v>
      </c>
      <c r="AL1126" t="s">
        <v>20831</v>
      </c>
      <c r="AM1126" t="s">
        <v>20832</v>
      </c>
      <c r="AN1126" t="s">
        <v>20833</v>
      </c>
      <c r="AO1126" t="s">
        <v>20834</v>
      </c>
      <c r="AP1126" t="s">
        <v>20835</v>
      </c>
      <c r="AQ1126" t="s">
        <v>20836</v>
      </c>
      <c r="AR1126" t="s">
        <v>20837</v>
      </c>
      <c r="AS1126" t="s">
        <v>20838</v>
      </c>
      <c r="BA1126" t="str">
        <f>"3099"</f>
        <v>3099</v>
      </c>
      <c r="BB1126" t="str">
        <f>"1305"</f>
        <v>1305</v>
      </c>
      <c r="BC1126" t="s">
        <v>665</v>
      </c>
      <c r="BD1126" t="str">
        <f t="shared" si="201"/>
        <v>1</v>
      </c>
      <c r="BE1126" t="s">
        <v>389</v>
      </c>
      <c r="BF1126" t="str">
        <f>"74.61"</f>
        <v>74.61</v>
      </c>
      <c r="BG1126" t="str">
        <f>"31.5"</f>
        <v>31.5</v>
      </c>
      <c r="BH1126" t="str">
        <f>"25.59"</f>
        <v>25.59</v>
      </c>
      <c r="BI1126" t="str">
        <f>"328.49"</f>
        <v>328.49</v>
      </c>
      <c r="BY1126" t="str">
        <f>"34.78"</f>
        <v>34.78</v>
      </c>
      <c r="BZ1126" t="str">
        <f>"0.985"</f>
        <v>0.985</v>
      </c>
      <c r="CA1126" t="s">
        <v>495</v>
      </c>
      <c r="CE1126" t="s">
        <v>1340</v>
      </c>
      <c r="CF1126" t="s">
        <v>1341</v>
      </c>
      <c r="CG1126" t="s">
        <v>1342</v>
      </c>
      <c r="CR1126" t="s">
        <v>1343</v>
      </c>
      <c r="CS1126">
        <v>4</v>
      </c>
      <c r="CT1126" t="s">
        <v>1344</v>
      </c>
      <c r="CV1126">
        <v>0</v>
      </c>
      <c r="CX1126" t="s">
        <v>1241</v>
      </c>
      <c r="CY1126" t="s">
        <v>1009</v>
      </c>
      <c r="DC1126">
        <v>3</v>
      </c>
      <c r="DJ1126" t="s">
        <v>1345</v>
      </c>
      <c r="DK1126" t="s">
        <v>1346</v>
      </c>
      <c r="DM1126" t="s">
        <v>669</v>
      </c>
      <c r="DX1126" t="s">
        <v>676</v>
      </c>
      <c r="DY1126" t="s">
        <v>568</v>
      </c>
      <c r="DZ1126" t="s">
        <v>1347</v>
      </c>
      <c r="EI1126" t="s">
        <v>1348</v>
      </c>
      <c r="EJ1126" t="s">
        <v>1349</v>
      </c>
      <c r="EK1126" t="s">
        <v>1348</v>
      </c>
      <c r="EL1126" t="s">
        <v>1350</v>
      </c>
      <c r="EM1126" t="s">
        <v>402</v>
      </c>
      <c r="EN1126">
        <v>3</v>
      </c>
      <c r="EW1126" t="s">
        <v>1349</v>
      </c>
      <c r="FC1126" t="s">
        <v>1351</v>
      </c>
      <c r="FD1126" t="s">
        <v>956</v>
      </c>
      <c r="FE1126" t="s">
        <v>1352</v>
      </c>
      <c r="FH1126" t="s">
        <v>959</v>
      </c>
      <c r="FI1126">
        <v>2</v>
      </c>
      <c r="FJ1126" t="s">
        <v>960</v>
      </c>
      <c r="FM1126" t="s">
        <v>402</v>
      </c>
      <c r="FO1126" t="s">
        <v>984</v>
      </c>
      <c r="FR1126" t="s">
        <v>1353</v>
      </c>
      <c r="FS1126" t="s">
        <v>1353</v>
      </c>
      <c r="FT1126" t="s">
        <v>1354</v>
      </c>
      <c r="FU1126" t="s">
        <v>1355</v>
      </c>
      <c r="FV1126" t="s">
        <v>1356</v>
      </c>
      <c r="FW1126" t="s">
        <v>1356</v>
      </c>
      <c r="FX1126" t="s">
        <v>1017</v>
      </c>
      <c r="FZ1126" t="s">
        <v>1018</v>
      </c>
      <c r="GA1126" t="s">
        <v>402</v>
      </c>
      <c r="GB1126" t="s">
        <v>1340</v>
      </c>
      <c r="GC1126" t="s">
        <v>1341</v>
      </c>
      <c r="GD1126" t="s">
        <v>1352</v>
      </c>
      <c r="GE1126">
        <v>0</v>
      </c>
      <c r="GR1126" t="s">
        <v>1340</v>
      </c>
      <c r="GT1126" t="s">
        <v>1341</v>
      </c>
      <c r="GV1126" t="s">
        <v>1352</v>
      </c>
      <c r="GX1126" t="s">
        <v>1357</v>
      </c>
      <c r="GY1126" t="s">
        <v>1353</v>
      </c>
      <c r="GZ1126" t="s">
        <v>1353</v>
      </c>
      <c r="HA1126" t="s">
        <v>1358</v>
      </c>
      <c r="HB1126" t="s">
        <v>1359</v>
      </c>
      <c r="HC1126" t="s">
        <v>1356</v>
      </c>
      <c r="HD1126" t="s">
        <v>1356</v>
      </c>
      <c r="HE1126" t="s">
        <v>1351</v>
      </c>
      <c r="HF1126" t="s">
        <v>956</v>
      </c>
      <c r="HG1126" t="s">
        <v>1342</v>
      </c>
      <c r="HH1126" t="s">
        <v>402</v>
      </c>
      <c r="HI1126" t="s">
        <v>402</v>
      </c>
    </row>
    <row r="1127" spans="1:366" x14ac:dyDescent="0.25">
      <c r="A1127" t="s">
        <v>20839</v>
      </c>
      <c r="B1127" t="str">
        <f>"801542151249"</f>
        <v>801542151249</v>
      </c>
      <c r="C1127" t="s">
        <v>20840</v>
      </c>
      <c r="D1127" t="s">
        <v>1318</v>
      </c>
      <c r="E1127" t="s">
        <v>459</v>
      </c>
      <c r="G1127" t="str">
        <f>"17"</f>
        <v>17</v>
      </c>
      <c r="H1127" t="str">
        <f>"17"</f>
        <v>17</v>
      </c>
      <c r="I1127" t="str">
        <f>"24.25"</f>
        <v>24.25</v>
      </c>
      <c r="J1127" t="str">
        <f>"37.48"</f>
        <v>37.48</v>
      </c>
      <c r="K1127" t="s">
        <v>20796</v>
      </c>
      <c r="L1127" t="s">
        <v>20797</v>
      </c>
      <c r="M1127" t="s">
        <v>20798</v>
      </c>
      <c r="N1127" t="s">
        <v>20799</v>
      </c>
      <c r="O1127" t="s">
        <v>1424</v>
      </c>
      <c r="P1127" t="s">
        <v>1384</v>
      </c>
      <c r="T1127" t="s">
        <v>373</v>
      </c>
      <c r="U1127" t="s">
        <v>373</v>
      </c>
      <c r="V1127" t="s">
        <v>20841</v>
      </c>
      <c r="W1127" t="s">
        <v>20842</v>
      </c>
      <c r="X1127" t="s">
        <v>20843</v>
      </c>
      <c r="Y1127" t="s">
        <v>20844</v>
      </c>
      <c r="Z1127" t="s">
        <v>20845</v>
      </c>
      <c r="AA1127" t="s">
        <v>20846</v>
      </c>
      <c r="AB1127" t="s">
        <v>20847</v>
      </c>
      <c r="AC1127" t="s">
        <v>20848</v>
      </c>
      <c r="AD1127" t="s">
        <v>20849</v>
      </c>
      <c r="BA1127" t="str">
        <f>"949"</f>
        <v>949</v>
      </c>
      <c r="BB1127" t="str">
        <f>"400"</f>
        <v>400</v>
      </c>
      <c r="BC1127" t="s">
        <v>665</v>
      </c>
      <c r="BD1127" t="str">
        <f t="shared" si="201"/>
        <v>1</v>
      </c>
      <c r="BE1127" t="s">
        <v>389</v>
      </c>
      <c r="BF1127" t="str">
        <f>"20.28"</f>
        <v>20.28</v>
      </c>
      <c r="BG1127" t="str">
        <f>"20.47"</f>
        <v>20.47</v>
      </c>
      <c r="BH1127" t="str">
        <f>"30"</f>
        <v>30</v>
      </c>
      <c r="BI1127" t="str">
        <f>"52.91"</f>
        <v>52.91</v>
      </c>
      <c r="BY1127" t="str">
        <f>"7.2"</f>
        <v>7.2</v>
      </c>
      <c r="BZ1127" t="str">
        <f>"0.204"</f>
        <v>0.204</v>
      </c>
      <c r="CA1127" t="s">
        <v>495</v>
      </c>
      <c r="CR1127" t="s">
        <v>400</v>
      </c>
      <c r="CS1127">
        <v>0</v>
      </c>
      <c r="CT1127" t="s">
        <v>400</v>
      </c>
      <c r="CV1127">
        <v>0</v>
      </c>
      <c r="CX1127" t="s">
        <v>953</v>
      </c>
      <c r="CY1127" t="s">
        <v>400</v>
      </c>
      <c r="DC1127">
        <v>0</v>
      </c>
      <c r="DJ1127" t="s">
        <v>471</v>
      </c>
      <c r="DK1127" t="s">
        <v>1392</v>
      </c>
      <c r="DM1127" t="s">
        <v>473</v>
      </c>
      <c r="DX1127" t="s">
        <v>1393</v>
      </c>
      <c r="EI1127" t="s">
        <v>546</v>
      </c>
      <c r="EJ1127" t="s">
        <v>1393</v>
      </c>
      <c r="EK1127" t="s">
        <v>546</v>
      </c>
      <c r="EL1127" t="s">
        <v>1394</v>
      </c>
      <c r="EN1127">
        <v>0</v>
      </c>
      <c r="EO1127">
        <v>0</v>
      </c>
      <c r="EX1127" t="s">
        <v>392</v>
      </c>
    </row>
    <row r="1128" spans="1:366" x14ac:dyDescent="0.25">
      <c r="A1128" t="s">
        <v>20850</v>
      </c>
      <c r="B1128" t="str">
        <f>"801542510305"</f>
        <v>801542510305</v>
      </c>
      <c r="C1128" t="s">
        <v>5578</v>
      </c>
      <c r="D1128" t="s">
        <v>1420</v>
      </c>
      <c r="E1128" t="s">
        <v>3813</v>
      </c>
      <c r="G1128" t="str">
        <f>"35"</f>
        <v>35</v>
      </c>
      <c r="H1128" t="str">
        <f>"17.75"</f>
        <v>17.75</v>
      </c>
      <c r="I1128" t="str">
        <f>"98.5"</f>
        <v>98.5</v>
      </c>
      <c r="J1128" t="str">
        <f>"149.91"</f>
        <v>149.91</v>
      </c>
      <c r="K1128" t="s">
        <v>5579</v>
      </c>
      <c r="L1128" t="s">
        <v>5580</v>
      </c>
      <c r="N1128" t="s">
        <v>461</v>
      </c>
      <c r="O1128" t="s">
        <v>555</v>
      </c>
      <c r="T1128" t="s">
        <v>373</v>
      </c>
      <c r="U1128" t="s">
        <v>373</v>
      </c>
      <c r="V1128" t="s">
        <v>20851</v>
      </c>
      <c r="W1128" t="s">
        <v>20852</v>
      </c>
      <c r="X1128" t="s">
        <v>20853</v>
      </c>
      <c r="Y1128" t="s">
        <v>20854</v>
      </c>
      <c r="Z1128" t="s">
        <v>20855</v>
      </c>
      <c r="AA1128" t="s">
        <v>20856</v>
      </c>
      <c r="AB1128" t="s">
        <v>20857</v>
      </c>
      <c r="AC1128" t="s">
        <v>20858</v>
      </c>
      <c r="AD1128" t="s">
        <v>20859</v>
      </c>
      <c r="AE1128" t="s">
        <v>20860</v>
      </c>
      <c r="AF1128" t="s">
        <v>20861</v>
      </c>
      <c r="AG1128" t="s">
        <v>20862</v>
      </c>
      <c r="AH1128" t="s">
        <v>20863</v>
      </c>
      <c r="AI1128" t="s">
        <v>20864</v>
      </c>
      <c r="AJ1128" t="s">
        <v>20865</v>
      </c>
      <c r="AK1128" t="s">
        <v>20866</v>
      </c>
      <c r="AL1128" t="s">
        <v>20867</v>
      </c>
      <c r="AM1128" t="s">
        <v>20868</v>
      </c>
      <c r="AN1128" t="s">
        <v>20869</v>
      </c>
      <c r="BA1128" t="str">
        <f>"2099"</f>
        <v>2099</v>
      </c>
      <c r="BB1128" t="str">
        <f>"885"</f>
        <v>885</v>
      </c>
      <c r="BC1128" t="s">
        <v>665</v>
      </c>
      <c r="BD1128" t="str">
        <f t="shared" si="201"/>
        <v>1</v>
      </c>
      <c r="BE1128" t="s">
        <v>389</v>
      </c>
      <c r="BF1128" t="str">
        <f>"40.35"</f>
        <v>40.35</v>
      </c>
      <c r="BG1128" t="str">
        <f>"22.44"</f>
        <v>22.44</v>
      </c>
      <c r="BH1128" t="str">
        <f>"110.24"</f>
        <v>110.24</v>
      </c>
      <c r="BI1128" t="str">
        <f>"189.6"</f>
        <v>189.6</v>
      </c>
      <c r="BY1128" t="str">
        <f>"57.77"</f>
        <v>57.77</v>
      </c>
      <c r="BZ1128" t="str">
        <f>"1.636"</f>
        <v>1.636</v>
      </c>
      <c r="CA1128" t="s">
        <v>431</v>
      </c>
      <c r="CB1128" t="s">
        <v>14092</v>
      </c>
      <c r="CC1128" t="s">
        <v>4614</v>
      </c>
      <c r="CD1128" t="s">
        <v>20870</v>
      </c>
      <c r="CE1128" t="s">
        <v>14092</v>
      </c>
      <c r="CF1128" t="s">
        <v>9627</v>
      </c>
      <c r="CG1128" t="s">
        <v>20871</v>
      </c>
      <c r="CR1128" t="s">
        <v>400</v>
      </c>
      <c r="CS1128">
        <v>0</v>
      </c>
      <c r="CT1128" t="s">
        <v>400</v>
      </c>
      <c r="CV1128">
        <v>4</v>
      </c>
      <c r="CW1128" t="s">
        <v>402</v>
      </c>
      <c r="CX1128" t="s">
        <v>953</v>
      </c>
      <c r="CY1128" t="s">
        <v>954</v>
      </c>
      <c r="DA1128">
        <v>18.14</v>
      </c>
      <c r="DB1128">
        <v>40</v>
      </c>
      <c r="DC1128">
        <v>0</v>
      </c>
      <c r="DJ1128" t="s">
        <v>982</v>
      </c>
      <c r="DK1128" t="s">
        <v>5598</v>
      </c>
      <c r="EM1128" t="s">
        <v>402</v>
      </c>
      <c r="EN1128">
        <v>6</v>
      </c>
      <c r="EZ1128" t="s">
        <v>11170</v>
      </c>
      <c r="FA1128" t="s">
        <v>4614</v>
      </c>
      <c r="FB1128" t="s">
        <v>18492</v>
      </c>
      <c r="FH1128" t="s">
        <v>1245</v>
      </c>
      <c r="FI1128">
        <v>2</v>
      </c>
      <c r="FJ1128" t="s">
        <v>960</v>
      </c>
      <c r="FK1128" t="s">
        <v>961</v>
      </c>
      <c r="FO1128" t="s">
        <v>984</v>
      </c>
    </row>
    <row r="1129" spans="1:366" x14ac:dyDescent="0.25">
      <c r="A1129" t="s">
        <v>20872</v>
      </c>
      <c r="B1129" t="str">
        <f>"801542517649"</f>
        <v>801542517649</v>
      </c>
      <c r="C1129" t="s">
        <v>20873</v>
      </c>
      <c r="D1129" t="s">
        <v>1420</v>
      </c>
      <c r="E1129" t="s">
        <v>647</v>
      </c>
      <c r="F1129" t="s">
        <v>648</v>
      </c>
      <c r="G1129" t="str">
        <f>"94"</f>
        <v>94</v>
      </c>
      <c r="H1129" t="str">
        <f>"42"</f>
        <v>42</v>
      </c>
      <c r="I1129" t="str">
        <f>"30"</f>
        <v>30</v>
      </c>
      <c r="J1129" t="str">
        <f>"139.33"</f>
        <v>139.33</v>
      </c>
      <c r="K1129" t="s">
        <v>7518</v>
      </c>
      <c r="L1129" t="s">
        <v>7519</v>
      </c>
      <c r="N1129" t="s">
        <v>1423</v>
      </c>
      <c r="O1129" t="s">
        <v>1424</v>
      </c>
      <c r="T1129" t="s">
        <v>373</v>
      </c>
      <c r="U1129" t="s">
        <v>373</v>
      </c>
      <c r="V1129" t="s">
        <v>20874</v>
      </c>
      <c r="W1129" t="s">
        <v>20875</v>
      </c>
      <c r="X1129" t="s">
        <v>20876</v>
      </c>
      <c r="Y1129" t="s">
        <v>20877</v>
      </c>
      <c r="Z1129" t="s">
        <v>20878</v>
      </c>
      <c r="AA1129" t="s">
        <v>20879</v>
      </c>
      <c r="AB1129" t="s">
        <v>20880</v>
      </c>
      <c r="AC1129" t="s">
        <v>20881</v>
      </c>
      <c r="AD1129" t="s">
        <v>20882</v>
      </c>
      <c r="AE1129" t="s">
        <v>20883</v>
      </c>
      <c r="AF1129" t="s">
        <v>20884</v>
      </c>
      <c r="AG1129" t="s">
        <v>20885</v>
      </c>
      <c r="AH1129" t="s">
        <v>20886</v>
      </c>
      <c r="AI1129" t="s">
        <v>20887</v>
      </c>
      <c r="BA1129" t="str">
        <f>"1299"</f>
        <v>1299</v>
      </c>
      <c r="BB1129" t="str">
        <f>"550"</f>
        <v>550</v>
      </c>
      <c r="BC1129" t="s">
        <v>665</v>
      </c>
      <c r="BD1129" t="str">
        <f>"2"</f>
        <v>2</v>
      </c>
      <c r="BE1129" t="s">
        <v>1089</v>
      </c>
      <c r="BF1129" t="str">
        <f>"99.21"</f>
        <v>99.21</v>
      </c>
      <c r="BG1129" t="str">
        <f>"4.72"</f>
        <v>4.72</v>
      </c>
      <c r="BH1129" t="str">
        <f>"46.26"</f>
        <v>46.26</v>
      </c>
      <c r="BI1129" t="str">
        <f>"103.62"</f>
        <v>103.62</v>
      </c>
      <c r="BJ1129" t="s">
        <v>1090</v>
      </c>
      <c r="BK1129" t="str">
        <f>"23.03"</f>
        <v>23.03</v>
      </c>
      <c r="BL1129" t="str">
        <f>"22.24"</f>
        <v>22.24</v>
      </c>
      <c r="BM1129" t="str">
        <f>"31.1"</f>
        <v>31.1</v>
      </c>
      <c r="BN1129" t="str">
        <f>"82.67"</f>
        <v>82.67</v>
      </c>
      <c r="BY1129" t="str">
        <f>"21.75"</f>
        <v>21.75</v>
      </c>
      <c r="BZ1129" t="str">
        <f>"0.616"</f>
        <v>0.616</v>
      </c>
      <c r="CA1129" t="s">
        <v>431</v>
      </c>
      <c r="CR1129" t="s">
        <v>400</v>
      </c>
      <c r="CS1129">
        <v>0</v>
      </c>
      <c r="CT1129" t="s">
        <v>400</v>
      </c>
      <c r="CV1129">
        <v>0</v>
      </c>
      <c r="CX1129" t="s">
        <v>953</v>
      </c>
      <c r="CY1129" t="s">
        <v>400</v>
      </c>
      <c r="DA1129">
        <v>0</v>
      </c>
      <c r="DB1129">
        <v>0</v>
      </c>
      <c r="DC1129">
        <v>0</v>
      </c>
      <c r="DI1129">
        <v>10</v>
      </c>
      <c r="DJ1129" t="s">
        <v>1437</v>
      </c>
      <c r="DK1129" t="s">
        <v>1438</v>
      </c>
      <c r="DM1129" t="s">
        <v>669</v>
      </c>
      <c r="DX1129" t="s">
        <v>1439</v>
      </c>
      <c r="DZ1129" t="s">
        <v>1440</v>
      </c>
      <c r="EI1129" t="s">
        <v>743</v>
      </c>
      <c r="EJ1129" t="s">
        <v>1439</v>
      </c>
      <c r="EK1129" t="s">
        <v>635</v>
      </c>
      <c r="EL1129" t="s">
        <v>1441</v>
      </c>
      <c r="EM1129" t="s">
        <v>402</v>
      </c>
      <c r="EN1129">
        <v>0</v>
      </c>
      <c r="EO1129">
        <v>0</v>
      </c>
      <c r="EW1129" t="s">
        <v>1439</v>
      </c>
      <c r="EX1129" t="s">
        <v>1442</v>
      </c>
      <c r="EY1129" t="s">
        <v>1443</v>
      </c>
    </row>
    <row r="1130" spans="1:366" x14ac:dyDescent="0.25">
      <c r="A1130" t="s">
        <v>20888</v>
      </c>
      <c r="B1130" t="str">
        <f>"801542094225"</f>
        <v>801542094225</v>
      </c>
      <c r="C1130" t="s">
        <v>20889</v>
      </c>
      <c r="D1130" t="s">
        <v>8004</v>
      </c>
      <c r="E1130" t="s">
        <v>1021</v>
      </c>
      <c r="G1130" t="str">
        <f>"47.25"</f>
        <v>47.25</v>
      </c>
      <c r="H1130" t="str">
        <f>"16.5"</f>
        <v>16.5</v>
      </c>
      <c r="I1130" t="str">
        <f>"23.5"</f>
        <v>23.5</v>
      </c>
      <c r="J1130" t="str">
        <f>"59.52"</f>
        <v>59.52</v>
      </c>
      <c r="K1130" t="s">
        <v>20890</v>
      </c>
      <c r="N1130" t="s">
        <v>1101</v>
      </c>
      <c r="T1130" t="s">
        <v>373</v>
      </c>
      <c r="U1130" t="s">
        <v>373</v>
      </c>
      <c r="W1130" t="s">
        <v>20891</v>
      </c>
      <c r="X1130" t="s">
        <v>20892</v>
      </c>
      <c r="Y1130" t="s">
        <v>20893</v>
      </c>
      <c r="Z1130" t="s">
        <v>20894</v>
      </c>
      <c r="AA1130" t="s">
        <v>20895</v>
      </c>
      <c r="AB1130" t="s">
        <v>20896</v>
      </c>
      <c r="AC1130" t="s">
        <v>20897</v>
      </c>
      <c r="AD1130" t="s">
        <v>20898</v>
      </c>
      <c r="AE1130" t="s">
        <v>20899</v>
      </c>
      <c r="AF1130" t="s">
        <v>20900</v>
      </c>
      <c r="AG1130" t="s">
        <v>20901</v>
      </c>
      <c r="BA1130" t="str">
        <f>"600"</f>
        <v>600</v>
      </c>
      <c r="BB1130" t="str">
        <f>"255"</f>
        <v>255</v>
      </c>
      <c r="BC1130" t="s">
        <v>665</v>
      </c>
      <c r="BD1130" t="str">
        <f>"1"</f>
        <v>1</v>
      </c>
      <c r="BE1130" t="s">
        <v>389</v>
      </c>
      <c r="BF1130" t="str">
        <f>"51.57"</f>
        <v>51.57</v>
      </c>
      <c r="BG1130" t="str">
        <f>"20.67"</f>
        <v>20.67</v>
      </c>
      <c r="BH1130" t="str">
        <f>"28.74"</f>
        <v>28.74</v>
      </c>
      <c r="BI1130" t="str">
        <f>"77.16"</f>
        <v>77.16</v>
      </c>
      <c r="BY1130" t="str">
        <f>"17.73"</f>
        <v>17.73</v>
      </c>
      <c r="BZ1130" t="str">
        <f>"0.502"</f>
        <v>0.502</v>
      </c>
      <c r="CA1130" t="s">
        <v>390</v>
      </c>
      <c r="CE1130" t="s">
        <v>1999</v>
      </c>
      <c r="CF1130" t="s">
        <v>6227</v>
      </c>
      <c r="CG1130" t="s">
        <v>3947</v>
      </c>
      <c r="CR1130" t="s">
        <v>400</v>
      </c>
      <c r="CS1130">
        <v>3</v>
      </c>
      <c r="CT1130" t="s">
        <v>400</v>
      </c>
      <c r="CV1130">
        <v>0</v>
      </c>
      <c r="CX1130" t="s">
        <v>4903</v>
      </c>
      <c r="DA1130">
        <v>40</v>
      </c>
      <c r="DB1130">
        <v>88.18</v>
      </c>
      <c r="DC1130">
        <v>3</v>
      </c>
      <c r="DK1130" t="s">
        <v>20902</v>
      </c>
      <c r="DX1130" t="s">
        <v>395</v>
      </c>
      <c r="EN1130">
        <v>3</v>
      </c>
      <c r="EZ1130" t="s">
        <v>6227</v>
      </c>
      <c r="FA1130" t="s">
        <v>9421</v>
      </c>
      <c r="FB1130" t="s">
        <v>3947</v>
      </c>
      <c r="FC1130" t="s">
        <v>1999</v>
      </c>
      <c r="FD1130" t="s">
        <v>1348</v>
      </c>
      <c r="FE1130" t="s">
        <v>3947</v>
      </c>
      <c r="FH1130" t="s">
        <v>959</v>
      </c>
      <c r="FI1130">
        <v>2</v>
      </c>
      <c r="FJ1130" t="s">
        <v>960</v>
      </c>
      <c r="FK1130" t="s">
        <v>1611</v>
      </c>
      <c r="FM1130" t="s">
        <v>402</v>
      </c>
      <c r="FO1130" t="s">
        <v>984</v>
      </c>
      <c r="FR1130" t="s">
        <v>6954</v>
      </c>
      <c r="FT1130" t="s">
        <v>1015</v>
      </c>
      <c r="FV1130" t="s">
        <v>1709</v>
      </c>
      <c r="FZ1130" t="s">
        <v>953</v>
      </c>
      <c r="GB1130" t="s">
        <v>5832</v>
      </c>
      <c r="GC1130" t="s">
        <v>2034</v>
      </c>
      <c r="GD1130" t="s">
        <v>2124</v>
      </c>
      <c r="GE1130">
        <v>0</v>
      </c>
      <c r="GR1130" t="s">
        <v>1999</v>
      </c>
      <c r="GT1130" t="s">
        <v>6227</v>
      </c>
      <c r="GV1130" t="s">
        <v>3947</v>
      </c>
      <c r="HE1130" t="s">
        <v>5832</v>
      </c>
      <c r="HF1130" t="s">
        <v>1348</v>
      </c>
      <c r="HG1130" t="s">
        <v>2124</v>
      </c>
    </row>
    <row r="1131" spans="1:366" x14ac:dyDescent="0.25">
      <c r="A1131" t="s">
        <v>20903</v>
      </c>
      <c r="B1131" t="str">
        <f>"801542387747"</f>
        <v>801542387747</v>
      </c>
      <c r="C1131" t="s">
        <v>20904</v>
      </c>
      <c r="D1131" t="s">
        <v>5460</v>
      </c>
      <c r="E1131" t="s">
        <v>647</v>
      </c>
      <c r="F1131" t="s">
        <v>648</v>
      </c>
      <c r="G1131" t="str">
        <f>"84"</f>
        <v>84</v>
      </c>
      <c r="H1131" t="str">
        <f>"38"</f>
        <v>38</v>
      </c>
      <c r="I1131" t="str">
        <f>"30"</f>
        <v>30</v>
      </c>
      <c r="J1131" t="str">
        <f>"131.17"</f>
        <v>131.17</v>
      </c>
      <c r="K1131" t="s">
        <v>20905</v>
      </c>
      <c r="L1131" t="s">
        <v>20906</v>
      </c>
      <c r="M1131" t="s">
        <v>5462</v>
      </c>
      <c r="N1131" t="s">
        <v>1423</v>
      </c>
      <c r="O1131" t="s">
        <v>1424</v>
      </c>
      <c r="P1131" t="s">
        <v>555</v>
      </c>
      <c r="T1131" t="s">
        <v>373</v>
      </c>
      <c r="U1131" t="s">
        <v>373</v>
      </c>
      <c r="V1131" t="s">
        <v>20907</v>
      </c>
      <c r="W1131" t="s">
        <v>20908</v>
      </c>
      <c r="X1131" t="s">
        <v>20909</v>
      </c>
      <c r="Y1131" t="s">
        <v>20910</v>
      </c>
      <c r="Z1131" t="s">
        <v>20911</v>
      </c>
      <c r="AA1131" t="s">
        <v>20912</v>
      </c>
      <c r="AB1131" t="s">
        <v>20913</v>
      </c>
      <c r="AC1131" t="s">
        <v>20914</v>
      </c>
      <c r="AD1131" t="s">
        <v>20915</v>
      </c>
      <c r="AE1131" t="s">
        <v>20916</v>
      </c>
      <c r="AF1131" t="s">
        <v>20917</v>
      </c>
      <c r="AG1131" t="s">
        <v>20918</v>
      </c>
      <c r="AH1131" t="s">
        <v>20919</v>
      </c>
      <c r="AI1131" t="s">
        <v>20920</v>
      </c>
      <c r="BA1131" t="str">
        <f>"1399"</f>
        <v>1399</v>
      </c>
      <c r="BB1131" t="str">
        <f>"590"</f>
        <v>590</v>
      </c>
      <c r="BC1131" t="s">
        <v>665</v>
      </c>
      <c r="BD1131" t="str">
        <f>"1"</f>
        <v>1</v>
      </c>
      <c r="BE1131" t="s">
        <v>389</v>
      </c>
      <c r="BF1131" t="str">
        <f>"88.98"</f>
        <v>88.98</v>
      </c>
      <c r="BG1131" t="str">
        <f>"9.65"</f>
        <v>9.65</v>
      </c>
      <c r="BH1131" t="str">
        <f>"43.11"</f>
        <v>43.11</v>
      </c>
      <c r="BI1131" t="str">
        <f>"157.63"</f>
        <v>157.63</v>
      </c>
      <c r="BY1131" t="str">
        <f>"21.4"</f>
        <v>21.4</v>
      </c>
      <c r="BZ1131" t="str">
        <f>"0.606"</f>
        <v>0.606</v>
      </c>
      <c r="CA1131" t="s">
        <v>431</v>
      </c>
      <c r="CR1131" t="s">
        <v>400</v>
      </c>
      <c r="CS1131">
        <v>0</v>
      </c>
      <c r="CT1131" t="s">
        <v>400</v>
      </c>
      <c r="CV1131">
        <v>0</v>
      </c>
      <c r="CX1131" t="s">
        <v>4903</v>
      </c>
      <c r="CY1131" t="s">
        <v>5478</v>
      </c>
      <c r="DA1131">
        <v>0</v>
      </c>
      <c r="DB1131">
        <v>0</v>
      </c>
      <c r="DC1131">
        <v>0</v>
      </c>
      <c r="DI1131">
        <v>12</v>
      </c>
      <c r="DJ1131" t="s">
        <v>408</v>
      </c>
      <c r="DK1131" t="s">
        <v>5479</v>
      </c>
      <c r="DM1131" t="s">
        <v>669</v>
      </c>
      <c r="DX1131" t="s">
        <v>2127</v>
      </c>
      <c r="DY1131" t="s">
        <v>5480</v>
      </c>
      <c r="DZ1131" t="s">
        <v>5481</v>
      </c>
      <c r="EI1131" t="s">
        <v>5482</v>
      </c>
      <c r="EJ1131" t="s">
        <v>5483</v>
      </c>
      <c r="EK1131" t="s">
        <v>5482</v>
      </c>
      <c r="EL1131" t="s">
        <v>1350</v>
      </c>
      <c r="EM1131" t="s">
        <v>402</v>
      </c>
      <c r="EN1131">
        <v>0</v>
      </c>
      <c r="EO1131">
        <v>1</v>
      </c>
      <c r="EV1131" t="s">
        <v>3856</v>
      </c>
      <c r="EW1131" t="s">
        <v>5483</v>
      </c>
      <c r="EX1131" t="s">
        <v>5484</v>
      </c>
      <c r="EY1131" t="s">
        <v>5485</v>
      </c>
      <c r="JQ1131" t="s">
        <v>5486</v>
      </c>
      <c r="JR1131" t="s">
        <v>5487</v>
      </c>
      <c r="JS1131" t="s">
        <v>5488</v>
      </c>
      <c r="JT1131" t="s">
        <v>5489</v>
      </c>
    </row>
    <row r="1132" spans="1:366" x14ac:dyDescent="0.25">
      <c r="A1132" t="s">
        <v>20921</v>
      </c>
      <c r="B1132" t="str">
        <f>"801542435646"</f>
        <v>801542435646</v>
      </c>
      <c r="C1132" t="s">
        <v>20922</v>
      </c>
      <c r="D1132" t="s">
        <v>5460</v>
      </c>
      <c r="E1132" t="s">
        <v>647</v>
      </c>
      <c r="F1132" t="s">
        <v>648</v>
      </c>
      <c r="G1132" t="str">
        <f>"84"</f>
        <v>84</v>
      </c>
      <c r="H1132" t="str">
        <f>"36"</f>
        <v>36</v>
      </c>
      <c r="I1132" t="str">
        <f>"30"</f>
        <v>30</v>
      </c>
      <c r="J1132" t="str">
        <f>"119.05"</f>
        <v>119.05</v>
      </c>
      <c r="K1132" t="s">
        <v>20923</v>
      </c>
      <c r="N1132" t="s">
        <v>1970</v>
      </c>
      <c r="O1132" t="s">
        <v>372</v>
      </c>
      <c r="T1132" t="s">
        <v>373</v>
      </c>
      <c r="U1132" t="s">
        <v>373</v>
      </c>
      <c r="V1132" t="s">
        <v>20924</v>
      </c>
      <c r="W1132" t="s">
        <v>20925</v>
      </c>
      <c r="X1132" t="s">
        <v>20926</v>
      </c>
      <c r="Y1132" t="s">
        <v>20927</v>
      </c>
      <c r="Z1132" t="s">
        <v>20928</v>
      </c>
      <c r="AA1132" t="s">
        <v>20929</v>
      </c>
      <c r="AB1132" t="s">
        <v>20930</v>
      </c>
      <c r="AC1132" t="s">
        <v>20931</v>
      </c>
      <c r="AD1132" t="s">
        <v>20932</v>
      </c>
      <c r="AE1132" t="s">
        <v>20933</v>
      </c>
      <c r="BA1132" t="str">
        <f>"1299"</f>
        <v>1299</v>
      </c>
      <c r="BB1132" t="str">
        <f>"550"</f>
        <v>550</v>
      </c>
      <c r="BC1132" t="s">
        <v>665</v>
      </c>
      <c r="BD1132" t="str">
        <f>"1"</f>
        <v>1</v>
      </c>
      <c r="BE1132" t="s">
        <v>20934</v>
      </c>
      <c r="BF1132" t="str">
        <f>"90"</f>
        <v>90</v>
      </c>
      <c r="BG1132" t="str">
        <f>"10.35"</f>
        <v>10.35</v>
      </c>
      <c r="BH1132" t="str">
        <f>"41.14"</f>
        <v>41.14</v>
      </c>
      <c r="BI1132" t="str">
        <f>"149.91"</f>
        <v>149.91</v>
      </c>
      <c r="BY1132" t="str">
        <f>"22.18"</f>
        <v>22.18</v>
      </c>
      <c r="BZ1132" t="str">
        <f>"0.628"</f>
        <v>0.628</v>
      </c>
      <c r="CA1132" t="s">
        <v>495</v>
      </c>
      <c r="CR1132" t="s">
        <v>400</v>
      </c>
      <c r="CS1132">
        <v>0</v>
      </c>
      <c r="CT1132" t="s">
        <v>400</v>
      </c>
      <c r="CV1132">
        <v>0</v>
      </c>
      <c r="CX1132" t="s">
        <v>4903</v>
      </c>
      <c r="CY1132" t="s">
        <v>400</v>
      </c>
      <c r="DA1132">
        <v>0</v>
      </c>
      <c r="DB1132">
        <v>0</v>
      </c>
      <c r="DC1132">
        <v>0</v>
      </c>
      <c r="DI1132">
        <v>8</v>
      </c>
      <c r="DJ1132" t="s">
        <v>408</v>
      </c>
      <c r="DK1132" t="s">
        <v>20935</v>
      </c>
      <c r="DM1132" t="s">
        <v>669</v>
      </c>
      <c r="DX1132" t="s">
        <v>855</v>
      </c>
      <c r="DY1132" t="s">
        <v>10916</v>
      </c>
      <c r="DZ1132" t="s">
        <v>16548</v>
      </c>
      <c r="EI1132" t="s">
        <v>20936</v>
      </c>
      <c r="EJ1132" t="s">
        <v>14400</v>
      </c>
      <c r="EK1132" t="s">
        <v>20937</v>
      </c>
      <c r="EL1132" t="s">
        <v>637</v>
      </c>
      <c r="EM1132" t="s">
        <v>402</v>
      </c>
      <c r="EN1132">
        <v>0</v>
      </c>
      <c r="EO1132">
        <v>0</v>
      </c>
      <c r="EV1132" t="s">
        <v>395</v>
      </c>
      <c r="EW1132" t="s">
        <v>855</v>
      </c>
      <c r="EX1132" t="s">
        <v>7798</v>
      </c>
      <c r="EY1132" t="s">
        <v>677</v>
      </c>
    </row>
    <row r="1133" spans="1:366" x14ac:dyDescent="0.25">
      <c r="A1133" t="s">
        <v>20938</v>
      </c>
      <c r="B1133" t="str">
        <f>"801542535667"</f>
        <v>801542535667</v>
      </c>
      <c r="C1133" t="s">
        <v>20939</v>
      </c>
      <c r="D1133" t="s">
        <v>5460</v>
      </c>
      <c r="E1133" t="s">
        <v>930</v>
      </c>
      <c r="G1133" t="str">
        <f>"72"</f>
        <v>72</v>
      </c>
      <c r="H1133" t="str">
        <f>"16"</f>
        <v>16</v>
      </c>
      <c r="I1133" t="str">
        <f>"30"</f>
        <v>30</v>
      </c>
      <c r="J1133" t="str">
        <f>"149.91"</f>
        <v>149.91</v>
      </c>
      <c r="K1133" t="s">
        <v>20940</v>
      </c>
      <c r="L1133" t="s">
        <v>20923</v>
      </c>
      <c r="N1133" t="s">
        <v>372</v>
      </c>
      <c r="O1133" t="s">
        <v>1970</v>
      </c>
      <c r="T1133" t="s">
        <v>373</v>
      </c>
      <c r="U1133" t="s">
        <v>373</v>
      </c>
      <c r="V1133" t="s">
        <v>20941</v>
      </c>
      <c r="W1133" t="s">
        <v>20942</v>
      </c>
      <c r="X1133" t="s">
        <v>20943</v>
      </c>
      <c r="Y1133" t="s">
        <v>20944</v>
      </c>
      <c r="Z1133" t="s">
        <v>20945</v>
      </c>
      <c r="AA1133" t="s">
        <v>20946</v>
      </c>
      <c r="AB1133" t="s">
        <v>20947</v>
      </c>
      <c r="AC1133" t="s">
        <v>20948</v>
      </c>
      <c r="AD1133" t="s">
        <v>20949</v>
      </c>
      <c r="AE1133" t="s">
        <v>20950</v>
      </c>
      <c r="AF1133" t="s">
        <v>20951</v>
      </c>
      <c r="AG1133" t="s">
        <v>20952</v>
      </c>
      <c r="AH1133" t="s">
        <v>20953</v>
      </c>
      <c r="AI1133" t="s">
        <v>20954</v>
      </c>
      <c r="BA1133" t="str">
        <f>"1599"</f>
        <v>1599</v>
      </c>
      <c r="BB1133" t="str">
        <f>"675"</f>
        <v>675</v>
      </c>
      <c r="BC1133" t="s">
        <v>665</v>
      </c>
      <c r="BD1133" t="str">
        <f>"1"</f>
        <v>1</v>
      </c>
      <c r="BE1133" t="s">
        <v>389</v>
      </c>
      <c r="BF1133" t="str">
        <f>"76.38"</f>
        <v>76.38</v>
      </c>
      <c r="BG1133" t="str">
        <f>"20.87"</f>
        <v>20.87</v>
      </c>
      <c r="BH1133" t="str">
        <f>"29.92"</f>
        <v>29.92</v>
      </c>
      <c r="BI1133" t="str">
        <f>"180.78"</f>
        <v>180.78</v>
      </c>
      <c r="BY1133" t="str">
        <f>"27.58"</f>
        <v>27.58</v>
      </c>
      <c r="BZ1133" t="str">
        <f>"0.781"</f>
        <v>0.781</v>
      </c>
      <c r="CA1133" t="s">
        <v>431</v>
      </c>
      <c r="CE1133" t="s">
        <v>1013</v>
      </c>
      <c r="CF1133" t="s">
        <v>3947</v>
      </c>
      <c r="CG1133" t="s">
        <v>13770</v>
      </c>
      <c r="CR1133" t="s">
        <v>400</v>
      </c>
      <c r="CS1133">
        <v>0</v>
      </c>
      <c r="CT1133" t="s">
        <v>400</v>
      </c>
      <c r="CV1133">
        <v>0</v>
      </c>
      <c r="CX1133" t="s">
        <v>953</v>
      </c>
      <c r="CY1133" t="s">
        <v>954</v>
      </c>
      <c r="DA1133">
        <v>18.14</v>
      </c>
      <c r="DB1133">
        <v>40</v>
      </c>
      <c r="DC1133">
        <v>2</v>
      </c>
      <c r="DK1133" t="s">
        <v>20935</v>
      </c>
      <c r="DM1133" t="s">
        <v>669</v>
      </c>
      <c r="DX1133" t="s">
        <v>3079</v>
      </c>
      <c r="EM1133" t="s">
        <v>402</v>
      </c>
      <c r="EN1133">
        <v>2</v>
      </c>
      <c r="EZ1133" t="s">
        <v>2071</v>
      </c>
      <c r="FA1133" t="s">
        <v>4614</v>
      </c>
      <c r="FB1133" t="s">
        <v>6227</v>
      </c>
      <c r="FC1133" t="s">
        <v>3319</v>
      </c>
      <c r="FD1133" t="s">
        <v>4614</v>
      </c>
      <c r="FE1133" t="s">
        <v>7919</v>
      </c>
      <c r="FF1133">
        <v>0</v>
      </c>
      <c r="FG1133" t="s">
        <v>402</v>
      </c>
      <c r="FH1133" t="s">
        <v>959</v>
      </c>
      <c r="FI1133">
        <v>4</v>
      </c>
      <c r="FJ1133" t="s">
        <v>960</v>
      </c>
      <c r="FK1133" t="s">
        <v>1246</v>
      </c>
      <c r="FL1133">
        <v>0</v>
      </c>
      <c r="FM1133" t="s">
        <v>402</v>
      </c>
      <c r="FO1133" t="s">
        <v>984</v>
      </c>
      <c r="GX1133" t="s">
        <v>1552</v>
      </c>
      <c r="HI1133" t="s">
        <v>402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A6D04BCFD4E64FBDC8A3F94C1835C3" ma:contentTypeVersion="6" ma:contentTypeDescription="Create a new document." ma:contentTypeScope="" ma:versionID="580601b9723b49d8ebb4c398864d4dd6">
  <xsd:schema xmlns:xsd="http://www.w3.org/2001/XMLSchema" xmlns:xs="http://www.w3.org/2001/XMLSchema" xmlns:p="http://schemas.microsoft.com/office/2006/metadata/properties" xmlns:ns2="360ccccb-0ca7-4e74-9e6c-c6bb53ea5531" xmlns:ns3="41a85dd8-dd50-4574-80b9-07806866f3a1" targetNamespace="http://schemas.microsoft.com/office/2006/metadata/properties" ma:root="true" ma:fieldsID="e331e2a20711c0b5119856fffed20445" ns2:_="" ns3:_="">
    <xsd:import namespace="360ccccb-0ca7-4e74-9e6c-c6bb53ea5531"/>
    <xsd:import namespace="41a85dd8-dd50-4574-80b9-07806866f3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0ccccb-0ca7-4e74-9e6c-c6bb53ea55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a85dd8-dd50-4574-80b9-07806866f3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E6CDBB-334A-489B-9E22-E9E1F486203F}"/>
</file>

<file path=customXml/itemProps2.xml><?xml version="1.0" encoding="utf-8"?>
<ds:datastoreItem xmlns:ds="http://schemas.openxmlformats.org/officeDocument/2006/customXml" ds:itemID="{BA510B4F-F1FC-473F-A316-16AFA527601E}"/>
</file>

<file path=customXml/itemProps3.xml><?xml version="1.0" encoding="utf-8"?>
<ds:datastoreItem xmlns:ds="http://schemas.openxmlformats.org/officeDocument/2006/customXml" ds:itemID="{919CC013-912A-4D45-99E7-F318BDF109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Four Hands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Moran</dc:creator>
  <cp:lastModifiedBy>Courtney Moran</cp:lastModifiedBy>
  <dcterms:created xsi:type="dcterms:W3CDTF">2025-03-12T18:51:11Z</dcterms:created>
  <dcterms:modified xsi:type="dcterms:W3CDTF">2025-03-12T18:51:11Z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0x0101007CA6D04BCFD4E64FBDC8A3F94C1835C3</vt:lpwstr>
  </property>
</Properties>
</file>